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Software\Games\Final Fantasy\Spreadsheets\"/>
    </mc:Choice>
  </mc:AlternateContent>
  <bookViews>
    <workbookView xWindow="-120" yWindow="-120" windowWidth="57840" windowHeight="32040" activeTab="1"/>
  </bookViews>
  <sheets>
    <sheet name="Setup" sheetId="24" r:id="rId1"/>
    <sheet name="Gear" sheetId="2" r:id="rId2"/>
    <sheet name="Notes" sheetId="35" r:id="rId3"/>
    <sheet name="Data" sheetId="23" r:id="rId4"/>
    <sheet name="Weaponskill" sheetId="33" r:id="rId5"/>
    <sheet name="Melee" sheetId="34" r:id="rId6"/>
    <sheet name="Gear Lists" sheetId="13" r:id="rId7"/>
    <sheet name="Other Lists" sheetId="14" r:id="rId8"/>
    <sheet name="Stats" sheetId="25" r:id="rId9"/>
  </sheets>
  <externalReferences>
    <externalReference r:id="rId10"/>
  </externalReferences>
  <definedNames>
    <definedName name="AM2Table" localSheetId="2">[1]Data!$G$42:$I$48</definedName>
    <definedName name="AM2Table">Data!$G$42:$I$48</definedName>
    <definedName name="Ammo">'Gear Lists'!$A$77:$BC$96</definedName>
    <definedName name="AmmoList">'Gear Lists'!$A$78:$A$96</definedName>
    <definedName name="AtmaHeader" localSheetId="2">'[1]Other Lists'!$A$45:$O$45</definedName>
    <definedName name="AtmaHeader">'Other Lists'!$A$46:$O$46</definedName>
    <definedName name="AtmaList" localSheetId="2">'[1]Other Lists'!$A$46:$O$59</definedName>
    <definedName name="AtmaList">'Other Lists'!$A$47:$O$60</definedName>
    <definedName name="Atmas" localSheetId="2">'[1]Other Lists'!$A$46:$A$59</definedName>
    <definedName name="Atmas">'Other Lists'!$A$47:$A$60</definedName>
    <definedName name="AvgHitsPerHand1Set1" localSheetId="2">[1]Melee!$H$18</definedName>
    <definedName name="AvgHitsPerHand1Set1">Melee!$H$18</definedName>
    <definedName name="AvgHitsPerHand1Set1Daken">Melee!$F$18</definedName>
    <definedName name="AvgHitsPerHand1Set2" localSheetId="2">[1]Melee!$H$59</definedName>
    <definedName name="AvgHitsPerHand1Set2">Melee!$H$59</definedName>
    <definedName name="AvgHitsPerHand1Set2Daken">Melee!$F$59</definedName>
    <definedName name="AvgHitsPerHand2Set1" localSheetId="2">[1]Melee!$F$33</definedName>
    <definedName name="AvgHitsPerHand2Set1">Melee!$F$33</definedName>
    <definedName name="AvgHitsPerHand2Set2" localSheetId="2">[1]Melee!$F$75</definedName>
    <definedName name="AvgHitsPerHand2Set2">Melee!$F$75</definedName>
    <definedName name="AvgHitsPerRound1" localSheetId="2">[1]Melee!$E$39</definedName>
    <definedName name="AvgHitsPerRound1">Melee!$E$39</definedName>
    <definedName name="AvgHitsPerRound2" localSheetId="2">[1]Melee!$E$81</definedName>
    <definedName name="AvgHitsPerRound2">Melee!$E$81</definedName>
    <definedName name="AvgKatanaPerHand1Set1">Melee!$H$18</definedName>
    <definedName name="AvgKatanaPerHand1Set2">Melee!$H$59</definedName>
    <definedName name="AvgRoundsSet1" localSheetId="2">[1]Melee!$Q$12:$R$112</definedName>
    <definedName name="AvgRoundsSet1">Melee!$Q$12:$R$112</definedName>
    <definedName name="AvgRoundsSet2" localSheetId="2">[1]Melee!$T$12:$U$112</definedName>
    <definedName name="AvgRoundsSet2">Melee!$T$12:$U$112</definedName>
    <definedName name="Back">'Gear Lists'!$A$358:$BC$373</definedName>
    <definedName name="BackList" localSheetId="2">'[1]Gear Lists'!$A$347:$A$360</definedName>
    <definedName name="BackList">'Gear Lists'!$A$359:$A$373</definedName>
    <definedName name="Body">'Gear Lists'!$A$211:$BC$261</definedName>
    <definedName name="BodyList" localSheetId="2">'[1]Gear Lists'!$A$207:$A$255</definedName>
    <definedName name="BodyList">'Gear Lists'!$A$212:$A$261</definedName>
    <definedName name="Boosts" localSheetId="2">'[1]Other Lists'!$A$145:$A$146</definedName>
    <definedName name="Boosts">'Other Lists'!$A$146:$A$147</definedName>
    <definedName name="Dagger">'Gear Lists'!$A$44:$BC$55</definedName>
    <definedName name="DaggerList">'Gear Lists'!$A$45:$A$55</definedName>
    <definedName name="dialist" localSheetId="2">'[1]Other Lists'!$A$158:$A$162</definedName>
    <definedName name="dialist">'Other Lists'!$A$159:$A$163</definedName>
    <definedName name="dias" localSheetId="2">'[1]Other Lists'!$A$158:$B$162</definedName>
    <definedName name="dias">'Other Lists'!$A$159:$B$163</definedName>
    <definedName name="Earring">'Gear Lists'!$A$180:$BC$208</definedName>
    <definedName name="EarringList" localSheetId="2">'[1]Gear Lists'!$A$177:$A$203</definedName>
    <definedName name="EarringList">'Gear Lists'!$A$181:$A$208</definedName>
    <definedName name="Feet">'Gear Lists'!$A$451:$BC$492</definedName>
    <definedName name="FeetList" localSheetId="2">'[1]Gear Lists'!$A$435:$A$472</definedName>
    <definedName name="FeetList">'Gear Lists'!$A$452:$A$492</definedName>
    <definedName name="Food" localSheetId="2">'[1]Other Lists'!$A$1:$L$23</definedName>
    <definedName name="Food">'Other Lists'!$A$1:$L$24</definedName>
    <definedName name="FoodHeader" localSheetId="2">'[1]Other Lists'!$A$1:$L$1</definedName>
    <definedName name="FoodHeader">'Other Lists'!$A$1:$L$1</definedName>
    <definedName name="FoodList" localSheetId="2">'[1]Other Lists'!$A$2:$A$23</definedName>
    <definedName name="FoodList">'Other Lists'!$A$2:$A$24</definedName>
    <definedName name="GradeRates" localSheetId="2">[1]Stats!$A$36:$J$43</definedName>
    <definedName name="GradeRates">Stats!$A$36:$J$43</definedName>
    <definedName name="Grades" localSheetId="2">[1]Stats!$A$8:$I$33</definedName>
    <definedName name="Grades">Stats!$A$8:$I$33</definedName>
    <definedName name="Hands">'Gear Lists'!$A$264:$BC$309</definedName>
    <definedName name="HandsList" localSheetId="2">'[1]Gear Lists'!$A$259:$A$298</definedName>
    <definedName name="HandsList">'Gear Lists'!$A$265:$A$309</definedName>
    <definedName name="Hastes" localSheetId="2">'[1]Other Lists'!$A$141:$A$142</definedName>
    <definedName name="Hastes">'Other Lists'!$A$142:$A$143</definedName>
    <definedName name="Head">'Gear Lists'!$A$99:$BC$149</definedName>
    <definedName name="HeadList" localSheetId="2">'[1]Gear Lists'!$A$99:$A$145</definedName>
    <definedName name="HeadList">'Gear Lists'!$A$100:$A$149</definedName>
    <definedName name="Ionis" localSheetId="2">'[1]Other Lists'!$A$133:$B$137</definedName>
    <definedName name="Ionis">'Other Lists'!$A$134:$B$138</definedName>
    <definedName name="Katana">'Gear Lists'!$A$4:$BC$41</definedName>
    <definedName name="KatanaList">'Gear Lists'!$A$5:$A$41</definedName>
    <definedName name="Legs">'Gear Lists'!$A$408:$BC$448</definedName>
    <definedName name="LegsList" localSheetId="2">'[1]Gear Lists'!$A$396:$A$431</definedName>
    <definedName name="LegsList">'Gear Lists'!$A$409:$A$448</definedName>
    <definedName name="MobHeader" localSheetId="2">'[1]Other Lists'!$A$63:$J$63</definedName>
    <definedName name="MobHeader">'Other Lists'!$A$64:$J$64</definedName>
    <definedName name="MobNames" localSheetId="2">'[1]Other Lists'!$A$64:$A$80</definedName>
    <definedName name="MobNames">'Other Lists'!$A$65:$A$81</definedName>
    <definedName name="Mobs" localSheetId="2">'[1]Other Lists'!$A$63:$J$80</definedName>
    <definedName name="Mobs">'Other Lists'!$A$64:$J$81</definedName>
    <definedName name="Neck">'Gear Lists'!$A$152:$BC$177</definedName>
    <definedName name="NeckList" localSheetId="2">'[1]Gear Lists'!$A$149:$A$173</definedName>
    <definedName name="NeckList">'Gear Lists'!$A$153:$A$177</definedName>
    <definedName name="OffhandWeapon" localSheetId="2">'[1]Other Lists'!$A$94:$A$95</definedName>
    <definedName name="OffhandWeapon">'Other Lists'!$A$95:$A$96</definedName>
    <definedName name="PlayerStats" localSheetId="2">[1]Stats!$A$2:$I$3</definedName>
    <definedName name="PlayerStats">Stats!$A$2:$I$3</definedName>
    <definedName name="Races" localSheetId="2">'[1]Other Lists'!$A$87:$A$91</definedName>
    <definedName name="Races">'Other Lists'!$A$88:$A$92</definedName>
    <definedName name="Ranged">'Gear Lists'!$A$70:$BC$74</definedName>
    <definedName name="RangedList" localSheetId="2">'[1]Gear Lists'!$A$71:$A$73</definedName>
    <definedName name="RangedList">'Gear Lists'!$A$71:$A$74</definedName>
    <definedName name="RateTiers" localSheetId="2">[1]Stats!$A$36:$J$36</definedName>
    <definedName name="RateTiers">Stats!$A$36:$J$36</definedName>
    <definedName name="Ring">'Gear Lists'!$A$312:$BC$355</definedName>
    <definedName name="RingList" localSheetId="2">'[1]Gear Lists'!$A$302:$A$343</definedName>
    <definedName name="RingList">'Gear Lists'!$A$313:$A$355</definedName>
    <definedName name="Set1AM3" localSheetId="2">[1]Weaponskill!$E$6</definedName>
    <definedName name="Set1AM3">Weaponskill!$E$6</definedName>
    <definedName name="Set1AM32" localSheetId="2">[1]Weaponskill!$E$7</definedName>
    <definedName name="Set1AM32">Weaponskill!$E$7</definedName>
    <definedName name="Set1AM33" localSheetId="2">[1]Weaponskill!$E$8</definedName>
    <definedName name="Set1AM33">Weaponskill!$E$8</definedName>
    <definedName name="Set1ConserveTP" localSheetId="2">[1]Data!$D$276</definedName>
    <definedName name="Set1ConserveTP">Data!$D$276</definedName>
    <definedName name="Set1DA" localSheetId="2">[1]Data!$D$226</definedName>
    <definedName name="Set1DA">Data!$D$226</definedName>
    <definedName name="Set1FTP" localSheetId="2">[1]Data!$D$274</definedName>
    <definedName name="Set1FTP">Data!$D$274</definedName>
    <definedName name="Set1MeleeTP" localSheetId="2">[1]Data!$B$236</definedName>
    <definedName name="Set1MeleeTP">Data!$B$236</definedName>
    <definedName name="Set1MinTP" localSheetId="2">[1]Setup!$F$40</definedName>
    <definedName name="Set1MinTP">Setup!$F$40</definedName>
    <definedName name="Set1OverTP" localSheetId="2">[1]Setup!$F$38</definedName>
    <definedName name="Set1OverTP">Setup!$F$38</definedName>
    <definedName name="Set1QA" localSheetId="2">[1]Data!$D$228</definedName>
    <definedName name="Set1QA">Data!$D$228</definedName>
    <definedName name="Set1Regain" localSheetId="2">[1]Data!$D$281</definedName>
    <definedName name="Set1Regain">Data!$D$281</definedName>
    <definedName name="Set1SaveTP" localSheetId="2">[1]Data!$K$20</definedName>
    <definedName name="Set1SaveTP">Data!$K$20</definedName>
    <definedName name="Set1TA" localSheetId="2">[1]Data!$D$227</definedName>
    <definedName name="Set1TA">Data!$D$227</definedName>
    <definedName name="Set1TPBonus" localSheetId="2">[1]Data!$D$275</definedName>
    <definedName name="Set1TPBonus">Data!$D$275</definedName>
    <definedName name="Set1WSAgi">Data!$D$36</definedName>
    <definedName name="Set1WSDex">Data!$D$35</definedName>
    <definedName name="Set1WSDmg" localSheetId="2">[1]Data!$D$277</definedName>
    <definedName name="Set1WSDmg">Data!$D$277</definedName>
    <definedName name="Set1WSHitRate" localSheetId="2">[1]Data!$D$112</definedName>
    <definedName name="Set1WSHitRate">Data!$D$112</definedName>
    <definedName name="Set1WSInt">Data!$D$37</definedName>
    <definedName name="Set1WSStoreTP" localSheetId="2">[1]Data!$D$235</definedName>
    <definedName name="Set1WSStoreTP">Data!$D$235</definedName>
    <definedName name="Set1WSStr">Data!$D$34</definedName>
    <definedName name="Set1WSTP" localSheetId="2">[1]Data!$D$236</definedName>
    <definedName name="Set1WSTP">Data!$D$236</definedName>
    <definedName name="Set2AM3" localSheetId="2">[1]Weaponskill!$E$539</definedName>
    <definedName name="Set2AM3">Weaponskill!$E$539</definedName>
    <definedName name="Set2AM32" localSheetId="2">[1]Weaponskill!$E$540</definedName>
    <definedName name="Set2AM32">Weaponskill!$E$540</definedName>
    <definedName name="Set2AM33" localSheetId="2">[1]Weaponskill!$E$541</definedName>
    <definedName name="Set2AM33">Weaponskill!$E$541</definedName>
    <definedName name="Set2ConserveTP" localSheetId="2">[1]Data!$E$276</definedName>
    <definedName name="Set2ConserveTP">Data!$E$276</definedName>
    <definedName name="Set2DA" localSheetId="2">[1]Data!$E$226</definedName>
    <definedName name="Set2DA">Data!$E$226</definedName>
    <definedName name="Set2FTP" localSheetId="2">[1]Data!$E$274</definedName>
    <definedName name="Set2FTP">Data!$E$274</definedName>
    <definedName name="Set2MeleeTP" localSheetId="2">[1]Data!$C$236</definedName>
    <definedName name="Set2MeleeTP">Data!$C$236</definedName>
    <definedName name="Set2MinTP" localSheetId="2">[1]Setup!$G$40</definedName>
    <definedName name="Set2MinTP">Setup!$G$40</definedName>
    <definedName name="Set2OverTP" localSheetId="2">[1]Setup!$G$38</definedName>
    <definedName name="Set2OverTP">Setup!$G$38</definedName>
    <definedName name="Set2QA" localSheetId="2">[1]Data!$E$228</definedName>
    <definedName name="Set2QA">Data!$E$228</definedName>
    <definedName name="Set2Regain" localSheetId="2">[1]Data!$E$281</definedName>
    <definedName name="Set2Regain">Data!$E$281</definedName>
    <definedName name="Set2SaveTP" localSheetId="2">[1]Data!$L$20</definedName>
    <definedName name="Set2SaveTP">Data!$L$20</definedName>
    <definedName name="Set2TA" localSheetId="2">[1]Data!$E$227</definedName>
    <definedName name="Set2TA">Data!$E$227</definedName>
    <definedName name="Set2TPBonus" localSheetId="2">[1]Data!$E$275</definedName>
    <definedName name="Set2TPBonus">Data!$E$275</definedName>
    <definedName name="Set2WSAgi">Data!$E$36</definedName>
    <definedName name="Set2WSDex">Data!$E$35</definedName>
    <definedName name="Set2WSDmg" localSheetId="2">[1]Data!$E$277</definedName>
    <definedName name="Set2WSDmg">Data!$E$277</definedName>
    <definedName name="Set2WSHitRate" localSheetId="2">[1]Data!$E$112</definedName>
    <definedName name="Set2WSHitRate">Data!$E$112</definedName>
    <definedName name="Set2WSInt">Data!$E$37</definedName>
    <definedName name="Set2WSStoreTP" localSheetId="2">[1]Data!$E$235</definedName>
    <definedName name="Set2WSStoreTP">Data!$E$235</definedName>
    <definedName name="Set2WSStr">Data!$E$34</definedName>
    <definedName name="Set2WSTP" localSheetId="2">[1]Data!$E$236</definedName>
    <definedName name="Set2WSTP">Data!$E$236</definedName>
    <definedName name="SetBonusLookup" localSheetId="2">'[1]Other Lists'!$C$108:$N$128</definedName>
    <definedName name="SetBonusLookup">'Other Lists'!$C$109:$N$129</definedName>
    <definedName name="Shuriken">'Gear Lists'!$A$58:$BC$67</definedName>
    <definedName name="ShurikenList">'Gear Lists'!$A$59:$A$67</definedName>
    <definedName name="Skills" localSheetId="2">'[1]Other Lists'!$A$102:$C$104</definedName>
    <definedName name="Skills">'Other Lists'!$A$103:$C$105</definedName>
    <definedName name="Slots" localSheetId="2">[1]Gear!$A$3:$A$22</definedName>
    <definedName name="Slots">Gear!$A$3:$A$22</definedName>
    <definedName name="StatHeader" localSheetId="2">'[1]Gear Lists'!$A$1:$BC$1</definedName>
    <definedName name="StatHeader">'Gear Lists'!$A$1:$BC$1</definedName>
    <definedName name="Stats" localSheetId="2">[1]Stats!$A$8:$I$8</definedName>
    <definedName name="Stats">Stats!$A$8:$I$8</definedName>
    <definedName name="Subjobs" localSheetId="2">'[1]Other Lists'!$A$83:$A$84</definedName>
    <definedName name="Subjobs">'Other Lists'!$A$84:$A$85</definedName>
    <definedName name="ThrowingWeapon" localSheetId="2">'[1]Other Lists'!$A$98:$A$99</definedName>
    <definedName name="ThrowingWeapon">'Other Lists'!$A$99:$A$100</definedName>
    <definedName name="Toggle" localSheetId="2">'[1]Other Lists'!$A$40:$A$41</definedName>
    <definedName name="Toggle">'Other Lists'!$A$41:$A$42</definedName>
    <definedName name="TPSet1">Gear!$A$2:$W$22</definedName>
    <definedName name="TPSet1Gear">Gear!$B$3:$B$18</definedName>
    <definedName name="TPSet2">Gear!$Y$2:$AU$22</definedName>
    <definedName name="TPSet2Gear">Gear!$Z$3:$Z$18</definedName>
    <definedName name="Waist">'Gear Lists'!$A$376:$BC$405</definedName>
    <definedName name="WaistList" localSheetId="2">'[1]Gear Lists'!$A$364:$A$392</definedName>
    <definedName name="WaistList">'Gear Lists'!$A$377:$A$405</definedName>
    <definedName name="WeaponskillData" localSheetId="2">'[1]Other Lists'!$A$27:$Q$35</definedName>
    <definedName name="WeaponskillData">'Other Lists'!$A$28:$Q$36</definedName>
    <definedName name="WeaponskillDataCols" localSheetId="2">'[1]Other Lists'!$A$26:$Q$26</definedName>
    <definedName name="WeaponskillDataCols">'Other Lists'!$A$27:$Q$27</definedName>
    <definedName name="Weaponskills" localSheetId="2">'[1]Other Lists'!$A$27:$A$35</definedName>
    <definedName name="Weaponskills">'Other Lists'!$A$28:$A$36</definedName>
    <definedName name="WSSet1">Gear!$A$26:$W$46</definedName>
    <definedName name="WSSet1Gear">Gear!$B$27:$B$42</definedName>
    <definedName name="WSSet2">Gear!$Y$26:$AU$46</definedName>
    <definedName name="WSSet2Gear">Gear!$Z$27:$Z$42</definedName>
  </definedNames>
  <calcPr calcId="162913"/>
</workbook>
</file>

<file path=xl/calcChain.xml><?xml version="1.0" encoding="utf-8"?>
<calcChain xmlns="http://schemas.openxmlformats.org/spreadsheetml/2006/main">
  <c r="E62" i="34" l="1"/>
  <c r="E279" i="23" l="1"/>
  <c r="D279" i="23"/>
  <c r="B26" i="34"/>
  <c r="E278" i="23" l="1"/>
  <c r="E47" i="23" l="1"/>
  <c r="D47" i="23"/>
  <c r="C47" i="23"/>
  <c r="B47" i="23"/>
  <c r="C218" i="23" l="1"/>
  <c r="C40" i="23"/>
  <c r="E44" i="23" l="1"/>
  <c r="D44" i="23"/>
  <c r="C44" i="23"/>
  <c r="B44" i="23"/>
  <c r="B163" i="14"/>
  <c r="B162" i="14"/>
  <c r="B160" i="14"/>
  <c r="B161" i="14"/>
  <c r="B40" i="23"/>
  <c r="E74" i="23"/>
  <c r="D74" i="23"/>
  <c r="C74" i="23"/>
  <c r="B74" i="23"/>
  <c r="D2" i="2" l="1"/>
  <c r="B57" i="23" l="1"/>
  <c r="N71" i="34" l="1"/>
  <c r="N70" i="34"/>
  <c r="M70" i="34"/>
  <c r="N69" i="34"/>
  <c r="M69" i="34"/>
  <c r="L69" i="34"/>
  <c r="N68" i="34"/>
  <c r="M68" i="34"/>
  <c r="L68" i="34"/>
  <c r="K68" i="34"/>
  <c r="N67" i="34"/>
  <c r="M67" i="34"/>
  <c r="L67" i="34"/>
  <c r="K67" i="34"/>
  <c r="J67" i="34"/>
  <c r="N66" i="34"/>
  <c r="M66" i="34"/>
  <c r="L66" i="34"/>
  <c r="K66" i="34"/>
  <c r="J66" i="34"/>
  <c r="I66" i="34"/>
  <c r="N65" i="34"/>
  <c r="M65" i="34"/>
  <c r="L65" i="34"/>
  <c r="K65" i="34"/>
  <c r="J65" i="34"/>
  <c r="I65" i="34"/>
  <c r="H65" i="34"/>
  <c r="N64" i="34"/>
  <c r="M64" i="34"/>
  <c r="L64" i="34"/>
  <c r="K64" i="34"/>
  <c r="J64" i="34"/>
  <c r="I64" i="34"/>
  <c r="H64" i="34"/>
  <c r="G64" i="34"/>
  <c r="H22" i="34"/>
  <c r="N29" i="34"/>
  <c r="N28" i="34"/>
  <c r="M28" i="34"/>
  <c r="N27" i="34"/>
  <c r="M27" i="34"/>
  <c r="L27" i="34"/>
  <c r="N26" i="34"/>
  <c r="M26" i="34"/>
  <c r="L26" i="34"/>
  <c r="K26" i="34"/>
  <c r="N25" i="34"/>
  <c r="M25" i="34"/>
  <c r="L25" i="34"/>
  <c r="K25" i="34"/>
  <c r="J25" i="34"/>
  <c r="N24" i="34"/>
  <c r="M24" i="34"/>
  <c r="L24" i="34"/>
  <c r="K24" i="34"/>
  <c r="J24" i="34"/>
  <c r="I24" i="34"/>
  <c r="N23" i="34"/>
  <c r="M23" i="34"/>
  <c r="L23" i="34"/>
  <c r="K23" i="34"/>
  <c r="J23" i="34"/>
  <c r="I23" i="34"/>
  <c r="H23" i="34"/>
  <c r="N22" i="34"/>
  <c r="M22" i="34"/>
  <c r="L22" i="34"/>
  <c r="K22" i="34"/>
  <c r="J22" i="34"/>
  <c r="I22" i="34"/>
  <c r="G22" i="34"/>
  <c r="D278" i="23"/>
  <c r="E130" i="23"/>
  <c r="C130" i="23"/>
  <c r="E65" i="23"/>
  <c r="C65" i="23"/>
  <c r="O43" i="2" l="1"/>
  <c r="E40" i="23" l="1"/>
  <c r="D40" i="23"/>
  <c r="B266" i="23" l="1"/>
  <c r="C266" i="23"/>
  <c r="AU29" i="2" l="1"/>
  <c r="AU43" i="2"/>
  <c r="W29" i="2"/>
  <c r="W43" i="2"/>
  <c r="AU5" i="2"/>
  <c r="W5" i="2"/>
  <c r="B70" i="34"/>
  <c r="B29" i="34"/>
  <c r="AU7" i="2"/>
  <c r="AU38" i="2"/>
  <c r="AU34" i="2"/>
  <c r="W42" i="2"/>
  <c r="AU42" i="2"/>
  <c r="AU18" i="2"/>
  <c r="V3" i="2"/>
  <c r="AU33" i="2"/>
  <c r="AU12" i="2"/>
  <c r="W41" i="2"/>
  <c r="AU8" i="2"/>
  <c r="AU10" i="2"/>
  <c r="AU13" i="2"/>
  <c r="AU6" i="2"/>
  <c r="W37" i="2"/>
  <c r="W10" i="2"/>
  <c r="W6" i="2"/>
  <c r="AU32" i="2"/>
  <c r="W4" i="2"/>
  <c r="W13" i="2"/>
  <c r="W11" i="2"/>
  <c r="AU3" i="2"/>
  <c r="W30" i="2"/>
  <c r="AU36" i="2"/>
  <c r="AU4" i="2"/>
  <c r="AU15" i="2"/>
  <c r="AU41" i="2"/>
  <c r="W3" i="2"/>
  <c r="AU16" i="2"/>
  <c r="AU37" i="2"/>
  <c r="W38" i="2"/>
  <c r="W36" i="2"/>
  <c r="AU9" i="2"/>
  <c r="W17" i="2"/>
  <c r="W18" i="2"/>
  <c r="AU11" i="2"/>
  <c r="W40" i="2"/>
  <c r="W32" i="2"/>
  <c r="W34" i="2"/>
  <c r="W33" i="2"/>
  <c r="W8" i="2"/>
  <c r="W35" i="2"/>
  <c r="AU30" i="2"/>
  <c r="W15" i="2"/>
  <c r="W14" i="2"/>
  <c r="W31" i="2"/>
  <c r="AU39" i="2"/>
  <c r="W12" i="2"/>
  <c r="AU14" i="2"/>
  <c r="W9" i="2"/>
  <c r="AU35" i="2"/>
  <c r="W16" i="2"/>
  <c r="AU17" i="2"/>
  <c r="W39" i="2"/>
  <c r="AU40" i="2"/>
  <c r="AU31" i="2"/>
  <c r="AT3" i="2"/>
  <c r="W7" i="2"/>
  <c r="W22" i="2" l="1"/>
  <c r="AU22" i="2"/>
  <c r="L120" i="14"/>
  <c r="L121" i="14"/>
  <c r="K121" i="14"/>
  <c r="B75" i="23"/>
  <c r="K120" i="14"/>
  <c r="AT8" i="2"/>
  <c r="K118" i="14"/>
  <c r="L119" i="14"/>
  <c r="K119" i="14"/>
  <c r="B139" i="23"/>
  <c r="B79" i="23" l="1"/>
  <c r="B78" i="23"/>
  <c r="B259" i="23"/>
  <c r="K122" i="14"/>
  <c r="K115" i="14"/>
  <c r="L122" i="14"/>
  <c r="K124" i="14"/>
  <c r="K123" i="14"/>
  <c r="K111" i="14"/>
  <c r="L113" i="14"/>
  <c r="L111" i="14"/>
  <c r="K112" i="14"/>
  <c r="L110" i="14"/>
  <c r="L123" i="14"/>
  <c r="K114" i="14"/>
  <c r="L115" i="14"/>
  <c r="L112" i="14"/>
  <c r="K110" i="14"/>
  <c r="L124" i="14"/>
  <c r="L114" i="14"/>
  <c r="K113" i="14"/>
  <c r="N6" i="24" l="1"/>
  <c r="B23" i="23" l="1"/>
  <c r="B22" i="23"/>
  <c r="P6" i="24" l="1"/>
  <c r="P4" i="23" s="1"/>
  <c r="O6" i="24"/>
  <c r="O4" i="23" s="1"/>
  <c r="AA151" i="14" l="1"/>
  <c r="AA152" i="14"/>
  <c r="AA153" i="14"/>
  <c r="AA154" i="14"/>
  <c r="AA155" i="14"/>
  <c r="AA156" i="14"/>
  <c r="AA150" i="14"/>
  <c r="P4" i="24" l="1"/>
  <c r="O4" i="24"/>
  <c r="B50" i="23"/>
  <c r="G17" i="23" l="1"/>
  <c r="C259" i="23"/>
  <c r="B230" i="23"/>
  <c r="N2" i="24"/>
  <c r="N3" i="24"/>
  <c r="O5" i="24" s="1"/>
  <c r="O3" i="23" s="1"/>
  <c r="C50" i="23"/>
  <c r="E50" i="23"/>
  <c r="D50" i="23"/>
  <c r="B67" i="23"/>
  <c r="P5" i="24" l="1"/>
  <c r="P3" i="23" s="1"/>
  <c r="AS5" i="2"/>
  <c r="AR5" i="2"/>
  <c r="U10" i="2"/>
  <c r="AR10" i="2"/>
  <c r="AR4" i="2"/>
  <c r="AR15" i="2"/>
  <c r="AS6" i="2"/>
  <c r="AS16" i="2"/>
  <c r="AS7" i="2"/>
  <c r="AR17" i="2"/>
  <c r="U13" i="2"/>
  <c r="AS17" i="2"/>
  <c r="T14" i="2"/>
  <c r="AR6" i="2"/>
  <c r="AS14" i="2"/>
  <c r="AR13" i="2"/>
  <c r="AS3" i="2"/>
  <c r="AS9" i="2"/>
  <c r="U8" i="2"/>
  <c r="T8" i="2"/>
  <c r="AS4" i="2"/>
  <c r="T6" i="2"/>
  <c r="T11" i="2"/>
  <c r="U14" i="2"/>
  <c r="T17" i="2"/>
  <c r="U7" i="2"/>
  <c r="T13" i="2"/>
  <c r="AR8" i="2"/>
  <c r="AR12" i="2"/>
  <c r="AR3" i="2"/>
  <c r="AR7" i="2"/>
  <c r="U16" i="2"/>
  <c r="U18" i="2"/>
  <c r="AS15" i="2"/>
  <c r="AS10" i="2"/>
  <c r="AR14" i="2"/>
  <c r="AS13" i="2"/>
  <c r="U11" i="2"/>
  <c r="T7" i="2"/>
  <c r="U6" i="2"/>
  <c r="AS8" i="2"/>
  <c r="T18" i="2"/>
  <c r="AS11" i="2"/>
  <c r="AR9" i="2"/>
  <c r="AS12" i="2"/>
  <c r="U12" i="2"/>
  <c r="T10" i="2"/>
  <c r="AR18" i="2"/>
  <c r="T15" i="2"/>
  <c r="U9" i="2"/>
  <c r="AR11" i="2"/>
  <c r="T12" i="2"/>
  <c r="T16" i="2"/>
  <c r="U17" i="2"/>
  <c r="AS18" i="2"/>
  <c r="T9" i="2"/>
  <c r="U15" i="2"/>
  <c r="AR16" i="2"/>
  <c r="U5" i="2" l="1"/>
  <c r="T5" i="2"/>
  <c r="U4" i="2"/>
  <c r="T4" i="2"/>
  <c r="U3" i="2"/>
  <c r="T3" i="2"/>
  <c r="B192" i="23" l="1"/>
  <c r="C192" i="23"/>
  <c r="C186" i="23"/>
  <c r="B186" i="23"/>
  <c r="C14" i="24"/>
  <c r="C219" i="23"/>
  <c r="B219" i="23"/>
  <c r="B218" i="23"/>
  <c r="B196" i="23" l="1"/>
  <c r="C185" i="23"/>
  <c r="B185" i="23"/>
  <c r="AB2" i="2"/>
  <c r="H24" i="23"/>
  <c r="G24" i="23"/>
  <c r="AQ19" i="2"/>
  <c r="AQ11" i="2"/>
  <c r="AQ7" i="2"/>
  <c r="C139" i="23"/>
  <c r="AQ10" i="2"/>
  <c r="G25" i="23"/>
  <c r="AQ12" i="2"/>
  <c r="AQ16" i="2"/>
  <c r="AQ6" i="2"/>
  <c r="AQ14" i="2"/>
  <c r="AQ13" i="2"/>
  <c r="AQ18" i="2"/>
  <c r="H26" i="23"/>
  <c r="AQ17" i="2"/>
  <c r="AQ15" i="2"/>
  <c r="AQ8" i="2"/>
  <c r="C75" i="23"/>
  <c r="AQ9" i="2"/>
  <c r="C79" i="23" l="1"/>
  <c r="C78" i="23"/>
  <c r="C212" i="23"/>
  <c r="C213" i="23" s="1"/>
  <c r="B208" i="23"/>
  <c r="AQ5" i="2"/>
  <c r="S19" i="2"/>
  <c r="S5" i="2"/>
  <c r="S6" i="2"/>
  <c r="S16" i="2"/>
  <c r="S12" i="2"/>
  <c r="S10" i="2"/>
  <c r="AQ4" i="2"/>
  <c r="S7" i="2"/>
  <c r="S14" i="2"/>
  <c r="S15" i="2"/>
  <c r="S8" i="2"/>
  <c r="G26" i="23"/>
  <c r="S17" i="2"/>
  <c r="S3" i="2"/>
  <c r="S18" i="2"/>
  <c r="S4" i="2"/>
  <c r="H25" i="23"/>
  <c r="S9" i="2"/>
  <c r="AQ3" i="2"/>
  <c r="S11" i="2"/>
  <c r="S13" i="2"/>
  <c r="B212" i="23" l="1"/>
  <c r="B213" i="23" s="1"/>
  <c r="C208" i="23"/>
  <c r="B209" i="23"/>
  <c r="AQ22" i="2"/>
  <c r="S22" i="2"/>
  <c r="C105" i="14"/>
  <c r="C17" i="24"/>
  <c r="B229" i="23"/>
  <c r="C229" i="23"/>
  <c r="B68" i="34" l="1"/>
  <c r="B27" i="34"/>
  <c r="C209" i="23"/>
  <c r="C104" i="14"/>
  <c r="L20" i="23"/>
  <c r="K20" i="23"/>
  <c r="C42" i="23" l="1"/>
  <c r="C43" i="23" s="1"/>
  <c r="C264" i="23"/>
  <c r="B264" i="23"/>
  <c r="E42" i="23"/>
  <c r="E43" i="23" s="1"/>
  <c r="D42" i="23"/>
  <c r="D43" i="23" s="1"/>
  <c r="B42" i="23"/>
  <c r="B43" i="23" s="1"/>
  <c r="E45" i="23"/>
  <c r="D45" i="23"/>
  <c r="C45" i="23"/>
  <c r="B45" i="23"/>
  <c r="E41" i="23"/>
  <c r="D41" i="23"/>
  <c r="B41" i="23"/>
  <c r="C41" i="23"/>
  <c r="E239" i="23"/>
  <c r="D239" i="23"/>
  <c r="C239" i="23"/>
  <c r="B239" i="23"/>
  <c r="H19" i="23"/>
  <c r="G19" i="23"/>
  <c r="H13" i="23"/>
  <c r="G13" i="23"/>
  <c r="X20" i="2"/>
  <c r="AB19" i="2"/>
  <c r="AB5" i="2"/>
  <c r="D19" i="2"/>
  <c r="D5" i="2"/>
  <c r="Y28" i="2"/>
  <c r="A28" i="2"/>
  <c r="C103" i="14"/>
  <c r="C16" i="24"/>
  <c r="E122" i="23"/>
  <c r="D122" i="23"/>
  <c r="C122" i="23"/>
  <c r="B122" i="23"/>
  <c r="D132" i="23"/>
  <c r="B132" i="23"/>
  <c r="E123" i="23"/>
  <c r="D123" i="23"/>
  <c r="C123" i="23"/>
  <c r="B123" i="23"/>
  <c r="E58" i="23"/>
  <c r="D58" i="23"/>
  <c r="C58" i="23"/>
  <c r="B58" i="23"/>
  <c r="AA29" i="2"/>
  <c r="AC29" i="2"/>
  <c r="AG29" i="2"/>
  <c r="B27" i="2"/>
  <c r="B28" i="2"/>
  <c r="C29" i="2"/>
  <c r="E29" i="2"/>
  <c r="I29" i="2"/>
  <c r="AA5" i="2"/>
  <c r="AD5" i="2"/>
  <c r="AH5" i="2"/>
  <c r="C5" i="2"/>
  <c r="F5" i="2"/>
  <c r="J5" i="2"/>
  <c r="E48" i="23"/>
  <c r="D48" i="23"/>
  <c r="B48" i="23"/>
  <c r="C48" i="23"/>
  <c r="B1" i="23"/>
  <c r="D1" i="23"/>
  <c r="B267" i="23" s="1"/>
  <c r="D29" i="2"/>
  <c r="B1" i="25"/>
  <c r="C1" i="25" s="1"/>
  <c r="A47" i="25"/>
  <c r="A57" i="25"/>
  <c r="E57" i="25" s="1"/>
  <c r="A67" i="25"/>
  <c r="H67" i="25" s="1"/>
  <c r="E1" i="23"/>
  <c r="D9" i="23" s="1"/>
  <c r="D3" i="23"/>
  <c r="F3" i="23"/>
  <c r="H29" i="2"/>
  <c r="E9" i="23"/>
  <c r="D67" i="23"/>
  <c r="L3" i="23"/>
  <c r="L1" i="23"/>
  <c r="M29" i="2"/>
  <c r="V29" i="2"/>
  <c r="C18" i="23"/>
  <c r="R5" i="2"/>
  <c r="C21" i="23"/>
  <c r="N5" i="2"/>
  <c r="Q5" i="2"/>
  <c r="V5" i="2"/>
  <c r="D4" i="23"/>
  <c r="F4" i="23"/>
  <c r="E10" i="23"/>
  <c r="B46" i="23"/>
  <c r="B51" i="23"/>
  <c r="L4" i="23"/>
  <c r="M5" i="2"/>
  <c r="L5" i="2"/>
  <c r="B14" i="23"/>
  <c r="C14" i="23"/>
  <c r="K5" i="2"/>
  <c r="C13" i="23"/>
  <c r="E20" i="34"/>
  <c r="E22" i="34" s="1"/>
  <c r="G5" i="34"/>
  <c r="H5" i="34"/>
  <c r="H6" i="34"/>
  <c r="I5" i="34"/>
  <c r="I6" i="34"/>
  <c r="I7" i="34"/>
  <c r="J5" i="34"/>
  <c r="J6" i="34"/>
  <c r="J7" i="34"/>
  <c r="J8" i="34"/>
  <c r="K5" i="34"/>
  <c r="K6" i="34"/>
  <c r="K7" i="34"/>
  <c r="K8" i="34"/>
  <c r="K9" i="34"/>
  <c r="L5" i="34"/>
  <c r="L6" i="34"/>
  <c r="L7" i="34"/>
  <c r="L8" i="34"/>
  <c r="L9" i="34"/>
  <c r="L10" i="34"/>
  <c r="M5" i="34"/>
  <c r="M6" i="34"/>
  <c r="M7" i="34"/>
  <c r="M8" i="34"/>
  <c r="M9" i="34"/>
  <c r="M10" i="34"/>
  <c r="M11" i="34"/>
  <c r="N5" i="34"/>
  <c r="N6" i="34"/>
  <c r="N7" i="34"/>
  <c r="N8" i="34"/>
  <c r="N9" i="34"/>
  <c r="N10" i="34"/>
  <c r="N11" i="34"/>
  <c r="N12" i="34"/>
  <c r="Q29" i="2"/>
  <c r="L29" i="2"/>
  <c r="K29" i="2"/>
  <c r="J29" i="2"/>
  <c r="A2" i="33"/>
  <c r="D46" i="23"/>
  <c r="D51" i="23"/>
  <c r="R29" i="2"/>
  <c r="C20" i="23"/>
  <c r="AB29" i="2"/>
  <c r="E3" i="23"/>
  <c r="G3" i="23"/>
  <c r="AF29" i="2"/>
  <c r="F9" i="23"/>
  <c r="G24" i="24"/>
  <c r="E67" i="23" s="1"/>
  <c r="AK29" i="2"/>
  <c r="AT29" i="2"/>
  <c r="D18" i="23"/>
  <c r="AP5" i="2"/>
  <c r="D21" i="23"/>
  <c r="AL5" i="2"/>
  <c r="AO5" i="2"/>
  <c r="AT5" i="2"/>
  <c r="E4" i="23"/>
  <c r="G4" i="23"/>
  <c r="F10" i="23"/>
  <c r="C46" i="23"/>
  <c r="AK5" i="2"/>
  <c r="AJ5" i="2"/>
  <c r="D14" i="23"/>
  <c r="AI5" i="2"/>
  <c r="D13" i="23"/>
  <c r="G46" i="34"/>
  <c r="H46" i="34"/>
  <c r="H47" i="34"/>
  <c r="I46" i="34"/>
  <c r="I47" i="34"/>
  <c r="I48" i="34"/>
  <c r="J46" i="34"/>
  <c r="J47" i="34"/>
  <c r="J48" i="34"/>
  <c r="J49" i="34"/>
  <c r="K46" i="34"/>
  <c r="K47" i="34"/>
  <c r="K48" i="34"/>
  <c r="K49" i="34"/>
  <c r="K50" i="34"/>
  <c r="L46" i="34"/>
  <c r="L47" i="34"/>
  <c r="L48" i="34"/>
  <c r="L49" i="34"/>
  <c r="L50" i="34"/>
  <c r="L51" i="34"/>
  <c r="M46" i="34"/>
  <c r="M47" i="34"/>
  <c r="M48" i="34"/>
  <c r="M49" i="34"/>
  <c r="M50" i="34"/>
  <c r="M51" i="34"/>
  <c r="M52" i="34"/>
  <c r="N46" i="34"/>
  <c r="N47" i="34"/>
  <c r="N48" i="34"/>
  <c r="N49" i="34"/>
  <c r="N50" i="34"/>
  <c r="N51" i="34"/>
  <c r="N52" i="34"/>
  <c r="N53" i="34"/>
  <c r="AO29" i="2"/>
  <c r="AJ29" i="2"/>
  <c r="AI29" i="2"/>
  <c r="AH29" i="2"/>
  <c r="A535" i="33"/>
  <c r="E46" i="23"/>
  <c r="AP29" i="2"/>
  <c r="D20" i="23"/>
  <c r="Z27" i="2"/>
  <c r="Z28" i="2"/>
  <c r="L2" i="23"/>
  <c r="AA43" i="2"/>
  <c r="L11" i="23"/>
  <c r="L12" i="23"/>
  <c r="L13" i="23"/>
  <c r="C43" i="2"/>
  <c r="AA19" i="2"/>
  <c r="AC5" i="2"/>
  <c r="AG5" i="2"/>
  <c r="C19" i="2"/>
  <c r="E5" i="2"/>
  <c r="I5" i="2"/>
  <c r="AP19" i="2"/>
  <c r="AQ43" i="2"/>
  <c r="AP43" i="2"/>
  <c r="AO43" i="2"/>
  <c r="AN43" i="2"/>
  <c r="AM43" i="2"/>
  <c r="AJ43" i="2"/>
  <c r="AE43" i="2"/>
  <c r="S43" i="2"/>
  <c r="R43" i="2"/>
  <c r="Q43" i="2"/>
  <c r="P43" i="2"/>
  <c r="L43" i="2"/>
  <c r="G43" i="2"/>
  <c r="AN19" i="2"/>
  <c r="AK19" i="2"/>
  <c r="AF19" i="2"/>
  <c r="R19" i="2"/>
  <c r="P19" i="2"/>
  <c r="M19" i="2"/>
  <c r="H19" i="2"/>
  <c r="I37" i="25"/>
  <c r="J37" i="25"/>
  <c r="I38" i="25"/>
  <c r="J38" i="25"/>
  <c r="I39" i="25"/>
  <c r="J39" i="25"/>
  <c r="I40" i="25"/>
  <c r="J40" i="25"/>
  <c r="I41" i="25"/>
  <c r="J41" i="25"/>
  <c r="I42" i="25"/>
  <c r="J42" i="25"/>
  <c r="I43" i="25"/>
  <c r="J43" i="25"/>
  <c r="E64" i="34"/>
  <c r="F29" i="2"/>
  <c r="F5" i="23"/>
  <c r="D5" i="23"/>
  <c r="N7" i="24"/>
  <c r="L6" i="23" s="1"/>
  <c r="S29" i="2"/>
  <c r="O29" i="2"/>
  <c r="N9" i="24"/>
  <c r="L7" i="23" s="1"/>
  <c r="C17" i="23"/>
  <c r="P29" i="2"/>
  <c r="N8" i="24"/>
  <c r="L5" i="23" s="1"/>
  <c r="N29" i="2"/>
  <c r="C16" i="23"/>
  <c r="N10" i="24"/>
  <c r="L8" i="23" s="1"/>
  <c r="D242" i="23"/>
  <c r="K12" i="33"/>
  <c r="AD29" i="2"/>
  <c r="G5" i="23"/>
  <c r="E5" i="23"/>
  <c r="AQ29" i="2"/>
  <c r="AL29" i="2"/>
  <c r="D16" i="23"/>
  <c r="C13" i="24"/>
  <c r="E242" i="23"/>
  <c r="AM29" i="2"/>
  <c r="D17" i="23"/>
  <c r="AN29" i="2"/>
  <c r="K545" i="33"/>
  <c r="Q8" i="33"/>
  <c r="Q11" i="33"/>
  <c r="Q541" i="33"/>
  <c r="Q544" i="33"/>
  <c r="A1" i="23"/>
  <c r="D6" i="23"/>
  <c r="E6" i="23"/>
  <c r="F6" i="23"/>
  <c r="G6" i="23"/>
  <c r="K11" i="23"/>
  <c r="K12" i="23"/>
  <c r="K13" i="23"/>
  <c r="H17" i="23"/>
  <c r="B32" i="23"/>
  <c r="C32" i="23"/>
  <c r="D32" i="23"/>
  <c r="E32" i="23"/>
  <c r="B33" i="23"/>
  <c r="C33" i="23"/>
  <c r="D33" i="23"/>
  <c r="E33" i="23"/>
  <c r="G5" i="2"/>
  <c r="AE5" i="2"/>
  <c r="H5" i="2"/>
  <c r="AF5" i="2"/>
  <c r="G29" i="2"/>
  <c r="AE29" i="2"/>
  <c r="H41" i="23"/>
  <c r="H45" i="23" s="1"/>
  <c r="I41" i="23"/>
  <c r="I46" i="23" s="1"/>
  <c r="C230" i="23"/>
  <c r="O5" i="2"/>
  <c r="AM5" i="2"/>
  <c r="B242" i="23"/>
  <c r="C242" i="23"/>
  <c r="P5" i="2"/>
  <c r="AN5" i="2"/>
  <c r="B249" i="23"/>
  <c r="C249" i="23"/>
  <c r="B250" i="23"/>
  <c r="C250" i="23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4" i="2"/>
  <c r="D43" i="24"/>
  <c r="C4" i="24"/>
  <c r="C5" i="24"/>
  <c r="C6" i="24"/>
  <c r="C7" i="24"/>
  <c r="C10" i="24"/>
  <c r="C11" i="24"/>
  <c r="C12" i="24"/>
  <c r="C15" i="24"/>
  <c r="G19" i="24"/>
  <c r="B67" i="34"/>
  <c r="B66" i="34"/>
  <c r="B65" i="34"/>
  <c r="E539" i="33" s="1"/>
  <c r="B24" i="34"/>
  <c r="B25" i="34"/>
  <c r="M122" i="14"/>
  <c r="N111" i="14"/>
  <c r="N115" i="14"/>
  <c r="W28" i="2"/>
  <c r="N110" i="14"/>
  <c r="N122" i="14"/>
  <c r="M113" i="14"/>
  <c r="M115" i="14"/>
  <c r="W27" i="2"/>
  <c r="H27" i="23"/>
  <c r="N113" i="14"/>
  <c r="G27" i="23"/>
  <c r="M120" i="14"/>
  <c r="M124" i="14"/>
  <c r="AG28" i="2"/>
  <c r="AU28" i="2"/>
  <c r="N119" i="14"/>
  <c r="M123" i="14"/>
  <c r="AU27" i="2"/>
  <c r="M114" i="14"/>
  <c r="N123" i="14"/>
  <c r="N114" i="14"/>
  <c r="N124" i="14"/>
  <c r="N121" i="14"/>
  <c r="M119" i="14"/>
  <c r="AD43" i="2" l="1"/>
  <c r="H23" i="23"/>
  <c r="G18" i="23"/>
  <c r="J8" i="33"/>
  <c r="B10" i="33"/>
  <c r="B9" i="33"/>
  <c r="C181" i="23"/>
  <c r="C183" i="23" s="1"/>
  <c r="F47" i="25"/>
  <c r="F48" i="25" s="1"/>
  <c r="B76" i="25"/>
  <c r="B181" i="23"/>
  <c r="J538" i="33"/>
  <c r="B543" i="33"/>
  <c r="E43" i="2"/>
  <c r="AU46" i="2"/>
  <c r="W46" i="2"/>
  <c r="H10" i="23"/>
  <c r="H9" i="23"/>
  <c r="E540" i="33"/>
  <c r="E541" i="33"/>
  <c r="E8" i="33"/>
  <c r="E6" i="33"/>
  <c r="E7" i="33"/>
  <c r="E51" i="23"/>
  <c r="C196" i="23"/>
  <c r="C49" i="23"/>
  <c r="C57" i="25"/>
  <c r="C59" i="25" s="1"/>
  <c r="C51" i="23"/>
  <c r="C67" i="23"/>
  <c r="C5" i="23"/>
  <c r="I47" i="23"/>
  <c r="E132" i="23"/>
  <c r="C4" i="23"/>
  <c r="C132" i="23"/>
  <c r="C3" i="23"/>
  <c r="C6" i="23"/>
  <c r="K538" i="33"/>
  <c r="I45" i="23"/>
  <c r="G23" i="23"/>
  <c r="C267" i="23"/>
  <c r="G57" i="25"/>
  <c r="G58" i="25" s="1"/>
  <c r="B13" i="23"/>
  <c r="I44" i="23"/>
  <c r="L538" i="33"/>
  <c r="I3" i="33"/>
  <c r="K3" i="33" s="1"/>
  <c r="B18" i="23"/>
  <c r="H43" i="23"/>
  <c r="H18" i="23"/>
  <c r="H42" i="23"/>
  <c r="K2" i="33"/>
  <c r="J541" i="33"/>
  <c r="I43" i="23"/>
  <c r="I48" i="23"/>
  <c r="B49" i="23"/>
  <c r="E49" i="23"/>
  <c r="I42" i="23"/>
  <c r="I535" i="33"/>
  <c r="K535" i="33"/>
  <c r="I536" i="33"/>
  <c r="K536" i="33" s="1"/>
  <c r="B542" i="33"/>
  <c r="E59" i="25"/>
  <c r="E58" i="25"/>
  <c r="E61" i="25"/>
  <c r="E60" i="25"/>
  <c r="C47" i="25"/>
  <c r="C49" i="25" s="1"/>
  <c r="B19" i="23"/>
  <c r="C9" i="23"/>
  <c r="I2" i="33"/>
  <c r="D10" i="23"/>
  <c r="B10" i="23"/>
  <c r="C10" i="23"/>
  <c r="H46" i="23"/>
  <c r="H57" i="25"/>
  <c r="B57" i="25"/>
  <c r="H47" i="25"/>
  <c r="H48" i="25" s="1"/>
  <c r="H48" i="23"/>
  <c r="D57" i="25"/>
  <c r="H44" i="23"/>
  <c r="H47" i="23"/>
  <c r="J5" i="33"/>
  <c r="D49" i="23"/>
  <c r="B47" i="25"/>
  <c r="B51" i="25" s="1"/>
  <c r="F57" i="25"/>
  <c r="L5" i="33"/>
  <c r="I57" i="25"/>
  <c r="I61" i="25" s="1"/>
  <c r="K5" i="33"/>
  <c r="B9" i="23"/>
  <c r="E47" i="25"/>
  <c r="E48" i="25" s="1"/>
  <c r="I47" i="25"/>
  <c r="I50" i="25" s="1"/>
  <c r="F49" i="25"/>
  <c r="F50" i="25"/>
  <c r="F51" i="25"/>
  <c r="K19" i="23"/>
  <c r="C67" i="25"/>
  <c r="C69" i="25" s="1"/>
  <c r="D47" i="25"/>
  <c r="G47" i="25"/>
  <c r="L19" i="23"/>
  <c r="H70" i="25"/>
  <c r="H69" i="25"/>
  <c r="H71" i="25"/>
  <c r="H68" i="25"/>
  <c r="G67" i="25"/>
  <c r="I67" i="25"/>
  <c r="E67" i="25"/>
  <c r="D67" i="25"/>
  <c r="B67" i="25"/>
  <c r="F67" i="25"/>
  <c r="N3" i="23"/>
  <c r="N4" i="23"/>
  <c r="M112" i="14"/>
  <c r="D75" i="23"/>
  <c r="M110" i="14"/>
  <c r="E75" i="23"/>
  <c r="D139" i="23"/>
  <c r="N120" i="14"/>
  <c r="N112" i="14"/>
  <c r="M111" i="14"/>
  <c r="M121" i="14"/>
  <c r="E139" i="23"/>
  <c r="C26" i="33" l="1"/>
  <c r="D26" i="33" s="1"/>
  <c r="C19" i="33"/>
  <c r="C18" i="33"/>
  <c r="D79" i="23"/>
  <c r="E79" i="23"/>
  <c r="E78" i="23"/>
  <c r="D78" i="23"/>
  <c r="AR19" i="2"/>
  <c r="AR22" i="2" s="1"/>
  <c r="AS19" i="2"/>
  <c r="AS22" i="2" s="1"/>
  <c r="U19" i="2"/>
  <c r="U22" i="2" s="1"/>
  <c r="T19" i="2"/>
  <c r="T22" i="2" s="1"/>
  <c r="E51" i="25"/>
  <c r="C58" i="25"/>
  <c r="C60" i="25"/>
  <c r="C61" i="25"/>
  <c r="Q543" i="33"/>
  <c r="Q10" i="33"/>
  <c r="G61" i="25"/>
  <c r="G60" i="25"/>
  <c r="G59" i="25"/>
  <c r="I58" i="25"/>
  <c r="C503" i="33"/>
  <c r="E503" i="33" s="1"/>
  <c r="I59" i="25"/>
  <c r="I60" i="25"/>
  <c r="C793" i="33"/>
  <c r="E793" i="33" s="1"/>
  <c r="C574" i="33"/>
  <c r="E574" i="33" s="1"/>
  <c r="C722" i="33"/>
  <c r="D722" i="33" s="1"/>
  <c r="C896" i="33"/>
  <c r="D896" i="33" s="1"/>
  <c r="C973" i="33"/>
  <c r="E973" i="33" s="1"/>
  <c r="C557" i="33"/>
  <c r="D557" i="33" s="1"/>
  <c r="C552" i="33"/>
  <c r="D552" i="33" s="1"/>
  <c r="C947" i="33"/>
  <c r="D947" i="33" s="1"/>
  <c r="C810" i="33"/>
  <c r="E810" i="33" s="1"/>
  <c r="C842" i="33"/>
  <c r="D842" i="33" s="1"/>
  <c r="C751" i="33"/>
  <c r="E751" i="33" s="1"/>
  <c r="C430" i="33"/>
  <c r="E430" i="33" s="1"/>
  <c r="C623" i="33"/>
  <c r="D623" i="33" s="1"/>
  <c r="C850" i="33"/>
  <c r="E850" i="33" s="1"/>
  <c r="C634" i="33"/>
  <c r="D634" i="33" s="1"/>
  <c r="C775" i="33"/>
  <c r="E775" i="33" s="1"/>
  <c r="C748" i="33"/>
  <c r="E748" i="33" s="1"/>
  <c r="C1012" i="33"/>
  <c r="E1012" i="33" s="1"/>
  <c r="C569" i="33"/>
  <c r="D569" i="33" s="1"/>
  <c r="C553" i="33"/>
  <c r="D553" i="33" s="1"/>
  <c r="C742" i="33"/>
  <c r="E742" i="33" s="1"/>
  <c r="C927" i="33"/>
  <c r="E927" i="33" s="1"/>
  <c r="C702" i="33"/>
  <c r="D702" i="33" s="1"/>
  <c r="C791" i="33"/>
  <c r="D791" i="33" s="1"/>
  <c r="C1056" i="33"/>
  <c r="E1056" i="33" s="1"/>
  <c r="C554" i="33"/>
  <c r="D554" i="33" s="1"/>
  <c r="C988" i="33"/>
  <c r="E988" i="33" s="1"/>
  <c r="C817" i="33"/>
  <c r="E817" i="33" s="1"/>
  <c r="C739" i="33"/>
  <c r="D739" i="33" s="1"/>
  <c r="C732" i="33"/>
  <c r="E732" i="33" s="1"/>
  <c r="C878" i="33"/>
  <c r="D878" i="33" s="1"/>
  <c r="C813" i="33"/>
  <c r="D813" i="33" s="1"/>
  <c r="C964" i="33"/>
  <c r="E964" i="33" s="1"/>
  <c r="C966" i="33"/>
  <c r="E966" i="33" s="1"/>
  <c r="C725" i="33"/>
  <c r="D725" i="33" s="1"/>
  <c r="C657" i="33"/>
  <c r="D657" i="33" s="1"/>
  <c r="C1027" i="33"/>
  <c r="E1027" i="33" s="1"/>
  <c r="C859" i="33"/>
  <c r="E859" i="33" s="1"/>
  <c r="C1045" i="33"/>
  <c r="D1045" i="33" s="1"/>
  <c r="C818" i="33"/>
  <c r="D818" i="33" s="1"/>
  <c r="C942" i="33"/>
  <c r="D942" i="33" s="1"/>
  <c r="C745" i="33"/>
  <c r="E745" i="33" s="1"/>
  <c r="C692" i="33"/>
  <c r="D692" i="33" s="1"/>
  <c r="C1040" i="33"/>
  <c r="D1040" i="33" s="1"/>
  <c r="C886" i="33"/>
  <c r="E886" i="33" s="1"/>
  <c r="C1010" i="33"/>
  <c r="D1010" i="33" s="1"/>
  <c r="C662" i="33"/>
  <c r="D662" i="33" s="1"/>
  <c r="C820" i="33"/>
  <c r="D820" i="33" s="1"/>
  <c r="C642" i="33"/>
  <c r="D642" i="33" s="1"/>
  <c r="C790" i="33"/>
  <c r="D790" i="33" s="1"/>
  <c r="C925" i="33"/>
  <c r="E925" i="33" s="1"/>
  <c r="C814" i="33"/>
  <c r="D814" i="33" s="1"/>
  <c r="C783" i="33"/>
  <c r="D783" i="33" s="1"/>
  <c r="C1002" i="33"/>
  <c r="E1002" i="33" s="1"/>
  <c r="C991" i="33"/>
  <c r="D991" i="33" s="1"/>
  <c r="C595" i="33"/>
  <c r="E595" i="33" s="1"/>
  <c r="C677" i="33"/>
  <c r="D677" i="33" s="1"/>
  <c r="C641" i="33"/>
  <c r="D641" i="33" s="1"/>
  <c r="C673" i="33"/>
  <c r="E673" i="33" s="1"/>
  <c r="C979" i="33"/>
  <c r="D979" i="33" s="1"/>
  <c r="C1060" i="33"/>
  <c r="D1060" i="33" s="1"/>
  <c r="C870" i="33"/>
  <c r="E870" i="33" s="1"/>
  <c r="C904" i="33"/>
  <c r="E904" i="33" s="1"/>
  <c r="C660" i="33"/>
  <c r="D660" i="33" s="1"/>
  <c r="C719" i="33"/>
  <c r="E719" i="33" s="1"/>
  <c r="C911" i="33"/>
  <c r="D911" i="33" s="1"/>
  <c r="C844" i="33"/>
  <c r="D844" i="33" s="1"/>
  <c r="C905" i="33"/>
  <c r="E905" i="33" s="1"/>
  <c r="C687" i="33"/>
  <c r="D687" i="33" s="1"/>
  <c r="C902" i="33"/>
  <c r="D902" i="33" s="1"/>
  <c r="C756" i="33"/>
  <c r="D756" i="33" s="1"/>
  <c r="C667" i="33"/>
  <c r="E667" i="33" s="1"/>
  <c r="C578" i="33"/>
  <c r="D578" i="33" s="1"/>
  <c r="C762" i="33"/>
  <c r="D762" i="33" s="1"/>
  <c r="C625" i="33"/>
  <c r="D625" i="33" s="1"/>
  <c r="C571" i="33"/>
  <c r="D571" i="33" s="1"/>
  <c r="C970" i="33"/>
  <c r="D970" i="33" s="1"/>
  <c r="C974" i="33"/>
  <c r="D974" i="33" s="1"/>
  <c r="C572" i="33"/>
  <c r="D572" i="33" s="1"/>
  <c r="C811" i="33"/>
  <c r="E811" i="33" s="1"/>
  <c r="C583" i="33"/>
  <c r="D583" i="33" s="1"/>
  <c r="C899" i="33"/>
  <c r="D899" i="33" s="1"/>
  <c r="C830" i="33"/>
  <c r="D830" i="33" s="1"/>
  <c r="C559" i="33"/>
  <c r="D559" i="33" s="1"/>
  <c r="C711" i="33"/>
  <c r="D711" i="33" s="1"/>
  <c r="C864" i="33"/>
  <c r="D864" i="33" s="1"/>
  <c r="C700" i="33"/>
  <c r="D700" i="33" s="1"/>
  <c r="C621" i="33"/>
  <c r="E621" i="33" s="1"/>
  <c r="C931" i="33"/>
  <c r="D931" i="33" s="1"/>
  <c r="C794" i="33"/>
  <c r="E794" i="33" s="1"/>
  <c r="C639" i="33"/>
  <c r="D639" i="33" s="1"/>
  <c r="C869" i="33"/>
  <c r="E869" i="33" s="1"/>
  <c r="C636" i="33"/>
  <c r="D636" i="33" s="1"/>
  <c r="C632" i="33"/>
  <c r="E632" i="33" s="1"/>
  <c r="C903" i="33"/>
  <c r="D903" i="33" s="1"/>
  <c r="C1053" i="33"/>
  <c r="D1053" i="33" s="1"/>
  <c r="C924" i="33"/>
  <c r="D924" i="33" s="1"/>
  <c r="C801" i="33"/>
  <c r="E801" i="33" s="1"/>
  <c r="C800" i="33"/>
  <c r="D800" i="33" s="1"/>
  <c r="C1052" i="33"/>
  <c r="D1052" i="33" s="1"/>
  <c r="C592" i="33"/>
  <c r="E592" i="33" s="1"/>
  <c r="C755" i="33"/>
  <c r="E755" i="33" s="1"/>
  <c r="C609" i="33"/>
  <c r="E609" i="33" s="1"/>
  <c r="C782" i="33"/>
  <c r="D782" i="33" s="1"/>
  <c r="C1038" i="33"/>
  <c r="D1038" i="33" s="1"/>
  <c r="C1023" i="33"/>
  <c r="D1023" i="33" s="1"/>
  <c r="C1021" i="33"/>
  <c r="D1021" i="33" s="1"/>
  <c r="C738" i="33"/>
  <c r="E738" i="33" s="1"/>
  <c r="C788" i="33"/>
  <c r="D788" i="33" s="1"/>
  <c r="C809" i="33"/>
  <c r="E809" i="33" s="1"/>
  <c r="C1013" i="33"/>
  <c r="E1013" i="33" s="1"/>
  <c r="C696" i="33"/>
  <c r="E696" i="33" s="1"/>
  <c r="C586" i="33"/>
  <c r="D586" i="33" s="1"/>
  <c r="C699" i="33"/>
  <c r="E699" i="33" s="1"/>
  <c r="C908" i="33"/>
  <c r="D908" i="33" s="1"/>
  <c r="C684" i="33"/>
  <c r="D684" i="33" s="1"/>
  <c r="C760" i="33"/>
  <c r="E760" i="33" s="1"/>
  <c r="C726" i="33"/>
  <c r="E726" i="33" s="1"/>
  <c r="C812" i="33"/>
  <c r="E812" i="33" s="1"/>
  <c r="C764" i="33"/>
  <c r="E764" i="33" s="1"/>
  <c r="C708" i="33"/>
  <c r="E708" i="33" s="1"/>
  <c r="C1036" i="33"/>
  <c r="D1036" i="33" s="1"/>
  <c r="C649" i="33"/>
  <c r="E649" i="33" s="1"/>
  <c r="C805" i="33"/>
  <c r="D805" i="33" s="1"/>
  <c r="C873" i="33"/>
  <c r="D873" i="33" s="1"/>
  <c r="C807" i="33"/>
  <c r="D807" i="33" s="1"/>
  <c r="C727" i="33"/>
  <c r="D727" i="33" s="1"/>
  <c r="C1015" i="33"/>
  <c r="D1015" i="33" s="1"/>
  <c r="C772" i="33"/>
  <c r="E772" i="33" s="1"/>
  <c r="C628" i="33"/>
  <c r="E628" i="33" s="1"/>
  <c r="C580" i="33"/>
  <c r="D580" i="33" s="1"/>
  <c r="C978" i="33"/>
  <c r="D978" i="33" s="1"/>
  <c r="C806" i="33"/>
  <c r="D806" i="33" s="1"/>
  <c r="C975" i="33"/>
  <c r="E975" i="33" s="1"/>
  <c r="C563" i="33"/>
  <c r="E563" i="33" s="1"/>
  <c r="C778" i="33"/>
  <c r="D778" i="33" s="1"/>
  <c r="C832" i="33"/>
  <c r="D832" i="33" s="1"/>
  <c r="C718" i="33"/>
  <c r="E718" i="33" s="1"/>
  <c r="C865" i="33"/>
  <c r="E865" i="33" s="1"/>
  <c r="C743" i="33"/>
  <c r="D743" i="33" s="1"/>
  <c r="C770" i="33"/>
  <c r="D770" i="33" s="1"/>
  <c r="C584" i="33"/>
  <c r="E584" i="33" s="1"/>
  <c r="C582" i="33"/>
  <c r="E582" i="33" s="1"/>
  <c r="C1026" i="33"/>
  <c r="D1026" i="33" s="1"/>
  <c r="C995" i="33"/>
  <c r="D995" i="33" s="1"/>
  <c r="C792" i="33"/>
  <c r="D792" i="33" s="1"/>
  <c r="C1048" i="33"/>
  <c r="D1048" i="33" s="1"/>
  <c r="C862" i="33"/>
  <c r="E862" i="33" s="1"/>
  <c r="C575" i="33"/>
  <c r="D575" i="33" s="1"/>
  <c r="C803" i="33"/>
  <c r="D803" i="33" s="1"/>
  <c r="C744" i="33"/>
  <c r="E744" i="33" s="1"/>
  <c r="C940" i="33"/>
  <c r="E940" i="33" s="1"/>
  <c r="C1049" i="33"/>
  <c r="E1049" i="33" s="1"/>
  <c r="C920" i="33"/>
  <c r="D920" i="33" s="1"/>
  <c r="C561" i="33"/>
  <c r="E561" i="33" s="1"/>
  <c r="C689" i="33"/>
  <c r="D689" i="33" s="1"/>
  <c r="C1032" i="33"/>
  <c r="D1032" i="33" s="1"/>
  <c r="C646" i="33"/>
  <c r="E646" i="33" s="1"/>
  <c r="C968" i="33"/>
  <c r="E968" i="33" s="1"/>
  <c r="C944" i="33"/>
  <c r="D944" i="33" s="1"/>
  <c r="C635" i="33"/>
  <c r="D635" i="33" s="1"/>
  <c r="C958" i="33"/>
  <c r="E958" i="33" s="1"/>
  <c r="C838" i="33"/>
  <c r="E838" i="33" s="1"/>
  <c r="C906" i="33"/>
  <c r="D906" i="33" s="1"/>
  <c r="C637" i="33"/>
  <c r="D637" i="33" s="1"/>
  <c r="C1061" i="33"/>
  <c r="D1061" i="33" s="1"/>
  <c r="C600" i="33"/>
  <c r="D600" i="33" s="1"/>
  <c r="C1025" i="33"/>
  <c r="D1025" i="33" s="1"/>
  <c r="C933" i="33"/>
  <c r="E933" i="33" s="1"/>
  <c r="C823" i="33"/>
  <c r="E823" i="33" s="1"/>
  <c r="C593" i="33"/>
  <c r="E593" i="33" s="1"/>
  <c r="C616" i="33"/>
  <c r="D616" i="33" s="1"/>
  <c r="C690" i="33"/>
  <c r="D690" i="33" s="1"/>
  <c r="C932" i="33"/>
  <c r="D932" i="33" s="1"/>
  <c r="C786" i="33"/>
  <c r="D786" i="33" s="1"/>
  <c r="C831" i="33"/>
  <c r="D831" i="33" s="1"/>
  <c r="C851" i="33"/>
  <c r="D851" i="33" s="1"/>
  <c r="C969" i="33"/>
  <c r="E969" i="33" s="1"/>
  <c r="C821" i="33"/>
  <c r="D821" i="33" s="1"/>
  <c r="C894" i="33"/>
  <c r="D894" i="33" s="1"/>
  <c r="C997" i="33"/>
  <c r="E997" i="33" s="1"/>
  <c r="C839" i="33"/>
  <c r="D839" i="33" s="1"/>
  <c r="C915" i="33"/>
  <c r="D915" i="33" s="1"/>
  <c r="C987" i="33"/>
  <c r="E987" i="33" s="1"/>
  <c r="C629" i="33"/>
  <c r="E629" i="33" s="1"/>
  <c r="C1050" i="33"/>
  <c r="D1050" i="33" s="1"/>
  <c r="C556" i="33"/>
  <c r="D556" i="33" s="1"/>
  <c r="C608" i="33"/>
  <c r="E608" i="33" s="1"/>
  <c r="C695" i="33"/>
  <c r="D695" i="33" s="1"/>
  <c r="C1014" i="33"/>
  <c r="D1014" i="33" s="1"/>
  <c r="C731" i="33"/>
  <c r="E731" i="33" s="1"/>
  <c r="C603" i="33"/>
  <c r="D603" i="33" s="1"/>
  <c r="C691" i="33"/>
  <c r="D691" i="33" s="1"/>
  <c r="C1051" i="33"/>
  <c r="D1051" i="33" s="1"/>
  <c r="C888" i="33"/>
  <c r="E888" i="33" s="1"/>
  <c r="C618" i="33"/>
  <c r="E618" i="33" s="1"/>
  <c r="C758" i="33"/>
  <c r="E758" i="33" s="1"/>
  <c r="C706" i="33"/>
  <c r="E706" i="33" s="1"/>
  <c r="C589" i="33"/>
  <c r="E589" i="33" s="1"/>
  <c r="C683" i="33"/>
  <c r="D683" i="33" s="1"/>
  <c r="C849" i="33"/>
  <c r="E849" i="33" s="1"/>
  <c r="C825" i="33"/>
  <c r="E825" i="33" s="1"/>
  <c r="C1043" i="33"/>
  <c r="D1043" i="33" s="1"/>
  <c r="C674" i="33"/>
  <c r="D674" i="33" s="1"/>
  <c r="C965" i="33"/>
  <c r="D965" i="33" s="1"/>
  <c r="C877" i="33"/>
  <c r="D877" i="33" s="1"/>
  <c r="C599" i="33"/>
  <c r="E599" i="33" s="1"/>
  <c r="C898" i="33"/>
  <c r="D898" i="33" s="1"/>
  <c r="C962" i="33"/>
  <c r="D962" i="33" s="1"/>
  <c r="C1016" i="33"/>
  <c r="D1016" i="33" s="1"/>
  <c r="C771" i="33"/>
  <c r="D771" i="33" s="1"/>
  <c r="C654" i="33"/>
  <c r="E654" i="33" s="1"/>
  <c r="C1008" i="33"/>
  <c r="D1008" i="33" s="1"/>
  <c r="C845" i="33"/>
  <c r="E845" i="33" s="1"/>
  <c r="C551" i="33"/>
  <c r="C852" i="33"/>
  <c r="D852" i="33" s="1"/>
  <c r="C606" i="33"/>
  <c r="D606" i="33" s="1"/>
  <c r="C943" i="33"/>
  <c r="D943" i="33" s="1"/>
  <c r="C675" i="33"/>
  <c r="D675" i="33" s="1"/>
  <c r="C594" i="33"/>
  <c r="D594" i="33" s="1"/>
  <c r="C1062" i="33"/>
  <c r="E1062" i="33" s="1"/>
  <c r="C954" i="33"/>
  <c r="D954" i="33" s="1"/>
  <c r="C697" i="33"/>
  <c r="E697" i="33" s="1"/>
  <c r="C1000" i="33"/>
  <c r="D1000" i="33" s="1"/>
  <c r="C824" i="33"/>
  <c r="E824" i="33" s="1"/>
  <c r="C1044" i="33"/>
  <c r="E1044" i="33" s="1"/>
  <c r="C754" i="33"/>
  <c r="D754" i="33" s="1"/>
  <c r="C963" i="33"/>
  <c r="D963" i="33" s="1"/>
  <c r="C693" i="33"/>
  <c r="E693" i="33" s="1"/>
  <c r="C921" i="33"/>
  <c r="E921" i="33" s="1"/>
  <c r="C624" i="33"/>
  <c r="E624" i="33" s="1"/>
  <c r="C949" i="33"/>
  <c r="E949" i="33" s="1"/>
  <c r="C858" i="33"/>
  <c r="E858" i="33" s="1"/>
  <c r="C1046" i="33"/>
  <c r="E1046" i="33" s="1"/>
  <c r="C994" i="33"/>
  <c r="D994" i="33" s="1"/>
  <c r="C558" i="33"/>
  <c r="D558" i="33" s="1"/>
  <c r="C957" i="33"/>
  <c r="D957" i="33" s="1"/>
  <c r="C1031" i="33"/>
  <c r="D1031" i="33" s="1"/>
  <c r="C705" i="33"/>
  <c r="E705" i="33" s="1"/>
  <c r="C591" i="33"/>
  <c r="D591" i="33" s="1"/>
  <c r="C885" i="33"/>
  <c r="D885" i="33" s="1"/>
  <c r="C923" i="33"/>
  <c r="D923" i="33" s="1"/>
  <c r="C948" i="33"/>
  <c r="D948" i="33" s="1"/>
  <c r="C887" i="33"/>
  <c r="D887" i="33" s="1"/>
  <c r="C796" i="33"/>
  <c r="D796" i="33" s="1"/>
  <c r="C581" i="33"/>
  <c r="D581" i="33" s="1"/>
  <c r="C956" i="33"/>
  <c r="E956" i="33" s="1"/>
  <c r="C1054" i="33"/>
  <c r="E1054" i="33" s="1"/>
  <c r="C989" i="33"/>
  <c r="E989" i="33" s="1"/>
  <c r="C659" i="33"/>
  <c r="D659" i="33" s="1"/>
  <c r="C827" i="33"/>
  <c r="D827" i="33" s="1"/>
  <c r="C585" i="33"/>
  <c r="E585" i="33" s="1"/>
  <c r="C679" i="33"/>
  <c r="E679" i="33" s="1"/>
  <c r="C658" i="33"/>
  <c r="D658" i="33" s="1"/>
  <c r="C917" i="33"/>
  <c r="E917" i="33" s="1"/>
  <c r="C855" i="33"/>
  <c r="E855" i="33" s="1"/>
  <c r="C666" i="33"/>
  <c r="D666" i="33" s="1"/>
  <c r="C846" i="33"/>
  <c r="D846" i="33" s="1"/>
  <c r="C912" i="33"/>
  <c r="C879" i="33"/>
  <c r="C808" i="33"/>
  <c r="E808" i="33" s="1"/>
  <c r="C710" i="33"/>
  <c r="E710" i="33" s="1"/>
  <c r="C721" i="33"/>
  <c r="E721" i="33" s="1"/>
  <c r="C607" i="33"/>
  <c r="E607" i="33" s="1"/>
  <c r="C890" i="33"/>
  <c r="D890" i="33" s="1"/>
  <c r="C854" i="33"/>
  <c r="E854" i="33" s="1"/>
  <c r="C984" i="33"/>
  <c r="E984" i="33" s="1"/>
  <c r="C604" i="33"/>
  <c r="D604" i="33" s="1"/>
  <c r="C1058" i="33"/>
  <c r="D1058" i="33" s="1"/>
  <c r="C1055" i="33"/>
  <c r="D1055" i="33" s="1"/>
  <c r="C670" i="33"/>
  <c r="E670" i="33" s="1"/>
  <c r="C1028" i="33"/>
  <c r="E1028" i="33" s="1"/>
  <c r="C752" i="33"/>
  <c r="E752" i="33" s="1"/>
  <c r="C602" i="33"/>
  <c r="D602" i="33" s="1"/>
  <c r="C734" i="33"/>
  <c r="D734" i="33" s="1"/>
  <c r="C627" i="33"/>
  <c r="D627" i="33" s="1"/>
  <c r="C1035" i="33"/>
  <c r="E1035" i="33" s="1"/>
  <c r="C694" i="33"/>
  <c r="D694" i="33" s="1"/>
  <c r="C910" i="33"/>
  <c r="D910" i="33" s="1"/>
  <c r="C703" i="33"/>
  <c r="E703" i="33" s="1"/>
  <c r="C622" i="33"/>
  <c r="E622" i="33" s="1"/>
  <c r="C918" i="33"/>
  <c r="D918" i="33" s="1"/>
  <c r="C876" i="33"/>
  <c r="D876" i="33" s="1"/>
  <c r="C955" i="33"/>
  <c r="E955" i="33" s="1"/>
  <c r="C724" i="33"/>
  <c r="D724" i="33" s="1"/>
  <c r="C960" i="33"/>
  <c r="D960" i="33" s="1"/>
  <c r="C857" i="33"/>
  <c r="E857" i="33" s="1"/>
  <c r="C1029" i="33"/>
  <c r="D1029" i="33" s="1"/>
  <c r="C678" i="33"/>
  <c r="D678" i="33" s="1"/>
  <c r="C746" i="33"/>
  <c r="D746" i="33" s="1"/>
  <c r="C1001" i="33"/>
  <c r="E1001" i="33" s="1"/>
  <c r="C907" i="33"/>
  <c r="E907" i="33" s="1"/>
  <c r="C570" i="33"/>
  <c r="E570" i="33" s="1"/>
  <c r="C656" i="33"/>
  <c r="D656" i="33" s="1"/>
  <c r="C562" i="33"/>
  <c r="E562" i="33" s="1"/>
  <c r="C652" i="33"/>
  <c r="D652" i="33" s="1"/>
  <c r="C872" i="33"/>
  <c r="E872" i="33" s="1"/>
  <c r="C712" i="33"/>
  <c r="E712" i="33" s="1"/>
  <c r="C1034" i="33"/>
  <c r="D1034" i="33" s="1"/>
  <c r="C1059" i="33"/>
  <c r="E1059" i="33" s="1"/>
  <c r="C971" i="33"/>
  <c r="D971" i="33" s="1"/>
  <c r="C704" i="33"/>
  <c r="D704" i="33" s="1"/>
  <c r="C841" i="33"/>
  <c r="E841" i="33" s="1"/>
  <c r="C605" i="33"/>
  <c r="E605" i="33" s="1"/>
  <c r="C1004" i="33"/>
  <c r="E1004" i="33" s="1"/>
  <c r="C769" i="33"/>
  <c r="D769" i="33" s="1"/>
  <c r="C1037" i="33"/>
  <c r="D1037" i="33" s="1"/>
  <c r="C668" i="33"/>
  <c r="D668" i="33" s="1"/>
  <c r="C840" i="33"/>
  <c r="D840" i="33" s="1"/>
  <c r="C985" i="33"/>
  <c r="D985" i="33" s="1"/>
  <c r="C626" i="33"/>
  <c r="D626" i="33" s="1"/>
  <c r="C779" i="33"/>
  <c r="E779" i="33" s="1"/>
  <c r="C749" i="33"/>
  <c r="D749" i="33" s="1"/>
  <c r="C767" i="33"/>
  <c r="E767" i="33" s="1"/>
  <c r="C882" i="33"/>
  <c r="E882" i="33" s="1"/>
  <c r="C610" i="33"/>
  <c r="D610" i="33" s="1"/>
  <c r="C816" i="33"/>
  <c r="D816" i="33" s="1"/>
  <c r="C950" i="33"/>
  <c r="D950" i="33" s="1"/>
  <c r="C1022" i="33"/>
  <c r="E1022" i="33" s="1"/>
  <c r="C661" i="33"/>
  <c r="D661" i="33" s="1"/>
  <c r="C871" i="33"/>
  <c r="D871" i="33" s="1"/>
  <c r="C900" i="33"/>
  <c r="D900" i="33" s="1"/>
  <c r="C766" i="33"/>
  <c r="D766" i="33" s="1"/>
  <c r="C919" i="33"/>
  <c r="D919" i="33" s="1"/>
  <c r="C680" i="33"/>
  <c r="D680" i="33" s="1"/>
  <c r="C565" i="33"/>
  <c r="E565" i="33" s="1"/>
  <c r="C615" i="33"/>
  <c r="E615" i="33" s="1"/>
  <c r="C856" i="33"/>
  <c r="D856" i="33" s="1"/>
  <c r="C750" i="33"/>
  <c r="D750" i="33" s="1"/>
  <c r="C795" i="33"/>
  <c r="D795" i="33" s="1"/>
  <c r="C698" i="33"/>
  <c r="E698" i="33" s="1"/>
  <c r="C992" i="33"/>
  <c r="D992" i="33" s="1"/>
  <c r="C707" i="33"/>
  <c r="D707" i="33" s="1"/>
  <c r="C650" i="33"/>
  <c r="E650" i="33" s="1"/>
  <c r="C617" i="33"/>
  <c r="E617" i="33" s="1"/>
  <c r="C967" i="33"/>
  <c r="D967" i="33" s="1"/>
  <c r="C781" i="33"/>
  <c r="D781" i="33" s="1"/>
  <c r="C630" i="33"/>
  <c r="D630" i="33" s="1"/>
  <c r="C926" i="33"/>
  <c r="D926" i="33" s="1"/>
  <c r="C892" i="33"/>
  <c r="D892" i="33" s="1"/>
  <c r="C741" i="33"/>
  <c r="D741" i="33" s="1"/>
  <c r="C560" i="33"/>
  <c r="E560" i="33" s="1"/>
  <c r="C843" i="33"/>
  <c r="E843" i="33" s="1"/>
  <c r="C577" i="33"/>
  <c r="D577" i="33" s="1"/>
  <c r="C929" i="33"/>
  <c r="E929" i="33" s="1"/>
  <c r="C663" i="33"/>
  <c r="E663" i="33" s="1"/>
  <c r="C993" i="33"/>
  <c r="C671" i="33"/>
  <c r="E671" i="33" s="1"/>
  <c r="C588" i="33"/>
  <c r="E588" i="33" s="1"/>
  <c r="C976" i="33"/>
  <c r="E976" i="33" s="1"/>
  <c r="C638" i="33"/>
  <c r="D638" i="33" s="1"/>
  <c r="C981" i="33"/>
  <c r="E981" i="33" s="1"/>
  <c r="C1024" i="33"/>
  <c r="E1024" i="33" s="1"/>
  <c r="C651" i="33"/>
  <c r="E651" i="33" s="1"/>
  <c r="C773" i="33"/>
  <c r="E773" i="33" s="1"/>
  <c r="C1011" i="33"/>
  <c r="D1011" i="33" s="1"/>
  <c r="C590" i="33"/>
  <c r="E590" i="33" s="1"/>
  <c r="C935" i="33"/>
  <c r="E935" i="33" s="1"/>
  <c r="C753" i="33"/>
  <c r="E753" i="33" s="1"/>
  <c r="C977" i="33"/>
  <c r="E977" i="33" s="1"/>
  <c r="C1020" i="33"/>
  <c r="E1020" i="33" s="1"/>
  <c r="C647" i="33"/>
  <c r="E647" i="33" s="1"/>
  <c r="C848" i="33"/>
  <c r="E848" i="33" s="1"/>
  <c r="C784" i="33"/>
  <c r="E784" i="33" s="1"/>
  <c r="C834" i="33"/>
  <c r="E834" i="33" s="1"/>
  <c r="C737" i="33"/>
  <c r="E737" i="33" s="1"/>
  <c r="C686" i="33"/>
  <c r="D686" i="33" s="1"/>
  <c r="C735" i="33"/>
  <c r="D735" i="33" s="1"/>
  <c r="C723" i="33"/>
  <c r="E723" i="33" s="1"/>
  <c r="C860" i="33"/>
  <c r="D860" i="33" s="1"/>
  <c r="C598" i="33"/>
  <c r="E598" i="33" s="1"/>
  <c r="C936" i="33"/>
  <c r="E936" i="33" s="1"/>
  <c r="C717" i="33"/>
  <c r="D717" i="33" s="1"/>
  <c r="C953" i="33"/>
  <c r="D953" i="33" s="1"/>
  <c r="C952" i="33"/>
  <c r="D952" i="33" s="1"/>
  <c r="C740" i="33"/>
  <c r="E740" i="33" s="1"/>
  <c r="C875" i="33"/>
  <c r="D875" i="33" s="1"/>
  <c r="C780" i="33"/>
  <c r="D780" i="33" s="1"/>
  <c r="C1042" i="33"/>
  <c r="D1042" i="33" s="1"/>
  <c r="C761" i="33"/>
  <c r="E761" i="33" s="1"/>
  <c r="C714" i="33"/>
  <c r="D714" i="33" s="1"/>
  <c r="C996" i="33"/>
  <c r="D996" i="33" s="1"/>
  <c r="C863" i="33"/>
  <c r="E863" i="33" s="1"/>
  <c r="C576" i="33"/>
  <c r="D576" i="33" s="1"/>
  <c r="C644" i="33"/>
  <c r="D644" i="33" s="1"/>
  <c r="C891" i="33"/>
  <c r="D891" i="33" s="1"/>
  <c r="C648" i="33"/>
  <c r="D648" i="33" s="1"/>
  <c r="C709" i="33"/>
  <c r="D709" i="33" s="1"/>
  <c r="C837" i="33"/>
  <c r="E837" i="33" s="1"/>
  <c r="C1030" i="33"/>
  <c r="D1030" i="33" s="1"/>
  <c r="C946" i="33"/>
  <c r="D946" i="33" s="1"/>
  <c r="C909" i="33"/>
  <c r="D909" i="33" s="1"/>
  <c r="C730" i="33"/>
  <c r="D730" i="33" s="1"/>
  <c r="C768" i="33"/>
  <c r="E768" i="33" s="1"/>
  <c r="C867" i="33"/>
  <c r="E867" i="33" s="1"/>
  <c r="C1007" i="33"/>
  <c r="C1009" i="33"/>
  <c r="D1009" i="33" s="1"/>
  <c r="C715" i="33"/>
  <c r="D715" i="33" s="1"/>
  <c r="C655" i="33"/>
  <c r="C1003" i="33"/>
  <c r="D1003" i="33" s="1"/>
  <c r="C757" i="33"/>
  <c r="E757" i="33" s="1"/>
  <c r="C597" i="33"/>
  <c r="E597" i="33" s="1"/>
  <c r="C1005" i="33"/>
  <c r="E1005" i="33" s="1"/>
  <c r="C763" i="33"/>
  <c r="E763" i="33" s="1"/>
  <c r="C573" i="33"/>
  <c r="D573" i="33" s="1"/>
  <c r="C961" i="33"/>
  <c r="E961" i="33" s="1"/>
  <c r="C664" i="33"/>
  <c r="D664" i="33" s="1"/>
  <c r="C682" i="33"/>
  <c r="E682" i="33" s="1"/>
  <c r="C901" i="33"/>
  <c r="E901" i="33" s="1"/>
  <c r="C567" i="33"/>
  <c r="D567" i="33" s="1"/>
  <c r="C643" i="33"/>
  <c r="D643" i="33" s="1"/>
  <c r="C640" i="33"/>
  <c r="D640" i="33" s="1"/>
  <c r="C774" i="33"/>
  <c r="D774" i="33" s="1"/>
  <c r="C631" i="33"/>
  <c r="D631" i="33" s="1"/>
  <c r="C713" i="33"/>
  <c r="D713" i="33" s="1"/>
  <c r="C939" i="33"/>
  <c r="E939" i="33" s="1"/>
  <c r="C799" i="33"/>
  <c r="E799" i="33" s="1"/>
  <c r="C601" i="33"/>
  <c r="E601" i="33" s="1"/>
  <c r="C884" i="33"/>
  <c r="C833" i="33"/>
  <c r="D833" i="33" s="1"/>
  <c r="C853" i="33"/>
  <c r="D853" i="33" s="1"/>
  <c r="C922" i="33"/>
  <c r="D922" i="33" s="1"/>
  <c r="C685" i="33"/>
  <c r="D685" i="33" s="1"/>
  <c r="C672" i="33"/>
  <c r="E672" i="33" s="1"/>
  <c r="C998" i="33"/>
  <c r="D998" i="33" s="1"/>
  <c r="C701" i="33"/>
  <c r="E701" i="33" s="1"/>
  <c r="C1047" i="33"/>
  <c r="C785" i="33"/>
  <c r="D785" i="33" s="1"/>
  <c r="C934" i="33"/>
  <c r="E934" i="33" s="1"/>
  <c r="C736" i="33"/>
  <c r="E736" i="33" s="1"/>
  <c r="C983" i="33"/>
  <c r="D983" i="33" s="1"/>
  <c r="C611" i="33"/>
  <c r="D611" i="33" s="1"/>
  <c r="C1018" i="33"/>
  <c r="D1018" i="33" s="1"/>
  <c r="C688" i="33"/>
  <c r="D688" i="33" s="1"/>
  <c r="C619" i="33"/>
  <c r="D619" i="33" s="1"/>
  <c r="C835" i="33"/>
  <c r="E835" i="33" s="1"/>
  <c r="C633" i="33"/>
  <c r="E633" i="33" s="1"/>
  <c r="C938" i="33"/>
  <c r="D938" i="33" s="1"/>
  <c r="C866" i="33"/>
  <c r="E866" i="33" s="1"/>
  <c r="C765" i="33"/>
  <c r="E765" i="33" s="1"/>
  <c r="C889" i="33"/>
  <c r="E889" i="33" s="1"/>
  <c r="C914" i="33"/>
  <c r="E914" i="33" s="1"/>
  <c r="C1057" i="33"/>
  <c r="D1057" i="33" s="1"/>
  <c r="C1033" i="33"/>
  <c r="D1033" i="33" s="1"/>
  <c r="C645" i="33"/>
  <c r="E645" i="33" s="1"/>
  <c r="C653" i="33"/>
  <c r="D653" i="33" s="1"/>
  <c r="C669" i="33"/>
  <c r="E669" i="33" s="1"/>
  <c r="C913" i="33"/>
  <c r="E913" i="33" s="1"/>
  <c r="C777" i="33"/>
  <c r="D777" i="33" s="1"/>
  <c r="C802" i="33"/>
  <c r="E802" i="33" s="1"/>
  <c r="C1017" i="33"/>
  <c r="D1017" i="33" s="1"/>
  <c r="C566" i="33"/>
  <c r="D566" i="33" s="1"/>
  <c r="C826" i="33"/>
  <c r="E826" i="33" s="1"/>
  <c r="C676" i="33"/>
  <c r="E676" i="33" s="1"/>
  <c r="C787" i="33"/>
  <c r="E787" i="33" s="1"/>
  <c r="C1019" i="33"/>
  <c r="E1019" i="33" s="1"/>
  <c r="C1006" i="33"/>
  <c r="D1006" i="33" s="1"/>
  <c r="C555" i="33"/>
  <c r="E555" i="33" s="1"/>
  <c r="C880" i="33"/>
  <c r="E880" i="33" s="1"/>
  <c r="C941" i="33"/>
  <c r="E941" i="33" s="1"/>
  <c r="C836" i="33"/>
  <c r="E836" i="33" s="1"/>
  <c r="C819" i="33"/>
  <c r="D819" i="33" s="1"/>
  <c r="C895" i="33"/>
  <c r="D895" i="33" s="1"/>
  <c r="C747" i="33"/>
  <c r="D747" i="33" s="1"/>
  <c r="C874" i="33"/>
  <c r="D874" i="33" s="1"/>
  <c r="C759" i="33"/>
  <c r="D759" i="33" s="1"/>
  <c r="C986" i="33"/>
  <c r="D986" i="33" s="1"/>
  <c r="C716" i="33"/>
  <c r="D716" i="33" s="1"/>
  <c r="C564" i="33"/>
  <c r="E564" i="33" s="1"/>
  <c r="C951" i="33"/>
  <c r="D951" i="33" s="1"/>
  <c r="C681" i="33"/>
  <c r="D681" i="33" s="1"/>
  <c r="C928" i="33"/>
  <c r="E928" i="33" s="1"/>
  <c r="C804" i="33"/>
  <c r="D804" i="33" s="1"/>
  <c r="C999" i="33"/>
  <c r="E999" i="33" s="1"/>
  <c r="C789" i="33"/>
  <c r="E789" i="33" s="1"/>
  <c r="C893" i="33"/>
  <c r="D893" i="33" s="1"/>
  <c r="C612" i="33"/>
  <c r="D612" i="33" s="1"/>
  <c r="C959" i="33"/>
  <c r="D959" i="33" s="1"/>
  <c r="C972" i="33"/>
  <c r="D972" i="33" s="1"/>
  <c r="C568" i="33"/>
  <c r="D568" i="33" s="1"/>
  <c r="C587" i="33"/>
  <c r="E587" i="33" s="1"/>
  <c r="C1041" i="33"/>
  <c r="E1041" i="33" s="1"/>
  <c r="C733" i="33"/>
  <c r="D733" i="33" s="1"/>
  <c r="C881" i="33"/>
  <c r="E881" i="33" s="1"/>
  <c r="C868" i="33"/>
  <c r="E868" i="33" s="1"/>
  <c r="C720" i="33"/>
  <c r="E720" i="33" s="1"/>
  <c r="C728" i="33"/>
  <c r="E728" i="33" s="1"/>
  <c r="C797" i="33"/>
  <c r="E797" i="33" s="1"/>
  <c r="C828" i="33"/>
  <c r="E828" i="33" s="1"/>
  <c r="C945" i="33"/>
  <c r="E945" i="33" s="1"/>
  <c r="C897" i="33"/>
  <c r="E897" i="33" s="1"/>
  <c r="C982" i="33"/>
  <c r="E982" i="33" s="1"/>
  <c r="C980" i="33"/>
  <c r="E980" i="33" s="1"/>
  <c r="C916" i="33"/>
  <c r="E916" i="33" s="1"/>
  <c r="C861" i="33"/>
  <c r="D861" i="33" s="1"/>
  <c r="C930" i="33"/>
  <c r="E930" i="33" s="1"/>
  <c r="C620" i="33"/>
  <c r="E620" i="33" s="1"/>
  <c r="C815" i="33"/>
  <c r="D815" i="33" s="1"/>
  <c r="C596" i="33"/>
  <c r="D596" i="33" s="1"/>
  <c r="C614" i="33"/>
  <c r="D614" i="33" s="1"/>
  <c r="C822" i="33"/>
  <c r="D822" i="33" s="1"/>
  <c r="C613" i="33"/>
  <c r="E613" i="33" s="1"/>
  <c r="C847" i="33"/>
  <c r="E847" i="33" s="1"/>
  <c r="C883" i="33"/>
  <c r="D883" i="33" s="1"/>
  <c r="C579" i="33"/>
  <c r="D579" i="33" s="1"/>
  <c r="C1039" i="33"/>
  <c r="D1039" i="33" s="1"/>
  <c r="C798" i="33"/>
  <c r="D798" i="33" s="1"/>
  <c r="C665" i="33"/>
  <c r="D665" i="33" s="1"/>
  <c r="C937" i="33"/>
  <c r="E937" i="33" s="1"/>
  <c r="C776" i="33"/>
  <c r="E776" i="33" s="1"/>
  <c r="C729" i="33"/>
  <c r="D729" i="33" s="1"/>
  <c r="C829" i="33"/>
  <c r="E829" i="33" s="1"/>
  <c r="C990" i="33"/>
  <c r="D990" i="33" s="1"/>
  <c r="C70" i="25"/>
  <c r="C144" i="33"/>
  <c r="D144" i="33" s="1"/>
  <c r="C465" i="33"/>
  <c r="E465" i="33" s="1"/>
  <c r="C470" i="33"/>
  <c r="D470" i="33" s="1"/>
  <c r="C212" i="33"/>
  <c r="E212" i="33" s="1"/>
  <c r="C410" i="33"/>
  <c r="D410" i="33" s="1"/>
  <c r="C236" i="33"/>
  <c r="D236" i="33" s="1"/>
  <c r="C287" i="33"/>
  <c r="D287" i="33" s="1"/>
  <c r="C33" i="33"/>
  <c r="D33" i="33" s="1"/>
  <c r="C526" i="33"/>
  <c r="E526" i="33" s="1"/>
  <c r="C380" i="33"/>
  <c r="E380" i="33" s="1"/>
  <c r="C231" i="33"/>
  <c r="E231" i="33" s="1"/>
  <c r="C310" i="33"/>
  <c r="E310" i="33" s="1"/>
  <c r="C91" i="33"/>
  <c r="E91" i="33" s="1"/>
  <c r="C421" i="33"/>
  <c r="E421" i="33" s="1"/>
  <c r="C511" i="33"/>
  <c r="D511" i="33" s="1"/>
  <c r="C111" i="33"/>
  <c r="E111" i="33" s="1"/>
  <c r="C486" i="33"/>
  <c r="D486" i="33" s="1"/>
  <c r="C333" i="33"/>
  <c r="E333" i="33" s="1"/>
  <c r="C504" i="33"/>
  <c r="E504" i="33" s="1"/>
  <c r="C390" i="33"/>
  <c r="E390" i="33" s="1"/>
  <c r="C328" i="33"/>
  <c r="D328" i="33" s="1"/>
  <c r="C493" i="33"/>
  <c r="D493" i="33" s="1"/>
  <c r="C295" i="33"/>
  <c r="D295" i="33" s="1"/>
  <c r="C522" i="33"/>
  <c r="D522" i="33" s="1"/>
  <c r="C336" i="33"/>
  <c r="D336" i="33" s="1"/>
  <c r="C55" i="33"/>
  <c r="E55" i="33" s="1"/>
  <c r="C286" i="33"/>
  <c r="E286" i="33" s="1"/>
  <c r="C194" i="33"/>
  <c r="E194" i="33" s="1"/>
  <c r="C185" i="33"/>
  <c r="E185" i="33" s="1"/>
  <c r="C395" i="33"/>
  <c r="E395" i="33" s="1"/>
  <c r="C193" i="33"/>
  <c r="D193" i="33" s="1"/>
  <c r="C66" i="33"/>
  <c r="D66" i="33" s="1"/>
  <c r="C74" i="33"/>
  <c r="E74" i="33" s="1"/>
  <c r="C525" i="33"/>
  <c r="E525" i="33" s="1"/>
  <c r="C437" i="33"/>
  <c r="E437" i="33" s="1"/>
  <c r="C455" i="33"/>
  <c r="E455" i="33" s="1"/>
  <c r="C116" i="33"/>
  <c r="D116" i="33" s="1"/>
  <c r="C512" i="33"/>
  <c r="E512" i="33" s="1"/>
  <c r="C85" i="33"/>
  <c r="E85" i="33" s="1"/>
  <c r="C356" i="33"/>
  <c r="D356" i="33" s="1"/>
  <c r="C448" i="33"/>
  <c r="E448" i="33" s="1"/>
  <c r="C312" i="33"/>
  <c r="D312" i="33" s="1"/>
  <c r="C480" i="33"/>
  <c r="D480" i="33" s="1"/>
  <c r="C64" i="33"/>
  <c r="D64" i="33" s="1"/>
  <c r="C184" i="33"/>
  <c r="E184" i="33" s="1"/>
  <c r="C137" i="33"/>
  <c r="E137" i="33" s="1"/>
  <c r="C216" i="33"/>
  <c r="E216" i="33" s="1"/>
  <c r="C346" i="33"/>
  <c r="D346" i="33" s="1"/>
  <c r="C150" i="33"/>
  <c r="E150" i="33" s="1"/>
  <c r="C121" i="33"/>
  <c r="D121" i="33" s="1"/>
  <c r="C491" i="33"/>
  <c r="D491" i="33" s="1"/>
  <c r="C393" i="33"/>
  <c r="D393" i="33" s="1"/>
  <c r="C133" i="33"/>
  <c r="D133" i="33" s="1"/>
  <c r="C136" i="33"/>
  <c r="D136" i="33" s="1"/>
  <c r="C252" i="33"/>
  <c r="E252" i="33" s="1"/>
  <c r="C277" i="33"/>
  <c r="E277" i="33" s="1"/>
  <c r="C474" i="33"/>
  <c r="E474" i="33" s="1"/>
  <c r="C48" i="33"/>
  <c r="E48" i="33" s="1"/>
  <c r="C472" i="33"/>
  <c r="E472" i="33" s="1"/>
  <c r="C489" i="33"/>
  <c r="D489" i="33" s="1"/>
  <c r="C177" i="33"/>
  <c r="D177" i="33" s="1"/>
  <c r="C343" i="33"/>
  <c r="E343" i="33" s="1"/>
  <c r="C444" i="33"/>
  <c r="E444" i="33" s="1"/>
  <c r="C425" i="33"/>
  <c r="E425" i="33" s="1"/>
  <c r="C351" i="33"/>
  <c r="E351" i="33" s="1"/>
  <c r="C251" i="33"/>
  <c r="E251" i="33" s="1"/>
  <c r="C201" i="33"/>
  <c r="D201" i="33" s="1"/>
  <c r="C484" i="33"/>
  <c r="D484" i="33" s="1"/>
  <c r="C451" i="33"/>
  <c r="E451" i="33" s="1"/>
  <c r="C68" i="33"/>
  <c r="E68" i="33" s="1"/>
  <c r="C447" i="33"/>
  <c r="D447" i="33" s="1"/>
  <c r="C207" i="33"/>
  <c r="E207" i="33" s="1"/>
  <c r="C476" i="33"/>
  <c r="E476" i="33" s="1"/>
  <c r="C38" i="33"/>
  <c r="E38" i="33" s="1"/>
  <c r="C479" i="33"/>
  <c r="D479" i="33" s="1"/>
  <c r="C517" i="33"/>
  <c r="E517" i="33" s="1"/>
  <c r="C357" i="33"/>
  <c r="D357" i="33" s="1"/>
  <c r="C529" i="33"/>
  <c r="D529" i="33" s="1"/>
  <c r="C432" i="33"/>
  <c r="D432" i="33" s="1"/>
  <c r="C358" i="33"/>
  <c r="E358" i="33" s="1"/>
  <c r="C404" i="33"/>
  <c r="D404" i="33" s="1"/>
  <c r="C311" i="33"/>
  <c r="D311" i="33" s="1"/>
  <c r="C438" i="33"/>
  <c r="E438" i="33" s="1"/>
  <c r="C218" i="33"/>
  <c r="D218" i="33" s="1"/>
  <c r="C424" i="33"/>
  <c r="E424" i="33" s="1"/>
  <c r="C37" i="33"/>
  <c r="D37" i="33" s="1"/>
  <c r="C508" i="33"/>
  <c r="E508" i="33" s="1"/>
  <c r="C344" i="33"/>
  <c r="D344" i="33" s="1"/>
  <c r="C244" i="33"/>
  <c r="D244" i="33" s="1"/>
  <c r="C226" i="33"/>
  <c r="D226" i="33" s="1"/>
  <c r="C280" i="33"/>
  <c r="D280" i="33" s="1"/>
  <c r="C86" i="33"/>
  <c r="D86" i="33" s="1"/>
  <c r="C519" i="33"/>
  <c r="D519" i="33" s="1"/>
  <c r="C89" i="33"/>
  <c r="E89" i="33" s="1"/>
  <c r="C211" i="33"/>
  <c r="E211" i="33" s="1"/>
  <c r="C265" i="33"/>
  <c r="E265" i="33" s="1"/>
  <c r="C124" i="33"/>
  <c r="E124" i="33" s="1"/>
  <c r="C297" i="33"/>
  <c r="D297" i="33" s="1"/>
  <c r="C304" i="33"/>
  <c r="E304" i="33" s="1"/>
  <c r="C160" i="33"/>
  <c r="D160" i="33" s="1"/>
  <c r="C414" i="33"/>
  <c r="E414" i="33" s="1"/>
  <c r="C313" i="33"/>
  <c r="D313" i="33" s="1"/>
  <c r="C170" i="33"/>
  <c r="D170" i="33" s="1"/>
  <c r="C374" i="33"/>
  <c r="E374" i="33" s="1"/>
  <c r="C490" i="33"/>
  <c r="E490" i="33" s="1"/>
  <c r="C205" i="33"/>
  <c r="E205" i="33" s="1"/>
  <c r="C460" i="33"/>
  <c r="E460" i="33" s="1"/>
  <c r="C228" i="33"/>
  <c r="D228" i="33" s="1"/>
  <c r="C331" i="33"/>
  <c r="D331" i="33" s="1"/>
  <c r="C488" i="33"/>
  <c r="E488" i="33" s="1"/>
  <c r="C154" i="33"/>
  <c r="E154" i="33" s="1"/>
  <c r="C499" i="33"/>
  <c r="E499" i="33" s="1"/>
  <c r="C457" i="33"/>
  <c r="E457" i="33" s="1"/>
  <c r="C334" i="33"/>
  <c r="E334" i="33" s="1"/>
  <c r="C513" i="33"/>
  <c r="D513" i="33" s="1"/>
  <c r="C521" i="33"/>
  <c r="E521" i="33" s="1"/>
  <c r="C326" i="33"/>
  <c r="E326" i="33" s="1"/>
  <c r="C340" i="33"/>
  <c r="D340" i="33" s="1"/>
  <c r="C73" i="33"/>
  <c r="D73" i="33" s="1"/>
  <c r="C376" i="33"/>
  <c r="D376" i="33" s="1"/>
  <c r="C256" i="33"/>
  <c r="D256" i="33" s="1"/>
  <c r="C221" i="33"/>
  <c r="E221" i="33" s="1"/>
  <c r="C125" i="33"/>
  <c r="E125" i="33" s="1"/>
  <c r="C434" i="33"/>
  <c r="E434" i="33" s="1"/>
  <c r="C341" i="33"/>
  <c r="E341" i="33" s="1"/>
  <c r="C275" i="33"/>
  <c r="D275" i="33" s="1"/>
  <c r="C385" i="33"/>
  <c r="E385" i="33" s="1"/>
  <c r="C505" i="33"/>
  <c r="D505" i="33" s="1"/>
  <c r="C23" i="33"/>
  <c r="D23" i="33" s="1"/>
  <c r="C439" i="33"/>
  <c r="D439" i="33" s="1"/>
  <c r="C433" i="33"/>
  <c r="C454" i="33"/>
  <c r="D454" i="33" s="1"/>
  <c r="C22" i="33"/>
  <c r="E22" i="33" s="1"/>
  <c r="C353" i="33"/>
  <c r="D353" i="33" s="1"/>
  <c r="C342" i="33"/>
  <c r="D342" i="33" s="1"/>
  <c r="C506" i="33"/>
  <c r="D506" i="33" s="1"/>
  <c r="C383" i="33"/>
  <c r="E383" i="33" s="1"/>
  <c r="C350" i="33"/>
  <c r="E350" i="33" s="1"/>
  <c r="C477" i="33"/>
  <c r="D477" i="33" s="1"/>
  <c r="C128" i="33"/>
  <c r="E128" i="33" s="1"/>
  <c r="C217" i="33"/>
  <c r="D217" i="33" s="1"/>
  <c r="C126" i="33"/>
  <c r="C93" i="33"/>
  <c r="E93" i="33" s="1"/>
  <c r="C94" i="33"/>
  <c r="E94" i="33" s="1"/>
  <c r="C403" i="33"/>
  <c r="E403" i="33" s="1"/>
  <c r="C202" i="33"/>
  <c r="D202" i="33" s="1"/>
  <c r="C371" i="33"/>
  <c r="E371" i="33" s="1"/>
  <c r="C87" i="33"/>
  <c r="D87" i="33" s="1"/>
  <c r="C103" i="33"/>
  <c r="D103" i="33" s="1"/>
  <c r="C120" i="33"/>
  <c r="E120" i="33" s="1"/>
  <c r="C411" i="33"/>
  <c r="D411" i="33" s="1"/>
  <c r="C206" i="33"/>
  <c r="E206" i="33" s="1"/>
  <c r="C392" i="33"/>
  <c r="D392" i="33" s="1"/>
  <c r="C127" i="33"/>
  <c r="D127" i="33" s="1"/>
  <c r="C423" i="33"/>
  <c r="D423" i="33" s="1"/>
  <c r="C413" i="33"/>
  <c r="E413" i="33" s="1"/>
  <c r="C246" i="33"/>
  <c r="D246" i="33" s="1"/>
  <c r="C440" i="33"/>
  <c r="D440" i="33" s="1"/>
  <c r="C296" i="33"/>
  <c r="D296" i="33" s="1"/>
  <c r="C337" i="33"/>
  <c r="D337" i="33" s="1"/>
  <c r="C232" i="33"/>
  <c r="E232" i="33" s="1"/>
  <c r="C49" i="33"/>
  <c r="E49" i="33" s="1"/>
  <c r="C354" i="33"/>
  <c r="D354" i="33" s="1"/>
  <c r="C464" i="33"/>
  <c r="D464" i="33" s="1"/>
  <c r="C81" i="33"/>
  <c r="D81" i="33" s="1"/>
  <c r="C195" i="33"/>
  <c r="E195" i="33" s="1"/>
  <c r="C339" i="33"/>
  <c r="D339" i="33" s="1"/>
  <c r="C267" i="33"/>
  <c r="E267" i="33" s="1"/>
  <c r="C62" i="33"/>
  <c r="D62" i="33" s="1"/>
  <c r="C293" i="33"/>
  <c r="D293" i="33" s="1"/>
  <c r="C418" i="33"/>
  <c r="D418" i="33" s="1"/>
  <c r="C300" i="33"/>
  <c r="D300" i="33" s="1"/>
  <c r="C441" i="33"/>
  <c r="D441" i="33" s="1"/>
  <c r="C191" i="33"/>
  <c r="E191" i="33" s="1"/>
  <c r="C415" i="33"/>
  <c r="D415" i="33" s="1"/>
  <c r="C288" i="33"/>
  <c r="E288" i="33" s="1"/>
  <c r="C314" i="33"/>
  <c r="E314" i="33" s="1"/>
  <c r="C135" i="33"/>
  <c r="E135" i="33" s="1"/>
  <c r="C167" i="33"/>
  <c r="E167" i="33" s="1"/>
  <c r="C108" i="33"/>
  <c r="D108" i="33" s="1"/>
  <c r="C20" i="33"/>
  <c r="E20" i="33" s="1"/>
  <c r="C261" i="33"/>
  <c r="D261" i="33" s="1"/>
  <c r="C210" i="33"/>
  <c r="D210" i="33" s="1"/>
  <c r="C384" i="33"/>
  <c r="D384" i="33" s="1"/>
  <c r="C494" i="33"/>
  <c r="E494" i="33" s="1"/>
  <c r="C148" i="33"/>
  <c r="D148" i="33" s="1"/>
  <c r="C57" i="33"/>
  <c r="D57" i="33" s="1"/>
  <c r="C389" i="33"/>
  <c r="D389" i="33" s="1"/>
  <c r="C305" i="33"/>
  <c r="D305" i="33" s="1"/>
  <c r="C345" i="33"/>
  <c r="E345" i="33" s="1"/>
  <c r="C496" i="33"/>
  <c r="D496" i="33" s="1"/>
  <c r="C291" i="33"/>
  <c r="E291" i="33" s="1"/>
  <c r="C270" i="33"/>
  <c r="D270" i="33" s="1"/>
  <c r="C140" i="33"/>
  <c r="D140" i="33" s="1"/>
  <c r="C514" i="33"/>
  <c r="E514" i="33" s="1"/>
  <c r="C528" i="33"/>
  <c r="E528" i="33" s="1"/>
  <c r="C327" i="33"/>
  <c r="E327" i="33" s="1"/>
  <c r="C75" i="33"/>
  <c r="D75" i="33" s="1"/>
  <c r="C373" i="33"/>
  <c r="E373" i="33" s="1"/>
  <c r="C176" i="33"/>
  <c r="D176" i="33" s="1"/>
  <c r="C129" i="33"/>
  <c r="D129" i="33" s="1"/>
  <c r="C69" i="33"/>
  <c r="E69" i="33" s="1"/>
  <c r="C419" i="33"/>
  <c r="E419" i="33" s="1"/>
  <c r="C112" i="33"/>
  <c r="D112" i="33" s="1"/>
  <c r="C482" i="33"/>
  <c r="D482" i="33" s="1"/>
  <c r="C52" i="33"/>
  <c r="D52" i="33" s="1"/>
  <c r="C151" i="33"/>
  <c r="D151" i="33" s="1"/>
  <c r="C507" i="33"/>
  <c r="E507" i="33" s="1"/>
  <c r="C303" i="33"/>
  <c r="D303" i="33" s="1"/>
  <c r="C471" i="33"/>
  <c r="E471" i="33" s="1"/>
  <c r="C523" i="33"/>
  <c r="E523" i="33" s="1"/>
  <c r="C180" i="33"/>
  <c r="D180" i="33" s="1"/>
  <c r="C242" i="33"/>
  <c r="D242" i="33" s="1"/>
  <c r="C324" i="33"/>
  <c r="D324" i="33" s="1"/>
  <c r="C449" i="33"/>
  <c r="E449" i="33" s="1"/>
  <c r="E19" i="33"/>
  <c r="C183" i="33"/>
  <c r="D183" i="33" s="1"/>
  <c r="C461" i="33"/>
  <c r="E461" i="33" s="1"/>
  <c r="C427" i="33"/>
  <c r="E427" i="33" s="1"/>
  <c r="C518" i="33"/>
  <c r="E518" i="33" s="1"/>
  <c r="C243" i="33"/>
  <c r="E243" i="33" s="1"/>
  <c r="C238" i="33"/>
  <c r="E238" i="33" s="1"/>
  <c r="C289" i="33"/>
  <c r="E289" i="33" s="1"/>
  <c r="C105" i="33"/>
  <c r="D105" i="33" s="1"/>
  <c r="C50" i="33"/>
  <c r="D50" i="33" s="1"/>
  <c r="C169" i="33"/>
  <c r="D169" i="33" s="1"/>
  <c r="C67" i="33"/>
  <c r="E67" i="33" s="1"/>
  <c r="C301" i="33"/>
  <c r="D301" i="33" s="1"/>
  <c r="C123" i="33"/>
  <c r="D123" i="33" s="1"/>
  <c r="C445" i="33"/>
  <c r="E445" i="33" s="1"/>
  <c r="C361" i="33"/>
  <c r="D361" i="33" s="1"/>
  <c r="C213" i="33"/>
  <c r="D213" i="33" s="1"/>
  <c r="C199" i="33"/>
  <c r="D199" i="33" s="1"/>
  <c r="C45" i="33"/>
  <c r="E45" i="33" s="1"/>
  <c r="C88" i="33"/>
  <c r="D88" i="33" s="1"/>
  <c r="C259" i="33"/>
  <c r="E259" i="33" s="1"/>
  <c r="C35" i="33"/>
  <c r="D35" i="33" s="1"/>
  <c r="C278" i="33"/>
  <c r="E278" i="33" s="1"/>
  <c r="C239" i="33"/>
  <c r="E239" i="33" s="1"/>
  <c r="C487" i="33"/>
  <c r="E487" i="33" s="1"/>
  <c r="C83" i="33"/>
  <c r="E83" i="33" s="1"/>
  <c r="C41" i="33"/>
  <c r="D41" i="33" s="1"/>
  <c r="C309" i="33"/>
  <c r="D309" i="33" s="1"/>
  <c r="C122" i="33"/>
  <c r="D122" i="33" s="1"/>
  <c r="C31" i="33"/>
  <c r="D31" i="33" s="1"/>
  <c r="C397" i="33"/>
  <c r="E397" i="33" s="1"/>
  <c r="C367" i="33"/>
  <c r="D367" i="33" s="1"/>
  <c r="C77" i="33"/>
  <c r="D77" i="33" s="1"/>
  <c r="C100" i="33"/>
  <c r="D100" i="33" s="1"/>
  <c r="C209" i="33"/>
  <c r="D209" i="33" s="1"/>
  <c r="C497" i="33"/>
  <c r="D497" i="33" s="1"/>
  <c r="C174" i="33"/>
  <c r="E174" i="33" s="1"/>
  <c r="C407" i="33"/>
  <c r="E407" i="33" s="1"/>
  <c r="C347" i="33"/>
  <c r="E347" i="33" s="1"/>
  <c r="C54" i="33"/>
  <c r="E54" i="33" s="1"/>
  <c r="D60" i="25"/>
  <c r="D59" i="25"/>
  <c r="D61" i="25"/>
  <c r="D58" i="25"/>
  <c r="H58" i="25"/>
  <c r="H60" i="25"/>
  <c r="H61" i="25"/>
  <c r="H59" i="25"/>
  <c r="H51" i="25"/>
  <c r="H49" i="25"/>
  <c r="C48" i="25"/>
  <c r="C51" i="25"/>
  <c r="C50" i="25"/>
  <c r="B52" i="25"/>
  <c r="C109" i="33"/>
  <c r="D109" i="33" s="1"/>
  <c r="C43" i="33"/>
  <c r="D43" i="33" s="1"/>
  <c r="C462" i="33"/>
  <c r="E462" i="33" s="1"/>
  <c r="C273" i="33"/>
  <c r="E273" i="33" s="1"/>
  <c r="C426" i="33"/>
  <c r="D426" i="33" s="1"/>
  <c r="C65" i="33"/>
  <c r="D65" i="33" s="1"/>
  <c r="C175" i="33"/>
  <c r="D175" i="33" s="1"/>
  <c r="C56" i="33"/>
  <c r="D56" i="33" s="1"/>
  <c r="C435" i="33"/>
  <c r="D435" i="33" s="1"/>
  <c r="C370" i="33"/>
  <c r="D370" i="33" s="1"/>
  <c r="C63" i="33"/>
  <c r="E63" i="33" s="1"/>
  <c r="C272" i="33"/>
  <c r="D272" i="33" s="1"/>
  <c r="C352" i="33"/>
  <c r="E352" i="33" s="1"/>
  <c r="C80" i="33"/>
  <c r="D80" i="33" s="1"/>
  <c r="C478" i="33"/>
  <c r="D478" i="33" s="1"/>
  <c r="C475" i="33"/>
  <c r="D475" i="33" s="1"/>
  <c r="C182" i="33"/>
  <c r="E182" i="33" s="1"/>
  <c r="C429" i="33"/>
  <c r="E429" i="33" s="1"/>
  <c r="C229" i="33"/>
  <c r="D229" i="33" s="1"/>
  <c r="C25" i="33"/>
  <c r="C320" i="33"/>
  <c r="D320" i="33" s="1"/>
  <c r="C189" i="33"/>
  <c r="D189" i="33" s="1"/>
  <c r="C282" i="33"/>
  <c r="D282" i="33" s="1"/>
  <c r="C188" i="33"/>
  <c r="D188" i="33" s="1"/>
  <c r="C104" i="33"/>
  <c r="C329" i="33"/>
  <c r="D329" i="33" s="1"/>
  <c r="C219" i="33"/>
  <c r="E219" i="33" s="1"/>
  <c r="C359" i="33"/>
  <c r="E359" i="33" s="1"/>
  <c r="C235" i="33"/>
  <c r="D235" i="33" s="1"/>
  <c r="C241" i="33"/>
  <c r="D241" i="33" s="1"/>
  <c r="C250" i="33"/>
  <c r="E250" i="33" s="1"/>
  <c r="C302" i="33"/>
  <c r="E302" i="33" s="1"/>
  <c r="C285" i="33"/>
  <c r="D285" i="33" s="1"/>
  <c r="C283" i="33"/>
  <c r="E283" i="33" s="1"/>
  <c r="C458" i="33"/>
  <c r="D458" i="33" s="1"/>
  <c r="C115" i="33"/>
  <c r="E115" i="33" s="1"/>
  <c r="C130" i="33"/>
  <c r="D130" i="33" s="1"/>
  <c r="C279" i="33"/>
  <c r="D279" i="33" s="1"/>
  <c r="C436" i="33"/>
  <c r="E436" i="33" s="1"/>
  <c r="C84" i="33"/>
  <c r="D84" i="33" s="1"/>
  <c r="C463" i="33"/>
  <c r="E463" i="33" s="1"/>
  <c r="C422" i="33"/>
  <c r="D422" i="33" s="1"/>
  <c r="C237" i="33"/>
  <c r="E237" i="33" s="1"/>
  <c r="C495" i="33"/>
  <c r="D495" i="33" s="1"/>
  <c r="C143" i="33"/>
  <c r="D143" i="33" s="1"/>
  <c r="C431" i="33"/>
  <c r="D431" i="33" s="1"/>
  <c r="C240" i="33"/>
  <c r="E240" i="33" s="1"/>
  <c r="C284" i="33"/>
  <c r="D284" i="33" s="1"/>
  <c r="C223" i="33"/>
  <c r="E223" i="33" s="1"/>
  <c r="C118" i="33"/>
  <c r="D118" i="33" s="1"/>
  <c r="C388" i="33"/>
  <c r="E388" i="33" s="1"/>
  <c r="C308" i="33"/>
  <c r="E308" i="33" s="1"/>
  <c r="C204" i="33"/>
  <c r="E204" i="33" s="1"/>
  <c r="C46" i="33"/>
  <c r="E46" i="33" s="1"/>
  <c r="C502" i="33"/>
  <c r="C325" i="33"/>
  <c r="E325" i="33" s="1"/>
  <c r="C382" i="33"/>
  <c r="D382" i="33" s="1"/>
  <c r="C453" i="33"/>
  <c r="E453" i="33" s="1"/>
  <c r="C131" i="33"/>
  <c r="C208" i="33"/>
  <c r="C230" i="33"/>
  <c r="E230" i="33" s="1"/>
  <c r="C29" i="33"/>
  <c r="E29" i="33" s="1"/>
  <c r="B50" i="25"/>
  <c r="C468" i="33"/>
  <c r="E468" i="33" s="1"/>
  <c r="C428" i="33"/>
  <c r="E428" i="33" s="1"/>
  <c r="C32" i="33"/>
  <c r="E32" i="33" s="1"/>
  <c r="C399" i="33"/>
  <c r="E399" i="33" s="1"/>
  <c r="C401" i="33"/>
  <c r="D401" i="33" s="1"/>
  <c r="C266" i="33"/>
  <c r="E266" i="33" s="1"/>
  <c r="C97" i="33"/>
  <c r="D97" i="33" s="1"/>
  <c r="C281" i="33"/>
  <c r="D281" i="33" s="1"/>
  <c r="C138" i="33"/>
  <c r="E138" i="33" s="1"/>
  <c r="C271" i="33"/>
  <c r="E271" i="33" s="1"/>
  <c r="C156" i="33"/>
  <c r="E156" i="33" s="1"/>
  <c r="C510" i="33"/>
  <c r="D510" i="33" s="1"/>
  <c r="C225" i="33"/>
  <c r="E225" i="33" s="1"/>
  <c r="C117" i="33"/>
  <c r="E117" i="33" s="1"/>
  <c r="C332" i="33"/>
  <c r="D332" i="33" s="1"/>
  <c r="C179" i="33"/>
  <c r="D179" i="33" s="1"/>
  <c r="C394" i="33"/>
  <c r="E394" i="33" s="1"/>
  <c r="C198" i="33"/>
  <c r="D198" i="33" s="1"/>
  <c r="C402" i="33"/>
  <c r="E402" i="33" s="1"/>
  <c r="C248" i="33"/>
  <c r="D248" i="33" s="1"/>
  <c r="C172" i="33"/>
  <c r="E172" i="33" s="1"/>
  <c r="C492" i="33"/>
  <c r="D492" i="33" s="1"/>
  <c r="C368" i="33"/>
  <c r="D368" i="33" s="1"/>
  <c r="C443" i="33"/>
  <c r="E443" i="33" s="1"/>
  <c r="C276" i="33"/>
  <c r="D276" i="33" s="1"/>
  <c r="C158" i="33"/>
  <c r="E158" i="33" s="1"/>
  <c r="C71" i="33"/>
  <c r="D71" i="33" s="1"/>
  <c r="C322" i="33"/>
  <c r="E322" i="33" s="1"/>
  <c r="C349" i="33"/>
  <c r="E349" i="33" s="1"/>
  <c r="C119" i="33"/>
  <c r="D119" i="33" s="1"/>
  <c r="C420" i="33"/>
  <c r="E420" i="33" s="1"/>
  <c r="C27" i="33"/>
  <c r="D27" i="33" s="1"/>
  <c r="C316" i="33"/>
  <c r="E316" i="33" s="1"/>
  <c r="C483" i="33"/>
  <c r="E483" i="33" s="1"/>
  <c r="C255" i="33"/>
  <c r="E255" i="33" s="1"/>
  <c r="C215" i="33"/>
  <c r="E215" i="33" s="1"/>
  <c r="C306" i="33"/>
  <c r="D306" i="33" s="1"/>
  <c r="C157" i="33"/>
  <c r="E157" i="33" s="1"/>
  <c r="C452" i="33"/>
  <c r="E452" i="33" s="1"/>
  <c r="C197" i="33"/>
  <c r="D197" i="33" s="1"/>
  <c r="C141" i="33"/>
  <c r="D141" i="33" s="1"/>
  <c r="C30" i="33"/>
  <c r="D30" i="33" s="1"/>
  <c r="C335" i="33"/>
  <c r="D335" i="33" s="1"/>
  <c r="C190" i="33"/>
  <c r="D190" i="33" s="1"/>
  <c r="C318" i="33"/>
  <c r="E318" i="33" s="1"/>
  <c r="C260" i="33"/>
  <c r="D260" i="33" s="1"/>
  <c r="C245" i="33"/>
  <c r="E245" i="33" s="1"/>
  <c r="C247" i="33"/>
  <c r="D247" i="33" s="1"/>
  <c r="C366" i="33"/>
  <c r="E366" i="33" s="1"/>
  <c r="C234" i="33"/>
  <c r="D234" i="33" s="1"/>
  <c r="C509" i="33"/>
  <c r="D509" i="33" s="1"/>
  <c r="C387" i="33"/>
  <c r="C134" i="33"/>
  <c r="C178" i="33"/>
  <c r="E178" i="33" s="1"/>
  <c r="C168" i="33"/>
  <c r="E168" i="33" s="1"/>
  <c r="C501" i="33"/>
  <c r="E501" i="33" s="1"/>
  <c r="C161" i="33"/>
  <c r="E161" i="33" s="1"/>
  <c r="C149" i="33"/>
  <c r="D149" i="33" s="1"/>
  <c r="C321" i="33"/>
  <c r="C398" i="33"/>
  <c r="D398" i="33" s="1"/>
  <c r="C99" i="33"/>
  <c r="C360" i="33"/>
  <c r="D360" i="33" s="1"/>
  <c r="C106" i="33"/>
  <c r="D106" i="33" s="1"/>
  <c r="F61" i="25"/>
  <c r="F59" i="25"/>
  <c r="F60" i="25"/>
  <c r="I49" i="25"/>
  <c r="I48" i="25"/>
  <c r="B60" i="25"/>
  <c r="B62" i="25"/>
  <c r="B61" i="25"/>
  <c r="B59" i="25"/>
  <c r="B58" i="25"/>
  <c r="B49" i="25"/>
  <c r="E49" i="25"/>
  <c r="E63" i="25"/>
  <c r="I51" i="25"/>
  <c r="E50" i="25"/>
  <c r="C44" i="33"/>
  <c r="D44" i="33" s="1"/>
  <c r="C481" i="33"/>
  <c r="E481" i="33" s="1"/>
  <c r="C264" i="33"/>
  <c r="E264" i="33" s="1"/>
  <c r="C203" i="33"/>
  <c r="E203" i="33" s="1"/>
  <c r="C524" i="33"/>
  <c r="E524" i="33" s="1"/>
  <c r="C378" i="33"/>
  <c r="D378" i="33" s="1"/>
  <c r="C258" i="33"/>
  <c r="D258" i="33" s="1"/>
  <c r="C292" i="33"/>
  <c r="D292" i="33" s="1"/>
  <c r="C372" i="33"/>
  <c r="D372" i="33" s="1"/>
  <c r="C381" i="33"/>
  <c r="D381" i="33" s="1"/>
  <c r="C107" i="33"/>
  <c r="D107" i="33" s="1"/>
  <c r="C466" i="33"/>
  <c r="D466" i="33" s="1"/>
  <c r="C299" i="33"/>
  <c r="E299" i="33" s="1"/>
  <c r="C355" i="33"/>
  <c r="E355" i="33" s="1"/>
  <c r="C82" i="33"/>
  <c r="E82" i="33" s="1"/>
  <c r="C363" i="33"/>
  <c r="D363" i="33" s="1"/>
  <c r="C473" i="33"/>
  <c r="E473" i="33" s="1"/>
  <c r="C527" i="33"/>
  <c r="E527" i="33" s="1"/>
  <c r="C28" i="33"/>
  <c r="E28" i="33" s="1"/>
  <c r="C200" i="33"/>
  <c r="E200" i="33" s="1"/>
  <c r="C222" i="33"/>
  <c r="D222" i="33" s="1"/>
  <c r="C254" i="33"/>
  <c r="E254" i="33" s="1"/>
  <c r="C42" i="33"/>
  <c r="D42" i="33" s="1"/>
  <c r="C95" i="33"/>
  <c r="D95" i="33" s="1"/>
  <c r="C59" i="33"/>
  <c r="E59" i="33" s="1"/>
  <c r="C113" i="33"/>
  <c r="E113" i="33" s="1"/>
  <c r="C257" i="33"/>
  <c r="E257" i="33" s="1"/>
  <c r="C214" i="33"/>
  <c r="E214" i="33" s="1"/>
  <c r="C163" i="33"/>
  <c r="D163" i="33" s="1"/>
  <c r="C145" i="33"/>
  <c r="E145" i="33" s="1"/>
  <c r="C379" i="33"/>
  <c r="D379" i="33" s="1"/>
  <c r="C220" i="33"/>
  <c r="D220" i="33" s="1"/>
  <c r="C233" i="33"/>
  <c r="E233" i="33" s="1"/>
  <c r="C446" i="33"/>
  <c r="D446" i="33" s="1"/>
  <c r="B48" i="25"/>
  <c r="C469" i="33"/>
  <c r="E469" i="33" s="1"/>
  <c r="C227" i="33"/>
  <c r="E227" i="33" s="1"/>
  <c r="C268" i="33"/>
  <c r="D268" i="33" s="1"/>
  <c r="C153" i="33"/>
  <c r="E153" i="33" s="1"/>
  <c r="C500" i="33"/>
  <c r="D500" i="33" s="1"/>
  <c r="C249" i="33"/>
  <c r="E249" i="33" s="1"/>
  <c r="C263" i="33"/>
  <c r="D263" i="33" s="1"/>
  <c r="C364" i="33"/>
  <c r="D364" i="33" s="1"/>
  <c r="C78" i="33"/>
  <c r="E78" i="33" s="1"/>
  <c r="C262" i="33"/>
  <c r="E262" i="33" s="1"/>
  <c r="C405" i="33"/>
  <c r="D405" i="33" s="1"/>
  <c r="C442" i="33"/>
  <c r="D442" i="33" s="1"/>
  <c r="C92" i="33"/>
  <c r="E92" i="33" s="1"/>
  <c r="C21" i="33"/>
  <c r="C459" i="33"/>
  <c r="D459" i="33" s="1"/>
  <c r="C362" i="33"/>
  <c r="D362" i="33" s="1"/>
  <c r="C96" i="33"/>
  <c r="E96" i="33" s="1"/>
  <c r="C181" i="33"/>
  <c r="D181" i="33" s="1"/>
  <c r="C39" i="33"/>
  <c r="D39" i="33" s="1"/>
  <c r="C34" i="33"/>
  <c r="D34" i="33" s="1"/>
  <c r="C412" i="33"/>
  <c r="D412" i="33" s="1"/>
  <c r="C269" i="33"/>
  <c r="E269" i="33" s="1"/>
  <c r="C155" i="33"/>
  <c r="E155" i="33" s="1"/>
  <c r="C330" i="33"/>
  <c r="D330" i="33" s="1"/>
  <c r="C416" i="33"/>
  <c r="E416" i="33" s="1"/>
  <c r="C467" i="33"/>
  <c r="E467" i="33" s="1"/>
  <c r="C166" i="33"/>
  <c r="C192" i="33"/>
  <c r="E192" i="33" s="1"/>
  <c r="C165" i="33"/>
  <c r="C498" i="33"/>
  <c r="D498" i="33" s="1"/>
  <c r="C72" i="33"/>
  <c r="D72" i="33" s="1"/>
  <c r="C171" i="33"/>
  <c r="E171" i="33" s="1"/>
  <c r="C520" i="33"/>
  <c r="E520" i="33" s="1"/>
  <c r="C159" i="33"/>
  <c r="E159" i="33" s="1"/>
  <c r="C307" i="33"/>
  <c r="D307" i="33" s="1"/>
  <c r="C406" i="33"/>
  <c r="E406" i="33" s="1"/>
  <c r="C70" i="33"/>
  <c r="D70" i="33" s="1"/>
  <c r="C187" i="33"/>
  <c r="E187" i="33" s="1"/>
  <c r="C61" i="33"/>
  <c r="D61" i="33" s="1"/>
  <c r="C338" i="33"/>
  <c r="D338" i="33" s="1"/>
  <c r="C76" i="33"/>
  <c r="E76" i="33" s="1"/>
  <c r="C47" i="33"/>
  <c r="E47" i="33" s="1"/>
  <c r="C162" i="33"/>
  <c r="D162" i="33" s="1"/>
  <c r="C408" i="33"/>
  <c r="D408" i="33" s="1"/>
  <c r="C485" i="33"/>
  <c r="D485" i="33" s="1"/>
  <c r="C294" i="33"/>
  <c r="D294" i="33" s="1"/>
  <c r="C51" i="33"/>
  <c r="E51" i="33" s="1"/>
  <c r="C146" i="33"/>
  <c r="D146" i="33" s="1"/>
  <c r="C323" i="33"/>
  <c r="D323" i="33" s="1"/>
  <c r="C515" i="33"/>
  <c r="E515" i="33" s="1"/>
  <c r="C36" i="33"/>
  <c r="D36" i="33" s="1"/>
  <c r="C147" i="33"/>
  <c r="D147" i="33" s="1"/>
  <c r="C58" i="33"/>
  <c r="D58" i="33" s="1"/>
  <c r="C365" i="33"/>
  <c r="E365" i="33" s="1"/>
  <c r="C132" i="33"/>
  <c r="E132" i="33" s="1"/>
  <c r="C375" i="33"/>
  <c r="D375" i="33" s="1"/>
  <c r="C319" i="33"/>
  <c r="E319" i="33" s="1"/>
  <c r="C79" i="33"/>
  <c r="E79" i="33" s="1"/>
  <c r="C102" i="33"/>
  <c r="D102" i="33" s="1"/>
  <c r="C98" i="33"/>
  <c r="D98" i="33" s="1"/>
  <c r="C400" i="33"/>
  <c r="D400" i="33" s="1"/>
  <c r="C90" i="33"/>
  <c r="D90" i="33" s="1"/>
  <c r="C186" i="33"/>
  <c r="E186" i="33" s="1"/>
  <c r="C53" i="33"/>
  <c r="E53" i="33" s="1"/>
  <c r="C142" i="33"/>
  <c r="D142" i="33" s="1"/>
  <c r="C396" i="33"/>
  <c r="E396" i="33" s="1"/>
  <c r="C139" i="33"/>
  <c r="D139" i="33" s="1"/>
  <c r="C224" i="33"/>
  <c r="D224" i="33" s="1"/>
  <c r="C456" i="33"/>
  <c r="D456" i="33" s="1"/>
  <c r="C101" i="33"/>
  <c r="E101" i="33" s="1"/>
  <c r="C164" i="33"/>
  <c r="E164" i="33" s="1"/>
  <c r="C253" i="33"/>
  <c r="E253" i="33" s="1"/>
  <c r="C450" i="33"/>
  <c r="D450" i="33" s="1"/>
  <c r="C114" i="33"/>
  <c r="D114" i="33" s="1"/>
  <c r="C173" i="33"/>
  <c r="D173" i="33" s="1"/>
  <c r="C196" i="33"/>
  <c r="E196" i="33" s="1"/>
  <c r="C298" i="33"/>
  <c r="E298" i="33" s="1"/>
  <c r="C369" i="33"/>
  <c r="D369" i="33" s="1"/>
  <c r="C274" i="33"/>
  <c r="D274" i="33" s="1"/>
  <c r="C24" i="33"/>
  <c r="C317" i="33"/>
  <c r="C290" i="33"/>
  <c r="C377" i="33"/>
  <c r="C348" i="33"/>
  <c r="D348" i="33" s="1"/>
  <c r="C315" i="33"/>
  <c r="C409" i="33"/>
  <c r="C60" i="33"/>
  <c r="E60" i="33" s="1"/>
  <c r="C516" i="33"/>
  <c r="E516" i="33" s="1"/>
  <c r="C391" i="33"/>
  <c r="C417" i="33"/>
  <c r="D417" i="33" s="1"/>
  <c r="C386" i="33"/>
  <c r="D386" i="33" s="1"/>
  <c r="C110" i="33"/>
  <c r="E110" i="33" s="1"/>
  <c r="C152" i="33"/>
  <c r="E152" i="33" s="1"/>
  <c r="C40" i="33"/>
  <c r="E40" i="33" s="1"/>
  <c r="H50" i="25"/>
  <c r="F58" i="25"/>
  <c r="D50" i="25"/>
  <c r="D48" i="25"/>
  <c r="D49" i="25"/>
  <c r="D51" i="25"/>
  <c r="F53" i="25"/>
  <c r="C68" i="25"/>
  <c r="C71" i="25"/>
  <c r="G51" i="25"/>
  <c r="G48" i="25"/>
  <c r="G50" i="25"/>
  <c r="G49" i="25"/>
  <c r="D71" i="25"/>
  <c r="D69" i="25"/>
  <c r="D68" i="25"/>
  <c r="D70" i="25"/>
  <c r="F70" i="25"/>
  <c r="F69" i="25"/>
  <c r="F71" i="25"/>
  <c r="F68" i="25"/>
  <c r="G70" i="25"/>
  <c r="G69" i="25"/>
  <c r="G71" i="25"/>
  <c r="G68" i="25"/>
  <c r="I70" i="25"/>
  <c r="I68" i="25"/>
  <c r="I69" i="25"/>
  <c r="I71" i="25"/>
  <c r="H73" i="25"/>
  <c r="B72" i="25"/>
  <c r="B70" i="25"/>
  <c r="B71" i="25"/>
  <c r="B68" i="25"/>
  <c r="B69" i="25"/>
  <c r="E71" i="25"/>
  <c r="E70" i="25"/>
  <c r="E68" i="25"/>
  <c r="E69" i="25"/>
  <c r="E18" i="33" l="1"/>
  <c r="D18" i="33"/>
  <c r="E25" i="33"/>
  <c r="D25" i="33"/>
  <c r="D21" i="33"/>
  <c r="E21" i="33"/>
  <c r="D551" i="33"/>
  <c r="E551" i="33"/>
  <c r="C63" i="25"/>
  <c r="C53" i="25"/>
  <c r="I53" i="25"/>
  <c r="D765" i="33"/>
  <c r="H53" i="25"/>
  <c r="B53" i="25"/>
  <c r="I63" i="25"/>
  <c r="E878" i="33"/>
  <c r="D503" i="33"/>
  <c r="E179" i="33"/>
  <c r="E785" i="33"/>
  <c r="E572" i="33"/>
  <c r="D670" i="33"/>
  <c r="E938" i="33"/>
  <c r="D917" i="33"/>
  <c r="E700" i="33"/>
  <c r="D697" i="33"/>
  <c r="D310" i="33"/>
  <c r="E816" i="33"/>
  <c r="E709" i="33"/>
  <c r="D907" i="33"/>
  <c r="E619" i="33"/>
  <c r="E1017" i="33"/>
  <c r="E600" i="33"/>
  <c r="D941" i="33"/>
  <c r="D789" i="33"/>
  <c r="E766" i="33"/>
  <c r="G63" i="25"/>
  <c r="D897" i="33"/>
  <c r="D882" i="33"/>
  <c r="E806" i="33"/>
  <c r="D609" i="33"/>
  <c r="E910" i="33"/>
  <c r="E786" i="33"/>
  <c r="E662" i="33"/>
  <c r="D451" i="33"/>
  <c r="D836" i="33"/>
  <c r="D633" i="33"/>
  <c r="E991" i="33"/>
  <c r="D721" i="33"/>
  <c r="D973" i="33"/>
  <c r="D624" i="33"/>
  <c r="D1027" i="33"/>
  <c r="E903" i="33"/>
  <c r="D937" i="33"/>
  <c r="D705" i="33"/>
  <c r="E623" i="33"/>
  <c r="E680" i="33"/>
  <c r="E727" i="33"/>
  <c r="E612" i="33"/>
  <c r="D968" i="33"/>
  <c r="D731" i="33"/>
  <c r="E996" i="33"/>
  <c r="D904" i="33"/>
  <c r="D588" i="33"/>
  <c r="D837" i="33"/>
  <c r="E915" i="33"/>
  <c r="D589" i="33"/>
  <c r="E1030" i="33"/>
  <c r="D570" i="33"/>
  <c r="D667" i="33"/>
  <c r="E702" i="33"/>
  <c r="E796" i="33"/>
  <c r="D563" i="33"/>
  <c r="E614" i="33"/>
  <c r="D835" i="33"/>
  <c r="D645" i="33"/>
  <c r="E714" i="33"/>
  <c r="E1009" i="33"/>
  <c r="D868" i="33"/>
  <c r="D834" i="33"/>
  <c r="E1011" i="33"/>
  <c r="E637" i="33"/>
  <c r="D881" i="33"/>
  <c r="E575" i="33"/>
  <c r="D54" i="33"/>
  <c r="E1033" i="33"/>
  <c r="E657" i="33"/>
  <c r="D980" i="33"/>
  <c r="E616" i="33"/>
  <c r="D742" i="33"/>
  <c r="E668" i="33"/>
  <c r="D976" i="33"/>
  <c r="D710" i="33"/>
  <c r="E985" i="33"/>
  <c r="D613" i="33"/>
  <c r="D736" i="33"/>
  <c r="D676" i="33"/>
  <c r="E631" i="33"/>
  <c r="E953" i="33"/>
  <c r="D916" i="33"/>
  <c r="D776" i="33"/>
  <c r="D646" i="33"/>
  <c r="D650" i="33"/>
  <c r="E974" i="33"/>
  <c r="E959" i="33"/>
  <c r="D726" i="33"/>
  <c r="D288" i="33"/>
  <c r="D961" i="33"/>
  <c r="D845" i="33"/>
  <c r="E653" i="33"/>
  <c r="E819" i="33"/>
  <c r="D737" i="33"/>
  <c r="D935" i="33"/>
  <c r="E557" i="33"/>
  <c r="E950" i="33"/>
  <c r="E606" i="33"/>
  <c r="D859" i="33"/>
  <c r="D720" i="33"/>
  <c r="E864" i="33"/>
  <c r="E70" i="33"/>
  <c r="E578" i="33"/>
  <c r="D936" i="33"/>
  <c r="E963" i="33"/>
  <c r="E627" i="33"/>
  <c r="E893" i="33"/>
  <c r="E247" i="33"/>
  <c r="D761" i="33"/>
  <c r="D125" i="33"/>
  <c r="D849" i="33"/>
  <c r="E1052" i="33"/>
  <c r="D671" i="33"/>
  <c r="D982" i="33"/>
  <c r="D574" i="33"/>
  <c r="E553" i="33"/>
  <c r="D793" i="33"/>
  <c r="E583" i="33"/>
  <c r="D810" i="33"/>
  <c r="D654" i="33"/>
  <c r="E640" i="33"/>
  <c r="D585" i="33"/>
  <c r="E896" i="33"/>
  <c r="E833" i="33"/>
  <c r="D763" i="33"/>
  <c r="E689" i="33"/>
  <c r="D608" i="33"/>
  <c r="E579" i="33"/>
  <c r="D1062" i="33"/>
  <c r="E730" i="33"/>
  <c r="D436" i="33"/>
  <c r="E716" i="33"/>
  <c r="D802" i="33"/>
  <c r="E844" i="33"/>
  <c r="E704" i="33"/>
  <c r="E656" i="33"/>
  <c r="D560" i="33"/>
  <c r="E181" i="33"/>
  <c r="E771" i="33"/>
  <c r="E602" i="33"/>
  <c r="E788" i="33"/>
  <c r="D240" i="33"/>
  <c r="E842" i="33"/>
  <c r="E665" i="33"/>
  <c r="D745" i="33"/>
  <c r="D582" i="33"/>
  <c r="D956" i="33"/>
  <c r="D254" i="33"/>
  <c r="E951" i="33"/>
  <c r="E552" i="33"/>
  <c r="E634" i="33"/>
  <c r="E922" i="33"/>
  <c r="E756" i="33"/>
  <c r="E722" i="33"/>
  <c r="D1012" i="33"/>
  <c r="D784" i="33"/>
  <c r="D565" i="33"/>
  <c r="E566" i="33"/>
  <c r="D857" i="33"/>
  <c r="D1013" i="33"/>
  <c r="D744" i="33"/>
  <c r="E715" i="33"/>
  <c r="E860" i="33"/>
  <c r="D1035" i="33"/>
  <c r="E636" i="33"/>
  <c r="D808" i="33"/>
  <c r="D599" i="33"/>
  <c r="E739" i="33"/>
  <c r="D812" i="33"/>
  <c r="E1045" i="33"/>
  <c r="D706" i="33"/>
  <c r="E681" i="33"/>
  <c r="D850" i="33"/>
  <c r="E694" i="33"/>
  <c r="E717" i="33"/>
  <c r="E658" i="33"/>
  <c r="D621" i="33"/>
  <c r="E774" i="33"/>
  <c r="D632" i="33"/>
  <c r="E807" i="33"/>
  <c r="D528" i="33"/>
  <c r="E1061" i="33"/>
  <c r="E573" i="33"/>
  <c r="D809" i="33"/>
  <c r="D416" i="33"/>
  <c r="D870" i="33"/>
  <c r="E626" i="33"/>
  <c r="E960" i="33"/>
  <c r="D584" i="33"/>
  <c r="E877" i="33"/>
  <c r="E902" i="33"/>
  <c r="E26" i="33"/>
  <c r="E947" i="33"/>
  <c r="E803" i="33"/>
  <c r="D590" i="33"/>
  <c r="E707" i="33"/>
  <c r="D1002" i="33"/>
  <c r="E971" i="33"/>
  <c r="E1055" i="33"/>
  <c r="E581" i="33"/>
  <c r="D826" i="33"/>
  <c r="D921" i="33"/>
  <c r="E853" i="33"/>
  <c r="D732" i="33"/>
  <c r="D775" i="33"/>
  <c r="D755" i="33"/>
  <c r="E1031" i="33"/>
  <c r="E954" i="33"/>
  <c r="E408" i="33"/>
  <c r="D696" i="33"/>
  <c r="D564" i="33"/>
  <c r="E822" i="33"/>
  <c r="E1014" i="33"/>
  <c r="E1010" i="33"/>
  <c r="E932" i="33"/>
  <c r="D1054" i="33"/>
  <c r="D615" i="33"/>
  <c r="D934" i="33"/>
  <c r="E839" i="33"/>
  <c r="D927" i="33"/>
  <c r="E147" i="33"/>
  <c r="D1022" i="33"/>
  <c r="E840" i="33"/>
  <c r="D975" i="33"/>
  <c r="E741" i="33"/>
  <c r="E852" i="33"/>
  <c r="E898" i="33"/>
  <c r="D1041" i="33"/>
  <c r="D811" i="33"/>
  <c r="D1028" i="33"/>
  <c r="E818" i="33"/>
  <c r="D988" i="33"/>
  <c r="D562" i="33"/>
  <c r="E891" i="33"/>
  <c r="D940" i="33"/>
  <c r="E1000" i="33"/>
  <c r="E683" i="33"/>
  <c r="D703" i="33"/>
  <c r="D333" i="33"/>
  <c r="D738" i="33"/>
  <c r="D858" i="33"/>
  <c r="E832" i="33"/>
  <c r="E778" i="33"/>
  <c r="D843" i="33"/>
  <c r="D855" i="33"/>
  <c r="E813" i="33"/>
  <c r="E686" i="33"/>
  <c r="E944" i="33"/>
  <c r="D701" i="33"/>
  <c r="E62" i="33"/>
  <c r="E782" i="33"/>
  <c r="D430" i="33"/>
  <c r="E1043" i="33"/>
  <c r="E820" i="33"/>
  <c r="E906" i="33"/>
  <c r="D773" i="33"/>
  <c r="D987" i="33"/>
  <c r="E1040" i="33"/>
  <c r="D949" i="33"/>
  <c r="E1015" i="33"/>
  <c r="E105" i="33"/>
  <c r="E576" i="33"/>
  <c r="D719" i="33"/>
  <c r="E1026" i="33"/>
  <c r="D751" i="33"/>
  <c r="E887" i="33"/>
  <c r="E1029" i="33"/>
  <c r="D601" i="33"/>
  <c r="E1025" i="33"/>
  <c r="D607" i="33"/>
  <c r="D768" i="33"/>
  <c r="D841" i="33"/>
  <c r="D764" i="33"/>
  <c r="E759" i="33"/>
  <c r="D880" i="33"/>
  <c r="E684" i="33"/>
  <c r="D1001" i="33"/>
  <c r="E603" i="33"/>
  <c r="E635" i="33"/>
  <c r="D925" i="33"/>
  <c r="D629" i="33"/>
  <c r="E559" i="33"/>
  <c r="D817" i="33"/>
  <c r="E831" i="33"/>
  <c r="E814" i="33"/>
  <c r="D617" i="33"/>
  <c r="E558" i="33"/>
  <c r="E962" i="33"/>
  <c r="E594" i="33"/>
  <c r="E1039" i="33"/>
  <c r="D595" i="33"/>
  <c r="E1053" i="33"/>
  <c r="E660" i="33"/>
  <c r="E791" i="33"/>
  <c r="E675" i="33"/>
  <c r="D999" i="33"/>
  <c r="E780" i="33"/>
  <c r="E604" i="33"/>
  <c r="D651" i="33"/>
  <c r="D647" i="33"/>
  <c r="E556" i="33"/>
  <c r="D728" i="33"/>
  <c r="E506" i="33"/>
  <c r="D555" i="33"/>
  <c r="E591" i="33"/>
  <c r="E198" i="33"/>
  <c r="D753" i="33"/>
  <c r="E885" i="33"/>
  <c r="E967" i="33"/>
  <c r="D824" i="33"/>
  <c r="E895" i="33"/>
  <c r="D669" i="33"/>
  <c r="E475" i="33"/>
  <c r="E995" i="33"/>
  <c r="E569" i="33"/>
  <c r="D787" i="33"/>
  <c r="E924" i="33"/>
  <c r="E746" i="33"/>
  <c r="E846" i="33"/>
  <c r="E690" i="33"/>
  <c r="D866" i="33"/>
  <c r="E873" i="33"/>
  <c r="D939" i="33"/>
  <c r="E942" i="33"/>
  <c r="D966" i="33"/>
  <c r="E652" i="33"/>
  <c r="D693" i="33"/>
  <c r="D587" i="33"/>
  <c r="E1023" i="33"/>
  <c r="D772" i="33"/>
  <c r="E661" i="33"/>
  <c r="E610" i="33"/>
  <c r="D748" i="33"/>
  <c r="D622" i="33"/>
  <c r="E193" i="33"/>
  <c r="E1060" i="33"/>
  <c r="E729" i="33"/>
  <c r="D847" i="33"/>
  <c r="E1038" i="33"/>
  <c r="E890" i="33"/>
  <c r="D989" i="33"/>
  <c r="D752" i="33"/>
  <c r="D964" i="33"/>
  <c r="D958" i="33"/>
  <c r="E666" i="33"/>
  <c r="E861" i="33"/>
  <c r="E983" i="33"/>
  <c r="D605" i="33"/>
  <c r="E642" i="33"/>
  <c r="D779" i="33"/>
  <c r="E713" i="33"/>
  <c r="E790" i="33"/>
  <c r="E952" i="33"/>
  <c r="E830" i="33"/>
  <c r="E856" i="33"/>
  <c r="D886" i="33"/>
  <c r="E81" i="33"/>
  <c r="E188" i="33"/>
  <c r="E677" i="33"/>
  <c r="E664" i="33"/>
  <c r="E783" i="33"/>
  <c r="E946" i="33"/>
  <c r="E931" i="33"/>
  <c r="E361" i="33"/>
  <c r="D933" i="33"/>
  <c r="D863" i="33"/>
  <c r="E685" i="33"/>
  <c r="E851" i="33"/>
  <c r="E659" i="33"/>
  <c r="E586" i="33"/>
  <c r="E648" i="33"/>
  <c r="E972" i="33"/>
  <c r="D137" i="33"/>
  <c r="E554" i="33"/>
  <c r="D708" i="33"/>
  <c r="D913" i="33"/>
  <c r="E711" i="33"/>
  <c r="D1049" i="33"/>
  <c r="D1056" i="33"/>
  <c r="E992" i="33"/>
  <c r="E303" i="33"/>
  <c r="E695" i="33"/>
  <c r="E638" i="33"/>
  <c r="D1046" i="33"/>
  <c r="E56" i="33"/>
  <c r="E725" i="33"/>
  <c r="E733" i="33"/>
  <c r="E691" i="33"/>
  <c r="E692" i="33"/>
  <c r="E643" i="33"/>
  <c r="E577" i="33"/>
  <c r="D879" i="33"/>
  <c r="E879" i="33"/>
  <c r="E1007" i="33"/>
  <c r="D1007" i="33"/>
  <c r="E1036" i="33"/>
  <c r="D797" i="33"/>
  <c r="E750" i="33"/>
  <c r="D672" i="33"/>
  <c r="E920" i="33"/>
  <c r="E1006" i="33"/>
  <c r="E990" i="33"/>
  <c r="D945" i="33"/>
  <c r="D977" i="33"/>
  <c r="E908" i="33"/>
  <c r="E795" i="33"/>
  <c r="D618" i="33"/>
  <c r="D1004" i="33"/>
  <c r="D597" i="33"/>
  <c r="D1044" i="33"/>
  <c r="E1008" i="33"/>
  <c r="D758" i="33"/>
  <c r="E805" i="33"/>
  <c r="E734" i="33"/>
  <c r="D914" i="33"/>
  <c r="D984" i="33"/>
  <c r="D838" i="33"/>
  <c r="D981" i="33"/>
  <c r="E815" i="33"/>
  <c r="E1051" i="33"/>
  <c r="D905" i="33"/>
  <c r="D867" i="33"/>
  <c r="D561" i="33"/>
  <c r="E970" i="33"/>
  <c r="D872" i="33"/>
  <c r="D828" i="33"/>
  <c r="D888" i="33"/>
  <c r="D740" i="33"/>
  <c r="D628" i="33"/>
  <c r="E919" i="33"/>
  <c r="E871" i="33"/>
  <c r="E749" i="33"/>
  <c r="E639" i="33"/>
  <c r="D699" i="33"/>
  <c r="E747" i="33"/>
  <c r="E777" i="33"/>
  <c r="D1059" i="33"/>
  <c r="E781" i="33"/>
  <c r="E568" i="33"/>
  <c r="E674" i="33"/>
  <c r="E641" i="33"/>
  <c r="E1034" i="33"/>
  <c r="E1057" i="33"/>
  <c r="E770" i="33"/>
  <c r="E892" i="33"/>
  <c r="E894" i="33"/>
  <c r="D901" i="33"/>
  <c r="E762" i="33"/>
  <c r="D663" i="33"/>
  <c r="D912" i="33"/>
  <c r="E912" i="33"/>
  <c r="E1047" i="33"/>
  <c r="D1047" i="33"/>
  <c r="D823" i="33"/>
  <c r="D928" i="33"/>
  <c r="D862" i="33"/>
  <c r="D723" i="33"/>
  <c r="D598" i="33"/>
  <c r="D848" i="33"/>
  <c r="D593" i="33"/>
  <c r="D889" i="33"/>
  <c r="D854" i="33"/>
  <c r="D1024" i="33"/>
  <c r="E596" i="33"/>
  <c r="D698" i="33"/>
  <c r="E580" i="33"/>
  <c r="D929" i="33"/>
  <c r="E798" i="33"/>
  <c r="E1048" i="33"/>
  <c r="E965" i="33"/>
  <c r="D997" i="33"/>
  <c r="E724" i="33"/>
  <c r="D1005" i="33"/>
  <c r="E926" i="33"/>
  <c r="D682" i="33"/>
  <c r="E567" i="33"/>
  <c r="E1003" i="33"/>
  <c r="E993" i="33"/>
  <c r="D993" i="33"/>
  <c r="E899" i="33"/>
  <c r="E644" i="33"/>
  <c r="D865" i="33"/>
  <c r="D673" i="33"/>
  <c r="E883" i="33"/>
  <c r="E688" i="33"/>
  <c r="E876" i="33"/>
  <c r="D955" i="33"/>
  <c r="E630" i="33"/>
  <c r="E1021" i="33"/>
  <c r="E978" i="33"/>
  <c r="E998" i="33"/>
  <c r="E754" i="33"/>
  <c r="E943" i="33"/>
  <c r="E1016" i="33"/>
  <c r="D825" i="33"/>
  <c r="D1019" i="33"/>
  <c r="D1020" i="33"/>
  <c r="D649" i="33"/>
  <c r="D592" i="33"/>
  <c r="E874" i="33"/>
  <c r="E875" i="33"/>
  <c r="E687" i="33"/>
  <c r="D794" i="33"/>
  <c r="E571" i="33"/>
  <c r="E625" i="33"/>
  <c r="D799" i="33"/>
  <c r="E827" i="33"/>
  <c r="E1050" i="33"/>
  <c r="E986" i="33"/>
  <c r="E1042" i="33"/>
  <c r="E900" i="33"/>
  <c r="D767" i="33"/>
  <c r="E769" i="33"/>
  <c r="D712" i="33"/>
  <c r="D869" i="33"/>
  <c r="D760" i="33"/>
  <c r="E800" i="33"/>
  <c r="E678" i="33"/>
  <c r="E743" i="33"/>
  <c r="D718" i="33"/>
  <c r="D829" i="33"/>
  <c r="E1018" i="33"/>
  <c r="E804" i="33"/>
  <c r="E1058" i="33"/>
  <c r="D969" i="33"/>
  <c r="E979" i="33"/>
  <c r="E792" i="33"/>
  <c r="D679" i="33"/>
  <c r="E948" i="33"/>
  <c r="D884" i="33"/>
  <c r="E884" i="33"/>
  <c r="E655" i="33"/>
  <c r="D655" i="33"/>
  <c r="E918" i="33"/>
  <c r="E611" i="33"/>
  <c r="E923" i="33"/>
  <c r="D930" i="33"/>
  <c r="E911" i="33"/>
  <c r="E735" i="33"/>
  <c r="D801" i="33"/>
  <c r="E1037" i="33"/>
  <c r="E1032" i="33"/>
  <c r="E821" i="33"/>
  <c r="E994" i="33"/>
  <c r="E957" i="33"/>
  <c r="D757" i="33"/>
  <c r="D620" i="33"/>
  <c r="E909" i="33"/>
  <c r="C73" i="25"/>
  <c r="D271" i="33"/>
  <c r="E478" i="33"/>
  <c r="D158" i="33"/>
  <c r="E241" i="33"/>
  <c r="D230" i="33"/>
  <c r="D227" i="33"/>
  <c r="D514" i="33"/>
  <c r="E116" i="33"/>
  <c r="E410" i="33"/>
  <c r="E30" i="33"/>
  <c r="D184" i="33"/>
  <c r="D507" i="33"/>
  <c r="E217" i="33"/>
  <c r="E177" i="33"/>
  <c r="D185" i="33"/>
  <c r="D19" i="33"/>
  <c r="E311" i="33"/>
  <c r="E360" i="33"/>
  <c r="E519" i="33"/>
  <c r="E379" i="33"/>
  <c r="D278" i="33"/>
  <c r="D483" i="33"/>
  <c r="E258" i="33"/>
  <c r="E64" i="33"/>
  <c r="D82" i="33"/>
  <c r="D231" i="33"/>
  <c r="E106" i="33"/>
  <c r="E210" i="33"/>
  <c r="E404" i="33"/>
  <c r="E268" i="33"/>
  <c r="D512" i="33"/>
  <c r="D262" i="33"/>
  <c r="E133" i="33"/>
  <c r="E80" i="33"/>
  <c r="D110" i="33"/>
  <c r="D171" i="33"/>
  <c r="E173" i="33"/>
  <c r="D145" i="33"/>
  <c r="D115" i="33"/>
  <c r="D48" i="33"/>
  <c r="D457" i="33"/>
  <c r="D187" i="33"/>
  <c r="E353" i="33"/>
  <c r="E65" i="33"/>
  <c r="D371" i="33"/>
  <c r="D204" i="33"/>
  <c r="E42" i="33"/>
  <c r="D212" i="33"/>
  <c r="E392" i="33"/>
  <c r="E236" i="33"/>
  <c r="D96" i="33"/>
  <c r="D469" i="33"/>
  <c r="E313" i="33"/>
  <c r="D452" i="33"/>
  <c r="D437" i="33"/>
  <c r="D85" i="33"/>
  <c r="E98" i="33"/>
  <c r="E312" i="33"/>
  <c r="D78" i="33"/>
  <c r="E324" i="33"/>
  <c r="D277" i="33"/>
  <c r="D91" i="33"/>
  <c r="D521" i="33"/>
  <c r="E66" i="33"/>
  <c r="D343" i="33"/>
  <c r="D299" i="33"/>
  <c r="D93" i="33"/>
  <c r="D504" i="33"/>
  <c r="E344" i="33"/>
  <c r="D68" i="33"/>
  <c r="D517" i="33"/>
  <c r="D461" i="33"/>
  <c r="E293" i="33"/>
  <c r="E218" i="33"/>
  <c r="D238" i="33"/>
  <c r="D216" i="33"/>
  <c r="E213" i="33"/>
  <c r="E228" i="33"/>
  <c r="D524" i="33"/>
  <c r="E440" i="33"/>
  <c r="E301" i="33"/>
  <c r="D60" i="33"/>
  <c r="E336" i="33"/>
  <c r="D265" i="33"/>
  <c r="E305" i="33"/>
  <c r="D120" i="33"/>
  <c r="D518" i="33"/>
  <c r="E491" i="33"/>
  <c r="E470" i="33"/>
  <c r="D53" i="33"/>
  <c r="D359" i="33"/>
  <c r="D341" i="33"/>
  <c r="E495" i="33"/>
  <c r="E439" i="33"/>
  <c r="E331" i="33"/>
  <c r="D117" i="33"/>
  <c r="E296" i="33"/>
  <c r="D424" i="33"/>
  <c r="E332" i="33"/>
  <c r="D273" i="33"/>
  <c r="E384" i="33"/>
  <c r="E328" i="33"/>
  <c r="D465" i="33"/>
  <c r="E144" i="33"/>
  <c r="E244" i="33"/>
  <c r="D314" i="33"/>
  <c r="E447" i="33"/>
  <c r="D448" i="33"/>
  <c r="D421" i="33"/>
  <c r="E73" i="33"/>
  <c r="D327" i="33"/>
  <c r="E190" i="33"/>
  <c r="E170" i="33"/>
  <c r="D153" i="33"/>
  <c r="E432" i="33"/>
  <c r="E482" i="33"/>
  <c r="D215" i="33"/>
  <c r="D463" i="33"/>
  <c r="E287" i="33"/>
  <c r="E529" i="33"/>
  <c r="D403" i="33"/>
  <c r="E418" i="33"/>
  <c r="D326" i="33"/>
  <c r="E357" i="33"/>
  <c r="D390" i="33"/>
  <c r="E335" i="33"/>
  <c r="D154" i="33"/>
  <c r="D351" i="33"/>
  <c r="D476" i="33"/>
  <c r="D135" i="33"/>
  <c r="E146" i="33"/>
  <c r="E511" i="33"/>
  <c r="E493" i="33"/>
  <c r="D444" i="33"/>
  <c r="E280" i="33"/>
  <c r="D474" i="33"/>
  <c r="D74" i="33"/>
  <c r="D232" i="33"/>
  <c r="E411" i="33"/>
  <c r="D286" i="33"/>
  <c r="E77" i="33"/>
  <c r="E356" i="33"/>
  <c r="E454" i="33"/>
  <c r="D383" i="33"/>
  <c r="D471" i="33"/>
  <c r="E50" i="33"/>
  <c r="D501" i="33"/>
  <c r="D487" i="33"/>
  <c r="D194" i="33"/>
  <c r="D425" i="33"/>
  <c r="E151" i="33"/>
  <c r="E348" i="33"/>
  <c r="D472" i="33"/>
  <c r="E346" i="33"/>
  <c r="D150" i="33"/>
  <c r="D55" i="33"/>
  <c r="D192" i="33"/>
  <c r="D374" i="33"/>
  <c r="E88" i="33"/>
  <c r="D22" i="33"/>
  <c r="E129" i="33"/>
  <c r="E423" i="33"/>
  <c r="E256" i="33"/>
  <c r="D406" i="33"/>
  <c r="D515" i="33"/>
  <c r="E505" i="33"/>
  <c r="E86" i="33"/>
  <c r="E114" i="33"/>
  <c r="D203" i="33"/>
  <c r="D264" i="33"/>
  <c r="E284" i="33"/>
  <c r="E107" i="33"/>
  <c r="E295" i="33"/>
  <c r="E354" i="33"/>
  <c r="E226" i="33"/>
  <c r="E121" i="33"/>
  <c r="E272" i="33"/>
  <c r="D525" i="33"/>
  <c r="D174" i="33"/>
  <c r="D207" i="33"/>
  <c r="E480" i="33"/>
  <c r="D111" i="33"/>
  <c r="E486" i="33"/>
  <c r="D269" i="33"/>
  <c r="E201" i="33"/>
  <c r="E522" i="33"/>
  <c r="D455" i="33"/>
  <c r="D157" i="33"/>
  <c r="D28" i="33"/>
  <c r="D243" i="33"/>
  <c r="D350" i="33"/>
  <c r="D159" i="33"/>
  <c r="D380" i="33"/>
  <c r="D488" i="33"/>
  <c r="E33" i="33"/>
  <c r="E148" i="33"/>
  <c r="D395" i="33"/>
  <c r="D38" i="33"/>
  <c r="E386" i="33"/>
  <c r="D191" i="33"/>
  <c r="D257" i="33"/>
  <c r="E489" i="33"/>
  <c r="E260" i="33"/>
  <c r="D526" i="33"/>
  <c r="D304" i="33"/>
  <c r="E307" i="33"/>
  <c r="E450" i="33"/>
  <c r="E109" i="33"/>
  <c r="E149" i="33"/>
  <c r="D449" i="33"/>
  <c r="D523" i="33"/>
  <c r="D420" i="33"/>
  <c r="E459" i="33"/>
  <c r="E57" i="33"/>
  <c r="E320" i="33"/>
  <c r="E103" i="33"/>
  <c r="D69" i="33"/>
  <c r="D221" i="33"/>
  <c r="E31" i="33"/>
  <c r="D252" i="33"/>
  <c r="E393" i="33"/>
  <c r="E281" i="33"/>
  <c r="D253" i="33"/>
  <c r="E323" i="33"/>
  <c r="E175" i="33"/>
  <c r="E368" i="33"/>
  <c r="E378" i="33"/>
  <c r="D308" i="33"/>
  <c r="D155" i="33"/>
  <c r="E143" i="33"/>
  <c r="E263" i="33"/>
  <c r="D200" i="33"/>
  <c r="E183" i="33"/>
  <c r="E464" i="33"/>
  <c r="E246" i="33"/>
  <c r="E123" i="33"/>
  <c r="E189" i="33"/>
  <c r="E112" i="33"/>
  <c r="D40" i="33"/>
  <c r="D89" i="33"/>
  <c r="E398" i="33"/>
  <c r="E235" i="33"/>
  <c r="E282" i="33"/>
  <c r="E342" i="33"/>
  <c r="D407" i="33"/>
  <c r="D414" i="33"/>
  <c r="E160" i="33"/>
  <c r="E513" i="33"/>
  <c r="D445" i="33"/>
  <c r="D352" i="33"/>
  <c r="D245" i="33"/>
  <c r="D443" i="33"/>
  <c r="E426" i="33"/>
  <c r="E140" i="33"/>
  <c r="D214" i="33"/>
  <c r="D267" i="33"/>
  <c r="E309" i="33"/>
  <c r="E330" i="33"/>
  <c r="E364" i="33"/>
  <c r="E23" i="33"/>
  <c r="E498" i="33"/>
  <c r="E497" i="33"/>
  <c r="E466" i="33"/>
  <c r="D319" i="33"/>
  <c r="E97" i="33"/>
  <c r="D205" i="33"/>
  <c r="E197" i="33"/>
  <c r="E37" i="33"/>
  <c r="E136" i="33"/>
  <c r="D413" i="33"/>
  <c r="E261" i="33"/>
  <c r="D211" i="33"/>
  <c r="D434" i="33"/>
  <c r="D334" i="33"/>
  <c r="D76" i="33"/>
  <c r="D355" i="33"/>
  <c r="E87" i="33"/>
  <c r="D397" i="33"/>
  <c r="E484" i="33"/>
  <c r="D239" i="33"/>
  <c r="E35" i="33"/>
  <c r="D468" i="33"/>
  <c r="E142" i="33"/>
  <c r="E367" i="33"/>
  <c r="D419" i="33"/>
  <c r="E27" i="33"/>
  <c r="E362" i="33"/>
  <c r="E130" i="33"/>
  <c r="E389" i="33"/>
  <c r="E479" i="33"/>
  <c r="D358" i="33"/>
  <c r="D251" i="33"/>
  <c r="D508" i="33"/>
  <c r="D460" i="33"/>
  <c r="D438" i="33"/>
  <c r="D453" i="33"/>
  <c r="E162" i="33"/>
  <c r="D152" i="33"/>
  <c r="D289" i="33"/>
  <c r="D347" i="33"/>
  <c r="D94" i="33"/>
  <c r="E199" i="33"/>
  <c r="D196" i="33"/>
  <c r="D182" i="33"/>
  <c r="E220" i="33"/>
  <c r="E477" i="33"/>
  <c r="E338" i="33"/>
  <c r="E496" i="33"/>
  <c r="D32" i="33"/>
  <c r="E224" i="33"/>
  <c r="D283" i="33"/>
  <c r="E71" i="33"/>
  <c r="E405" i="33"/>
  <c r="D67" i="33"/>
  <c r="D29" i="33"/>
  <c r="E294" i="33"/>
  <c r="D429" i="33"/>
  <c r="E381" i="33"/>
  <c r="E108" i="33"/>
  <c r="E122" i="33"/>
  <c r="E41" i="33"/>
  <c r="D259" i="33"/>
  <c r="D45" i="33"/>
  <c r="E510" i="33"/>
  <c r="E400" i="33"/>
  <c r="E485" i="33"/>
  <c r="E500" i="33"/>
  <c r="E119" i="33"/>
  <c r="D481" i="33"/>
  <c r="D388" i="33"/>
  <c r="D92" i="33"/>
  <c r="E52" i="33"/>
  <c r="E169" i="33"/>
  <c r="E285" i="33"/>
  <c r="E370" i="33"/>
  <c r="E509" i="33"/>
  <c r="E300" i="33"/>
  <c r="E180" i="33"/>
  <c r="D195" i="33"/>
  <c r="D83" i="33"/>
  <c r="D402" i="33"/>
  <c r="D167" i="33"/>
  <c r="E297" i="33"/>
  <c r="E363" i="33"/>
  <c r="D124" i="33"/>
  <c r="D494" i="33"/>
  <c r="D302" i="33"/>
  <c r="E75" i="33"/>
  <c r="E100" i="33"/>
  <c r="D128" i="33"/>
  <c r="D427" i="33"/>
  <c r="D520" i="33"/>
  <c r="D101" i="33"/>
  <c r="E58" i="33"/>
  <c r="E95" i="33"/>
  <c r="D373" i="33"/>
  <c r="D385" i="33"/>
  <c r="D156" i="33"/>
  <c r="D266" i="33"/>
  <c r="D399" i="33"/>
  <c r="D298" i="33"/>
  <c r="D164" i="33"/>
  <c r="E229" i="33"/>
  <c r="E435" i="33"/>
  <c r="E248" i="33"/>
  <c r="E43" i="33"/>
  <c r="D223" i="33"/>
  <c r="E39" i="33"/>
  <c r="D49" i="33"/>
  <c r="E337" i="33"/>
  <c r="E127" i="33"/>
  <c r="D206" i="33"/>
  <c r="E375" i="33"/>
  <c r="D249" i="33"/>
  <c r="E292" i="33"/>
  <c r="D345" i="33"/>
  <c r="E242" i="33"/>
  <c r="E329" i="33"/>
  <c r="D20" i="33"/>
  <c r="E415" i="33"/>
  <c r="E126" i="33"/>
  <c r="D126" i="33"/>
  <c r="D516" i="33"/>
  <c r="E339" i="33"/>
  <c r="E275" i="33"/>
  <c r="E376" i="33"/>
  <c r="E340" i="33"/>
  <c r="D499" i="33"/>
  <c r="D132" i="33"/>
  <c r="D527" i="33"/>
  <c r="E202" i="33"/>
  <c r="E270" i="33"/>
  <c r="E274" i="33"/>
  <c r="D255" i="33"/>
  <c r="D322" i="33"/>
  <c r="E492" i="33"/>
  <c r="E442" i="33"/>
  <c r="E84" i="33"/>
  <c r="D113" i="33"/>
  <c r="E176" i="33"/>
  <c r="D291" i="33"/>
  <c r="D490" i="33"/>
  <c r="D366" i="33"/>
  <c r="E209" i="33"/>
  <c r="E433" i="33"/>
  <c r="D433" i="33"/>
  <c r="D46" i="33"/>
  <c r="E61" i="33"/>
  <c r="E458" i="33"/>
  <c r="D63" i="33"/>
  <c r="D237" i="33"/>
  <c r="E446" i="33"/>
  <c r="E441" i="33"/>
  <c r="D99" i="33"/>
  <c r="E99" i="33"/>
  <c r="D409" i="33"/>
  <c r="E409" i="33"/>
  <c r="D168" i="33"/>
  <c r="E104" i="33"/>
  <c r="D104" i="33"/>
  <c r="D318" i="33"/>
  <c r="E372" i="33"/>
  <c r="D325" i="33"/>
  <c r="D396" i="33"/>
  <c r="E141" i="33"/>
  <c r="D316" i="33"/>
  <c r="E276" i="33"/>
  <c r="D394" i="33"/>
  <c r="D225" i="33"/>
  <c r="D219" i="33"/>
  <c r="B63" i="25"/>
  <c r="D79" i="33"/>
  <c r="D138" i="33"/>
  <c r="E401" i="33"/>
  <c r="E456" i="33"/>
  <c r="D186" i="33"/>
  <c r="D365" i="33"/>
  <c r="D51" i="33"/>
  <c r="E306" i="33"/>
  <c r="D349" i="33"/>
  <c r="D172" i="33"/>
  <c r="D462" i="33"/>
  <c r="E118" i="33"/>
  <c r="E412" i="33"/>
  <c r="E422" i="33"/>
  <c r="E279" i="33"/>
  <c r="E222" i="33"/>
  <c r="D467" i="33"/>
  <c r="D178" i="33"/>
  <c r="E382" i="33"/>
  <c r="D233" i="33"/>
  <c r="E315" i="33"/>
  <c r="D315" i="33"/>
  <c r="E134" i="33"/>
  <c r="D134" i="33"/>
  <c r="E208" i="33"/>
  <c r="D208" i="33"/>
  <c r="E24" i="33"/>
  <c r="D24" i="33"/>
  <c r="E502" i="33"/>
  <c r="D502" i="33"/>
  <c r="D473" i="33"/>
  <c r="E417" i="33"/>
  <c r="F63" i="25"/>
  <c r="E391" i="33"/>
  <c r="D391" i="33"/>
  <c r="D290" i="33"/>
  <c r="E290" i="33"/>
  <c r="D166" i="33"/>
  <c r="E166" i="33"/>
  <c r="E377" i="33"/>
  <c r="D377" i="33"/>
  <c r="E321" i="33"/>
  <c r="D321" i="33"/>
  <c r="D387" i="33"/>
  <c r="E387" i="33"/>
  <c r="E44" i="33"/>
  <c r="D47" i="33"/>
  <c r="E90" i="33"/>
  <c r="D428" i="33"/>
  <c r="E369" i="33"/>
  <c r="E139" i="33"/>
  <c r="E102" i="33"/>
  <c r="E36" i="33"/>
  <c r="D250" i="33"/>
  <c r="D59" i="33"/>
  <c r="E34" i="33"/>
  <c r="E431" i="33"/>
  <c r="D161" i="33"/>
  <c r="E234" i="33"/>
  <c r="E72" i="33"/>
  <c r="E163" i="33"/>
  <c r="E53" i="25"/>
  <c r="D63" i="25"/>
  <c r="E317" i="33"/>
  <c r="D317" i="33"/>
  <c r="E165" i="33"/>
  <c r="D165" i="33"/>
  <c r="D131" i="33"/>
  <c r="E131" i="33"/>
  <c r="H63" i="25"/>
  <c r="D53" i="25"/>
  <c r="F73" i="25"/>
  <c r="G53" i="25"/>
  <c r="E73" i="25"/>
  <c r="G73" i="25"/>
  <c r="B73" i="25"/>
  <c r="D73" i="25"/>
  <c r="I73" i="25"/>
  <c r="C3" i="25" l="1"/>
  <c r="H3" i="25"/>
  <c r="B3" i="23"/>
  <c r="H3" i="23" s="1"/>
  <c r="I3" i="25"/>
  <c r="F3" i="25"/>
  <c r="B5" i="23" s="1"/>
  <c r="I5" i="23" s="1"/>
  <c r="G3" i="25"/>
  <c r="B6" i="23" s="1"/>
  <c r="H6" i="23" s="1"/>
  <c r="B3" i="25"/>
  <c r="E3" i="25"/>
  <c r="D3" i="25"/>
  <c r="B4" i="23" s="1"/>
  <c r="I4" i="23" s="1"/>
  <c r="I3" i="23" l="1"/>
  <c r="H5" i="23"/>
  <c r="I6" i="23"/>
  <c r="H4" i="23"/>
  <c r="O19" i="2" l="1"/>
  <c r="N43" i="2"/>
  <c r="AL43" i="2"/>
  <c r="AM19" i="2"/>
  <c r="I19" i="2" l="1"/>
  <c r="AE19" i="2"/>
  <c r="AD19" i="2"/>
  <c r="J19" i="2"/>
  <c r="AT19" i="2"/>
  <c r="AF43" i="2"/>
  <c r="V43" i="2"/>
  <c r="AC43" i="2"/>
  <c r="D43" i="2"/>
  <c r="AG19" i="2"/>
  <c r="AC19" i="2"/>
  <c r="G19" i="2"/>
  <c r="F19" i="2"/>
  <c r="AT43" i="2"/>
  <c r="F43" i="2"/>
  <c r="V19" i="2"/>
  <c r="H43" i="2"/>
  <c r="AB43" i="2"/>
  <c r="E19" i="2"/>
  <c r="C261" i="23" l="1"/>
  <c r="C182" i="23" l="1"/>
  <c r="B182" i="23"/>
  <c r="B183" i="23"/>
  <c r="J3" i="33" l="1"/>
  <c r="B11" i="34"/>
  <c r="R31" i="2"/>
  <c r="I17" i="2"/>
  <c r="K41" i="2"/>
  <c r="AO10" i="2"/>
  <c r="AG16" i="2"/>
  <c r="AF41" i="2"/>
  <c r="AP32" i="2"/>
  <c r="AJ13" i="2"/>
  <c r="AJ17" i="2"/>
  <c r="AM28" i="2"/>
  <c r="I3" i="2"/>
  <c r="G39" i="2"/>
  <c r="B51" i="34"/>
  <c r="N129" i="14"/>
  <c r="AA17" i="2"/>
  <c r="AK7" i="2"/>
  <c r="AA13" i="2"/>
  <c r="S40" i="2"/>
  <c r="H7" i="2"/>
  <c r="C13" i="2"/>
  <c r="AT6" i="2"/>
  <c r="F34" i="2"/>
  <c r="AJ12" i="2"/>
  <c r="L9" i="2"/>
  <c r="AC7" i="2"/>
  <c r="R33" i="2"/>
  <c r="AT41" i="2"/>
  <c r="AL33" i="2"/>
  <c r="AQ32" i="2"/>
  <c r="M16" i="2"/>
  <c r="AL17" i="2"/>
  <c r="AJ4" i="2"/>
  <c r="AM34" i="2"/>
  <c r="I8" i="2"/>
  <c r="AF37" i="2"/>
  <c r="E7" i="2"/>
  <c r="H34" i="2"/>
  <c r="AN42" i="2"/>
  <c r="D11" i="2"/>
  <c r="AA35" i="2"/>
  <c r="V28" i="2"/>
  <c r="L6" i="2"/>
  <c r="J16" i="2"/>
  <c r="M127" i="14"/>
  <c r="M128" i="14"/>
  <c r="V16" i="2"/>
  <c r="AN16" i="2"/>
  <c r="AK39" i="2"/>
  <c r="E10" i="2"/>
  <c r="M14" i="2"/>
  <c r="AD18" i="2"/>
  <c r="AA16" i="2"/>
  <c r="AM7" i="2"/>
  <c r="AE28" i="2"/>
  <c r="I13" i="2"/>
  <c r="B62" i="34"/>
  <c r="M37" i="2"/>
  <c r="M129" i="14"/>
  <c r="K31" i="2"/>
  <c r="H10" i="2"/>
  <c r="AH15" i="2"/>
  <c r="Q31" i="2"/>
  <c r="AA4" i="2"/>
  <c r="I16" i="2"/>
  <c r="Q6" i="2"/>
  <c r="AB37" i="2"/>
  <c r="M36" i="2"/>
  <c r="R3" i="2"/>
  <c r="R39" i="2"/>
  <c r="V42" i="2"/>
  <c r="AJ36" i="2"/>
  <c r="K42" i="2"/>
  <c r="B23" i="34"/>
  <c r="AG4" i="2"/>
  <c r="AE41" i="2"/>
  <c r="AT32" i="2"/>
  <c r="O40" i="2"/>
  <c r="AT35" i="2"/>
  <c r="N4" i="2"/>
  <c r="AP28" i="2"/>
  <c r="AG14" i="2"/>
  <c r="E3" i="2"/>
  <c r="O27" i="2"/>
  <c r="G42" i="2"/>
  <c r="V7" i="2"/>
  <c r="AD15" i="2"/>
  <c r="I11" i="2"/>
  <c r="M40" i="2"/>
  <c r="F11" i="2"/>
  <c r="AO27" i="2"/>
  <c r="AE33" i="2"/>
  <c r="N11" i="2"/>
  <c r="AO4" i="2"/>
  <c r="AD36" i="2"/>
  <c r="AA9" i="2"/>
  <c r="D6" i="2"/>
  <c r="J36" i="2"/>
  <c r="AI11" i="2"/>
  <c r="AL18" i="2"/>
  <c r="AN8" i="2"/>
  <c r="J8" i="2"/>
  <c r="AE34" i="2"/>
  <c r="AK15" i="2"/>
  <c r="E41" i="2"/>
  <c r="AT27" i="2"/>
  <c r="AN18" i="2"/>
  <c r="J3" i="2"/>
  <c r="AF3" i="2"/>
  <c r="AM8" i="2"/>
  <c r="I7" i="2"/>
  <c r="AP6" i="2"/>
  <c r="S27" i="2"/>
  <c r="I40" i="2"/>
  <c r="AO12" i="2"/>
  <c r="AT12" i="2"/>
  <c r="O17" i="2"/>
  <c r="P30" i="2"/>
  <c r="AJ37" i="2"/>
  <c r="AE10" i="2"/>
  <c r="AC9" i="2"/>
  <c r="J40" i="2"/>
  <c r="AC42" i="2"/>
  <c r="B21" i="34"/>
  <c r="K128" i="14"/>
  <c r="AL35" i="2"/>
  <c r="E37" i="2"/>
  <c r="C41" i="2"/>
  <c r="R15" i="2"/>
  <c r="AC30" i="2"/>
  <c r="G6" i="2"/>
  <c r="E30" i="2"/>
  <c r="M17" i="2"/>
  <c r="AI3" i="2"/>
  <c r="N6" i="2"/>
  <c r="AG37" i="2"/>
  <c r="K16" i="2"/>
  <c r="M7" i="2"/>
  <c r="O18" i="2"/>
  <c r="F30" i="2"/>
  <c r="N127" i="14"/>
  <c r="H14" i="2"/>
  <c r="O38" i="2"/>
  <c r="N128" i="14"/>
  <c r="K39" i="2"/>
  <c r="AM3" i="2"/>
  <c r="H6" i="2"/>
  <c r="AO34" i="2"/>
  <c r="H30" i="2"/>
  <c r="N36" i="2"/>
  <c r="K126" i="14"/>
  <c r="F14" i="2"/>
  <c r="AN15" i="2"/>
  <c r="I32" i="2"/>
  <c r="K40" i="2"/>
  <c r="G33" i="2"/>
  <c r="AH41" i="2"/>
  <c r="C27" i="2"/>
  <c r="B18" i="34"/>
  <c r="H14" i="23"/>
  <c r="I15" i="2"/>
  <c r="AB4" i="2"/>
  <c r="K10" i="2"/>
  <c r="H35" i="2"/>
  <c r="L4" i="2"/>
  <c r="C40" i="2"/>
  <c r="J38" i="2"/>
  <c r="F31" i="2"/>
  <c r="L32" i="2"/>
  <c r="R40" i="2"/>
  <c r="M11" i="2"/>
  <c r="AO8" i="2"/>
  <c r="R32" i="2"/>
  <c r="AG42" i="2"/>
  <c r="AB41" i="2"/>
  <c r="L42" i="2"/>
  <c r="AK18" i="2"/>
  <c r="B19" i="34"/>
  <c r="AB38" i="2"/>
  <c r="AB31" i="2"/>
  <c r="AK14" i="2"/>
  <c r="D32" i="2"/>
  <c r="C37" i="2"/>
  <c r="G31" i="2"/>
  <c r="AC35" i="2"/>
  <c r="D7" i="2"/>
  <c r="M125" i="14"/>
  <c r="K125" i="14"/>
  <c r="N3" i="2"/>
  <c r="H38" i="2"/>
  <c r="B64" i="34"/>
  <c r="B52" i="34"/>
  <c r="AM31" i="2"/>
  <c r="F16" i="2"/>
  <c r="AE12" i="2"/>
  <c r="AF8" i="2"/>
  <c r="AL9" i="2"/>
  <c r="R41" i="2"/>
  <c r="AT42" i="2"/>
  <c r="O3" i="2"/>
  <c r="AL31" i="2"/>
  <c r="M126" i="14"/>
  <c r="AE15" i="2"/>
  <c r="V13" i="2"/>
  <c r="V18" i="2"/>
  <c r="E8" i="2"/>
  <c r="AB35" i="2"/>
  <c r="J4" i="2"/>
  <c r="AL12" i="2"/>
  <c r="I36" i="2"/>
  <c r="AD34" i="2"/>
  <c r="V41" i="2"/>
  <c r="AC11" i="2"/>
  <c r="D33" i="2"/>
  <c r="AL41" i="2"/>
  <c r="S33" i="2"/>
  <c r="K11" i="2"/>
  <c r="AJ16" i="2"/>
  <c r="D12" i="2"/>
  <c r="Q17" i="2"/>
  <c r="L3" i="2"/>
  <c r="L117" i="14"/>
  <c r="AL38" i="2"/>
  <c r="Q33" i="2"/>
  <c r="E9" i="2"/>
  <c r="M38" i="2"/>
  <c r="AM33" i="2"/>
  <c r="G21" i="23"/>
  <c r="AG7" i="2"/>
  <c r="D31" i="2"/>
  <c r="J28" i="2"/>
  <c r="P9" i="2"/>
  <c r="E18" i="2"/>
  <c r="AC27" i="2"/>
  <c r="AG33" i="2"/>
  <c r="M6" i="2"/>
  <c r="AJ35" i="2"/>
  <c r="G15" i="23"/>
  <c r="R37" i="2"/>
  <c r="AM37" i="2"/>
  <c r="AF14" i="2"/>
  <c r="AO40" i="2"/>
  <c r="AH10" i="2"/>
  <c r="AB32" i="2"/>
  <c r="AJ32" i="2"/>
  <c r="AM17" i="2"/>
  <c r="L126" i="14"/>
  <c r="AT40" i="2"/>
  <c r="AD30" i="2"/>
  <c r="N116" i="14"/>
  <c r="V10" i="2"/>
  <c r="AB28" i="2"/>
  <c r="F38" i="2"/>
  <c r="AK42" i="2"/>
  <c r="AD11" i="2"/>
  <c r="V4" i="2"/>
  <c r="AM32" i="2"/>
  <c r="AB9" i="2"/>
  <c r="AH8" i="2"/>
  <c r="M8" i="2"/>
  <c r="J30" i="2"/>
  <c r="O8" i="2"/>
  <c r="AG13" i="2"/>
  <c r="AB33" i="2"/>
  <c r="M39" i="2"/>
  <c r="AL4" i="2"/>
  <c r="AE37" i="2"/>
  <c r="H18" i="2"/>
  <c r="AM14" i="2"/>
  <c r="AA41" i="2"/>
  <c r="R4" i="2"/>
  <c r="AN35" i="2"/>
  <c r="F9" i="2"/>
  <c r="AP40" i="2"/>
  <c r="AT7" i="2"/>
  <c r="B20" i="34"/>
  <c r="AK28" i="2"/>
  <c r="I30" i="2"/>
  <c r="N126" i="14"/>
  <c r="S28" i="2"/>
  <c r="C10" i="2"/>
  <c r="AJ41" i="2"/>
  <c r="AA33" i="2"/>
  <c r="AF27" i="2"/>
  <c r="AI30" i="2"/>
  <c r="G35" i="2"/>
  <c r="H11" i="2"/>
  <c r="V40" i="2"/>
  <c r="C34" i="2"/>
  <c r="AH12" i="2"/>
  <c r="AP35" i="2"/>
  <c r="O36" i="2"/>
  <c r="B49" i="34"/>
  <c r="P41" i="2"/>
  <c r="AK16" i="2"/>
  <c r="AN6" i="2"/>
  <c r="B50" i="34"/>
  <c r="E12" i="2"/>
  <c r="K116" i="14"/>
  <c r="AE7" i="2"/>
  <c r="J17" i="2"/>
  <c r="G14" i="23"/>
  <c r="AQ30" i="2"/>
  <c r="AK36" i="2"/>
  <c r="L116" i="14"/>
  <c r="O28" i="2"/>
  <c r="G36" i="2"/>
  <c r="H15" i="23"/>
  <c r="AJ40" i="2"/>
  <c r="AI33" i="2"/>
  <c r="L7" i="2"/>
  <c r="AA30" i="2"/>
  <c r="P10" i="2"/>
  <c r="C8" i="2"/>
  <c r="AO14" i="2"/>
  <c r="AN34" i="2"/>
  <c r="AK13" i="2"/>
  <c r="H40" i="2"/>
  <c r="AG30" i="2"/>
  <c r="G20" i="23"/>
  <c r="AE13" i="2"/>
  <c r="AF38" i="2"/>
  <c r="O10" i="2"/>
  <c r="Q27" i="2"/>
  <c r="P18" i="2"/>
  <c r="AA7" i="2"/>
  <c r="L125" i="14"/>
  <c r="H39" i="2"/>
  <c r="D3" i="2"/>
  <c r="AI39" i="2"/>
  <c r="D8" i="2"/>
  <c r="AA12" i="2"/>
  <c r="B10" i="34"/>
  <c r="AH34" i="2"/>
  <c r="D36" i="2"/>
  <c r="AK6" i="2"/>
  <c r="R7" i="2"/>
  <c r="AD8" i="2"/>
  <c r="AE11" i="2"/>
  <c r="N38" i="2"/>
  <c r="AB42" i="2"/>
  <c r="AA27" i="2"/>
  <c r="AK31" i="2"/>
  <c r="AH36" i="2"/>
  <c r="H20" i="23"/>
  <c r="N27" i="2"/>
  <c r="AD9" i="2"/>
  <c r="L31" i="2"/>
  <c r="L37" i="2"/>
  <c r="Q14" i="2"/>
  <c r="AO37" i="2"/>
  <c r="AT17" i="2"/>
  <c r="AC33" i="2"/>
  <c r="N40" i="2"/>
  <c r="V11" i="2"/>
  <c r="AB40" i="2"/>
  <c r="AH42" i="2"/>
  <c r="H28" i="2"/>
  <c r="Q15" i="2"/>
  <c r="AA6" i="2"/>
  <c r="K35" i="2"/>
  <c r="AC14" i="2"/>
  <c r="AI27" i="2"/>
  <c r="L10" i="2"/>
  <c r="AB11" i="2"/>
  <c r="Q9" i="2"/>
  <c r="R6" i="2"/>
  <c r="AT9" i="2"/>
  <c r="N28" i="2"/>
  <c r="AE32" i="2"/>
  <c r="AK37" i="2"/>
  <c r="AC8" i="2"/>
  <c r="O32" i="2"/>
  <c r="Q36" i="2"/>
  <c r="V9" i="2"/>
  <c r="H37" i="2"/>
  <c r="AQ36" i="2"/>
  <c r="N39" i="2"/>
  <c r="AO42" i="2"/>
  <c r="Q38" i="2"/>
  <c r="I4" i="2"/>
  <c r="AM15" i="2"/>
  <c r="AA36" i="2"/>
  <c r="AH3" i="2"/>
  <c r="AH33" i="2"/>
  <c r="AQ35" i="2"/>
  <c r="AD39" i="2"/>
  <c r="AI8" i="2"/>
  <c r="AI6" i="2"/>
  <c r="I33" i="2"/>
  <c r="L33" i="2"/>
  <c r="L28" i="2"/>
  <c r="I35" i="2"/>
  <c r="B60" i="34"/>
  <c r="AI41" i="2"/>
  <c r="R10" i="2"/>
  <c r="V35" i="2"/>
  <c r="B59" i="34"/>
  <c r="AO15" i="2"/>
  <c r="AN41" i="2"/>
  <c r="AG35" i="2"/>
  <c r="H3" i="2"/>
  <c r="H13" i="2"/>
  <c r="F35" i="2"/>
  <c r="M13" i="2"/>
  <c r="AK33" i="2"/>
  <c r="F41" i="2"/>
  <c r="N33" i="2"/>
  <c r="H16" i="2"/>
  <c r="B9" i="34"/>
  <c r="AH32" i="2"/>
  <c r="AM11" i="2"/>
  <c r="AK8" i="2"/>
  <c r="P8" i="2"/>
  <c r="AI17" i="2"/>
  <c r="AF6" i="2"/>
  <c r="G4" i="2"/>
  <c r="L27" i="2"/>
  <c r="AC6" i="2"/>
  <c r="AJ31" i="2"/>
  <c r="H12" i="2"/>
  <c r="V8" i="2"/>
  <c r="F12" i="2"/>
  <c r="AI42" i="2"/>
  <c r="K8" i="2"/>
  <c r="AT10" i="2"/>
  <c r="AK30" i="2"/>
  <c r="AQ37" i="2"/>
  <c r="AL10" i="2"/>
  <c r="AQ42" i="2"/>
  <c r="D14" i="2"/>
  <c r="AA11" i="2"/>
  <c r="AG36" i="2"/>
  <c r="N118" i="14"/>
  <c r="AK41" i="2"/>
  <c r="C33" i="2"/>
  <c r="AA14" i="2"/>
  <c r="D4" i="2"/>
  <c r="K13" i="2"/>
  <c r="AE17" i="2"/>
  <c r="G16" i="23"/>
  <c r="AJ15" i="2"/>
  <c r="L13" i="2"/>
  <c r="AO30" i="2"/>
  <c r="Q41" i="2"/>
  <c r="AA3" i="2"/>
  <c r="AP9" i="2"/>
  <c r="AN17" i="2"/>
  <c r="J10" i="2"/>
  <c r="C9" i="2"/>
  <c r="F28" i="2"/>
  <c r="L40" i="2"/>
  <c r="Q8" i="2"/>
  <c r="AK27" i="2"/>
  <c r="AF10" i="2"/>
  <c r="AB3" i="2"/>
  <c r="AH40" i="2"/>
  <c r="C7" i="2"/>
  <c r="V33" i="2"/>
  <c r="AC18" i="2"/>
  <c r="AK3" i="2"/>
  <c r="AC31" i="2"/>
  <c r="N117" i="14"/>
  <c r="K117" i="14"/>
  <c r="I28" i="2"/>
  <c r="AN37" i="2"/>
  <c r="G14" i="2"/>
  <c r="AB14" i="2"/>
  <c r="AQ28" i="2"/>
  <c r="AM16" i="2"/>
  <c r="D16" i="2"/>
  <c r="AP37" i="2"/>
  <c r="S35" i="2"/>
  <c r="AE18" i="2"/>
  <c r="AL8" i="2"/>
  <c r="AE27" i="2"/>
  <c r="N9" i="2"/>
  <c r="AG6" i="2"/>
  <c r="K37" i="2"/>
  <c r="J13" i="2"/>
  <c r="M33" i="2"/>
  <c r="AE31" i="2"/>
  <c r="AC15" i="2"/>
  <c r="P35" i="2"/>
  <c r="AM9" i="2"/>
  <c r="AC36" i="2"/>
  <c r="I27" i="2"/>
  <c r="P15" i="2"/>
  <c r="Q13" i="2"/>
  <c r="AH35" i="2"/>
  <c r="Q7" i="2"/>
  <c r="H17" i="2"/>
  <c r="AP13" i="2"/>
  <c r="N8" i="2"/>
  <c r="AP31" i="2"/>
  <c r="L11" i="2"/>
  <c r="AA8" i="2"/>
  <c r="AK32" i="2"/>
  <c r="O33" i="2"/>
  <c r="D40" i="2"/>
  <c r="AI9" i="2"/>
  <c r="AK11" i="2"/>
  <c r="D15" i="2"/>
  <c r="AO38" i="2"/>
  <c r="AN32" i="2"/>
  <c r="AK35" i="2"/>
  <c r="J15" i="2"/>
  <c r="J11" i="2"/>
  <c r="H36" i="2"/>
  <c r="Q35" i="2"/>
  <c r="AP3" i="2"/>
  <c r="AN40" i="2"/>
  <c r="O4" i="2"/>
  <c r="P32" i="2"/>
  <c r="K15" i="2"/>
  <c r="N10" i="2"/>
  <c r="P38" i="2"/>
  <c r="AE14" i="2"/>
  <c r="P36" i="2"/>
  <c r="AT15" i="2"/>
  <c r="AQ39" i="2"/>
  <c r="AC37" i="2"/>
  <c r="AI32" i="2"/>
  <c r="R8" i="2"/>
  <c r="N17" i="2"/>
  <c r="M31" i="2"/>
  <c r="D10" i="2"/>
  <c r="J42" i="2"/>
  <c r="O34" i="2"/>
  <c r="AH6" i="2"/>
  <c r="H42" i="2"/>
  <c r="P16" i="2"/>
  <c r="AH39" i="2"/>
  <c r="Q11" i="2"/>
  <c r="AF35" i="2"/>
  <c r="N15" i="2"/>
  <c r="M12" i="2"/>
  <c r="D28" i="2"/>
  <c r="AN31" i="2"/>
  <c r="L12" i="2"/>
  <c r="D35" i="2"/>
  <c r="F39" i="2"/>
  <c r="AB30" i="2"/>
  <c r="AD10" i="2"/>
  <c r="AJ38" i="2"/>
  <c r="V15" i="2"/>
  <c r="K12" i="2"/>
  <c r="D18" i="2"/>
  <c r="N18" i="2"/>
  <c r="F42" i="2"/>
  <c r="AG32" i="2"/>
  <c r="AE30" i="2"/>
  <c r="AA32" i="2"/>
  <c r="K127" i="14"/>
  <c r="I31" i="2"/>
  <c r="D41" i="2"/>
  <c r="AP11" i="2"/>
  <c r="AA15" i="2"/>
  <c r="K38" i="2"/>
  <c r="G9" i="2"/>
  <c r="AK12" i="2"/>
  <c r="F37" i="2"/>
  <c r="V17" i="2"/>
  <c r="N42" i="2"/>
  <c r="AL13" i="2"/>
  <c r="AL14" i="2"/>
  <c r="K36" i="2"/>
  <c r="AD13" i="2"/>
  <c r="B57" i="34"/>
  <c r="AP27" i="2"/>
  <c r="E40" i="2"/>
  <c r="P4" i="2"/>
  <c r="AC12" i="2"/>
  <c r="AI18" i="2"/>
  <c r="G41" i="2"/>
  <c r="B22" i="34"/>
  <c r="AO16" i="2"/>
  <c r="C28" i="2"/>
  <c r="B58" i="34"/>
  <c r="AN27" i="2"/>
  <c r="H41" i="2"/>
  <c r="AF32" i="2"/>
  <c r="AJ28" i="2"/>
  <c r="AT37" i="2"/>
  <c r="AM12" i="2"/>
  <c r="AP33" i="2"/>
  <c r="AO17" i="2"/>
  <c r="N14" i="2"/>
  <c r="V34" i="2"/>
  <c r="AB10" i="2"/>
  <c r="P13" i="2"/>
  <c r="AE3" i="2"/>
  <c r="AC10" i="2"/>
  <c r="C39" i="2"/>
  <c r="AO6" i="2"/>
  <c r="AP7" i="2"/>
  <c r="Q42" i="2"/>
  <c r="J6" i="2"/>
  <c r="AT28" i="2"/>
  <c r="AE8" i="2"/>
  <c r="AA28" i="2"/>
  <c r="B16" i="34"/>
  <c r="V39" i="2"/>
  <c r="AL36" i="2"/>
  <c r="AE39" i="2"/>
  <c r="C15" i="2"/>
  <c r="L39" i="2"/>
  <c r="AG12" i="2"/>
  <c r="N13" i="2"/>
  <c r="AM27" i="2"/>
  <c r="AP36" i="2"/>
  <c r="I42" i="2"/>
  <c r="V38" i="2"/>
  <c r="AI4" i="2"/>
  <c r="AN33" i="2"/>
  <c r="D39" i="2"/>
  <c r="S37" i="2"/>
  <c r="O42" i="2"/>
  <c r="AA10" i="2"/>
  <c r="D37" i="2"/>
  <c r="AM38" i="2"/>
  <c r="B61" i="34"/>
  <c r="D13" i="2"/>
  <c r="J37" i="2"/>
  <c r="AG41" i="2"/>
  <c r="AD33" i="2"/>
  <c r="AT36" i="2"/>
  <c r="AP10" i="2"/>
  <c r="AE40" i="2"/>
  <c r="J39" i="2"/>
  <c r="AK17" i="2"/>
  <c r="H4" i="2"/>
  <c r="AC17" i="2"/>
  <c r="K3" i="2"/>
  <c r="AQ31" i="2"/>
  <c r="O16" i="2"/>
  <c r="V6" i="2"/>
  <c r="AF30" i="2"/>
  <c r="C16" i="2"/>
  <c r="AM35" i="2"/>
  <c r="Q16" i="2"/>
  <c r="AC28" i="2"/>
  <c r="AD17" i="2"/>
  <c r="AB34" i="2"/>
  <c r="J7" i="2"/>
  <c r="K17" i="2"/>
  <c r="AG9" i="2"/>
  <c r="L118" i="14"/>
  <c r="L16" i="2"/>
  <c r="AD32" i="2"/>
  <c r="Q34" i="2"/>
  <c r="AJ7" i="2"/>
  <c r="AO11" i="2"/>
  <c r="AI38" i="2"/>
  <c r="I6" i="2"/>
  <c r="E6" i="2"/>
  <c r="AF12" i="2"/>
  <c r="AC40" i="2"/>
  <c r="G27" i="2"/>
  <c r="AC34" i="2"/>
  <c r="AP15" i="2"/>
  <c r="K28" i="2"/>
  <c r="AN11" i="2"/>
  <c r="K6" i="2"/>
  <c r="P6" i="2"/>
  <c r="AQ33" i="2"/>
  <c r="AN14" i="2"/>
  <c r="AA31" i="2"/>
  <c r="C6" i="2"/>
  <c r="G11" i="2"/>
  <c r="G28" i="2"/>
  <c r="AP18" i="2"/>
  <c r="P31" i="2"/>
  <c r="O14" i="2"/>
  <c r="M42" i="2"/>
  <c r="S39" i="2"/>
  <c r="AF36" i="2"/>
  <c r="AT31" i="2"/>
  <c r="M116" i="14"/>
  <c r="AO3" i="2"/>
  <c r="E33" i="2"/>
  <c r="S42" i="2"/>
  <c r="M28" i="2"/>
  <c r="G37" i="2"/>
  <c r="AN36" i="2"/>
  <c r="AL27" i="2"/>
  <c r="AN4" i="2"/>
  <c r="B55" i="34"/>
  <c r="AG10" i="2"/>
  <c r="AF17" i="2"/>
  <c r="AJ10" i="2"/>
  <c r="G38" i="2"/>
  <c r="AL30" i="2"/>
  <c r="H8" i="2"/>
  <c r="I10" i="2"/>
  <c r="G16" i="2"/>
  <c r="M30" i="2"/>
  <c r="G32" i="2"/>
  <c r="C17" i="2"/>
  <c r="P33" i="2"/>
  <c r="P11" i="2"/>
  <c r="AJ6" i="2"/>
  <c r="AL40" i="2"/>
  <c r="AJ18" i="2"/>
  <c r="AA40" i="2"/>
  <c r="E17" i="2"/>
  <c r="L8" i="2"/>
  <c r="AP17" i="2"/>
  <c r="AE16" i="2"/>
  <c r="AC13" i="2"/>
  <c r="AA37" i="2"/>
  <c r="P42" i="2"/>
  <c r="AO28" i="2"/>
  <c r="AP14" i="2"/>
  <c r="V30" i="2"/>
  <c r="AP34" i="2"/>
  <c r="P7" i="2"/>
  <c r="B54" i="34"/>
  <c r="AE38" i="2"/>
  <c r="L34" i="2"/>
  <c r="AH11" i="2"/>
  <c r="AI15" i="2"/>
  <c r="M10" i="2"/>
  <c r="AJ8" i="2"/>
  <c r="P39" i="2"/>
  <c r="E15" i="2"/>
  <c r="O11" i="2"/>
  <c r="AC16" i="2"/>
  <c r="B17" i="34"/>
  <c r="AC41" i="2"/>
  <c r="C3" i="2"/>
  <c r="AB15" i="2"/>
  <c r="AH37" i="2"/>
  <c r="C42" i="2"/>
  <c r="AB6" i="2"/>
  <c r="E38" i="2"/>
  <c r="AF16" i="2"/>
  <c r="C11" i="2"/>
  <c r="L35" i="2"/>
  <c r="S36" i="2"/>
  <c r="AD28" i="2"/>
  <c r="AC3" i="2"/>
  <c r="O13" i="2"/>
  <c r="P28" i="2"/>
  <c r="P37" i="2"/>
  <c r="AK9" i="2"/>
  <c r="AJ14" i="2"/>
  <c r="AJ39" i="2"/>
  <c r="M27" i="2"/>
  <c r="Q40" i="2"/>
  <c r="AI13" i="2"/>
  <c r="K14" i="2"/>
  <c r="V32" i="2"/>
  <c r="E35" i="2"/>
  <c r="AI35" i="2"/>
  <c r="L14" i="2"/>
  <c r="AT4" i="2"/>
  <c r="Q28" i="2"/>
  <c r="AQ41" i="2"/>
  <c r="K18" i="2"/>
  <c r="B12" i="34"/>
  <c r="R30" i="2"/>
  <c r="H31" i="2"/>
  <c r="M35" i="2"/>
  <c r="AI31" i="2"/>
  <c r="V12" i="2"/>
  <c r="D27" i="2"/>
  <c r="AC4" i="2"/>
  <c r="AM18" i="2"/>
  <c r="AE35" i="2"/>
  <c r="AF28" i="2"/>
  <c r="G40" i="2"/>
  <c r="AG17" i="2"/>
  <c r="M3" i="2"/>
  <c r="AM39" i="2"/>
  <c r="J9" i="2"/>
  <c r="AQ40" i="2"/>
  <c r="AD38" i="2"/>
  <c r="AG38" i="2"/>
  <c r="AH18" i="2"/>
  <c r="S32" i="2"/>
  <c r="AL15" i="2"/>
  <c r="AT38" i="2"/>
  <c r="O30" i="2"/>
  <c r="AI7" i="2"/>
  <c r="S30" i="2"/>
  <c r="C30" i="2"/>
  <c r="O12" i="2"/>
  <c r="P34" i="2"/>
  <c r="AA34" i="2"/>
  <c r="AQ34" i="2"/>
  <c r="N37" i="2"/>
  <c r="V31" i="2"/>
  <c r="AI34" i="2"/>
  <c r="O31" i="2"/>
  <c r="O39" i="2"/>
  <c r="AA38" i="2"/>
  <c r="AG27" i="2"/>
  <c r="AH16" i="2"/>
  <c r="J12" i="2"/>
  <c r="AB13" i="2"/>
  <c r="AO35" i="2"/>
  <c r="F18" i="2"/>
  <c r="AD31" i="2"/>
  <c r="AG31" i="2"/>
  <c r="G15" i="2"/>
  <c r="AQ27" i="2"/>
  <c r="AB7" i="2"/>
  <c r="AH27" i="2"/>
  <c r="O37" i="2"/>
  <c r="AD16" i="2"/>
  <c r="R16" i="2"/>
  <c r="M9" i="2"/>
  <c r="P40" i="2"/>
  <c r="B63" i="34"/>
  <c r="AF7" i="2"/>
  <c r="O7" i="2"/>
  <c r="D30" i="2"/>
  <c r="L36" i="2"/>
  <c r="AN7" i="2"/>
  <c r="AO18" i="2"/>
  <c r="F27" i="2"/>
  <c r="AK38" i="2"/>
  <c r="AH30" i="2"/>
  <c r="AJ30" i="2"/>
  <c r="AI14" i="2"/>
  <c r="R38" i="2"/>
  <c r="AJ34" i="2"/>
  <c r="P27" i="2"/>
  <c r="AF40" i="2"/>
  <c r="AE6" i="2"/>
  <c r="F4" i="2"/>
  <c r="H15" i="2"/>
  <c r="R18" i="2"/>
  <c r="AL16" i="2"/>
  <c r="AN3" i="2"/>
  <c r="AB27" i="2"/>
  <c r="L15" i="2"/>
  <c r="AJ11" i="2"/>
  <c r="AM42" i="2"/>
  <c r="AI37" i="2"/>
  <c r="O6" i="2"/>
  <c r="AQ38" i="2"/>
  <c r="AM4" i="2"/>
  <c r="N34" i="2"/>
  <c r="AL3" i="2"/>
  <c r="J35" i="2"/>
  <c r="N41" i="2"/>
  <c r="Q4" i="2"/>
  <c r="G18" i="2"/>
  <c r="AO7" i="2"/>
  <c r="AT18" i="2"/>
  <c r="R28" i="2"/>
  <c r="B14" i="34"/>
  <c r="C14" i="2"/>
  <c r="AO36" i="2"/>
  <c r="D17" i="2"/>
  <c r="J14" i="2"/>
  <c r="B15" i="34"/>
  <c r="R17" i="2"/>
  <c r="AT13" i="2"/>
  <c r="G13" i="2"/>
  <c r="C31" i="2"/>
  <c r="G7" i="2"/>
  <c r="AK40" i="2"/>
  <c r="AP39" i="2"/>
  <c r="AF9" i="2"/>
  <c r="AM30" i="2"/>
  <c r="AK34" i="2"/>
  <c r="AH28" i="2"/>
  <c r="AB8" i="2"/>
  <c r="AC32" i="2"/>
  <c r="I9" i="2"/>
  <c r="AB39" i="2"/>
  <c r="L128" i="14"/>
  <c r="AH4" i="2"/>
  <c r="P12" i="2"/>
  <c r="D34" i="2"/>
  <c r="N31" i="2"/>
  <c r="E42" i="2"/>
  <c r="C38" i="2"/>
  <c r="AN12" i="2"/>
  <c r="AN30" i="2"/>
  <c r="G22" i="23"/>
  <c r="AP16" i="2"/>
  <c r="K33" i="2"/>
  <c r="AN13" i="2"/>
  <c r="AB16" i="2"/>
  <c r="AE36" i="2"/>
  <c r="AO39" i="2"/>
  <c r="C4" i="2"/>
  <c r="P17" i="2"/>
  <c r="B56" i="34"/>
  <c r="E4" i="2"/>
  <c r="AT33" i="2"/>
  <c r="AD27" i="2"/>
  <c r="AI12" i="2"/>
  <c r="AL42" i="2"/>
  <c r="AI10" i="2"/>
  <c r="I34" i="2"/>
  <c r="AJ9" i="2"/>
  <c r="Q30" i="2"/>
  <c r="G34" i="2"/>
  <c r="V14" i="2"/>
  <c r="AG3" i="2"/>
  <c r="E39" i="2"/>
  <c r="E14" i="2"/>
  <c r="I18" i="2"/>
  <c r="AL37" i="2"/>
  <c r="AD4" i="2"/>
  <c r="AL7" i="2"/>
  <c r="N16" i="2"/>
  <c r="L38" i="2"/>
  <c r="AF15" i="2"/>
  <c r="AM10" i="2"/>
  <c r="H33" i="2"/>
  <c r="AC39" i="2"/>
  <c r="AI16" i="2"/>
  <c r="Q32" i="2"/>
  <c r="R27" i="2"/>
  <c r="AD40" i="2"/>
  <c r="L18" i="2"/>
  <c r="N35" i="2"/>
  <c r="AT11" i="2"/>
  <c r="AL32" i="2"/>
  <c r="AH14" i="2"/>
  <c r="AM13" i="2"/>
  <c r="R11" i="2"/>
  <c r="AN38" i="2"/>
  <c r="AE9" i="2"/>
  <c r="K34" i="2"/>
  <c r="R34" i="2"/>
  <c r="J27" i="2"/>
  <c r="S38" i="2"/>
  <c r="F10" i="2"/>
  <c r="M15" i="2"/>
  <c r="AA42" i="2"/>
  <c r="B53" i="34"/>
  <c r="AP30" i="2"/>
  <c r="AJ27" i="2"/>
  <c r="K7" i="2"/>
  <c r="D38" i="2"/>
  <c r="J34" i="2"/>
  <c r="V36" i="2"/>
  <c r="AB36" i="2"/>
  <c r="AN28" i="2"/>
  <c r="AH7" i="2"/>
  <c r="R14" i="2"/>
  <c r="I39" i="2"/>
  <c r="K27" i="2"/>
  <c r="F36" i="2"/>
  <c r="C12" i="2"/>
  <c r="AM40" i="2"/>
  <c r="E36" i="2"/>
  <c r="AL6" i="2"/>
  <c r="S31" i="2"/>
  <c r="AA39" i="2"/>
  <c r="F17" i="2"/>
  <c r="AD37" i="2"/>
  <c r="G17" i="2"/>
  <c r="AT14" i="2"/>
  <c r="AH13" i="2"/>
  <c r="AT30" i="2"/>
  <c r="AE4" i="2"/>
  <c r="J33" i="2"/>
  <c r="D9" i="2"/>
  <c r="H16" i="23"/>
  <c r="AP4" i="2"/>
  <c r="AJ42" i="2"/>
  <c r="H27" i="2"/>
  <c r="AK4" i="2"/>
  <c r="AI28" i="2"/>
  <c r="AD12" i="2"/>
  <c r="AT39" i="2"/>
  <c r="AP8" i="2"/>
  <c r="O9" i="2"/>
  <c r="AN39" i="2"/>
  <c r="N12" i="2"/>
  <c r="AF31" i="2"/>
  <c r="K4" i="2"/>
  <c r="AI36" i="2"/>
  <c r="AD6" i="2"/>
  <c r="AF34" i="2"/>
  <c r="E34" i="2"/>
  <c r="I12" i="2"/>
  <c r="C18" i="2"/>
  <c r="AL39" i="2"/>
  <c r="Q18" i="2"/>
  <c r="O41" i="2"/>
  <c r="M34" i="2"/>
  <c r="R13" i="2"/>
  <c r="G3" i="2"/>
  <c r="N30" i="2"/>
  <c r="H9" i="2"/>
  <c r="AN9" i="2"/>
  <c r="I38" i="2"/>
  <c r="AJ3" i="2"/>
  <c r="Q10" i="2"/>
  <c r="AD14" i="2"/>
  <c r="O35" i="2"/>
  <c r="M32" i="2"/>
  <c r="I41" i="2"/>
  <c r="M18" i="2"/>
  <c r="AG18" i="2"/>
  <c r="F6" i="2"/>
  <c r="B13" i="34"/>
  <c r="F8" i="2"/>
  <c r="AL34" i="2"/>
  <c r="H22" i="23"/>
  <c r="AO31" i="2"/>
  <c r="P14" i="2"/>
  <c r="AO32" i="2"/>
  <c r="G12" i="2"/>
  <c r="K30" i="2"/>
  <c r="AT34" i="2"/>
  <c r="AM41" i="2"/>
  <c r="AD3" i="2"/>
  <c r="AF18" i="2"/>
  <c r="AT16" i="2"/>
  <c r="R36" i="2"/>
  <c r="E13" i="2"/>
  <c r="D42" i="2"/>
  <c r="AN10" i="2"/>
  <c r="AG40" i="2"/>
  <c r="AG8" i="2"/>
  <c r="J31" i="2"/>
  <c r="AK10" i="2"/>
  <c r="V37" i="2"/>
  <c r="E31" i="2"/>
  <c r="Q12" i="2"/>
  <c r="J32" i="2"/>
  <c r="Q3" i="2"/>
  <c r="R12" i="2"/>
  <c r="M117" i="14"/>
  <c r="R42" i="2"/>
  <c r="I37" i="2"/>
  <c r="AD7" i="2"/>
  <c r="F32" i="2"/>
  <c r="AP38" i="2"/>
  <c r="AM6" i="2"/>
  <c r="AG39" i="2"/>
  <c r="F7" i="2"/>
  <c r="F33" i="2"/>
  <c r="AH9" i="2"/>
  <c r="AH38" i="2"/>
  <c r="C36" i="2"/>
  <c r="AG15" i="2"/>
  <c r="AO13" i="2"/>
  <c r="E16" i="2"/>
  <c r="AF33" i="2"/>
  <c r="AC38" i="2"/>
  <c r="AD42" i="2"/>
  <c r="L17" i="2"/>
  <c r="AP12" i="2"/>
  <c r="AF11" i="2"/>
  <c r="AP42" i="2"/>
  <c r="AD41" i="2"/>
  <c r="G8" i="2"/>
  <c r="K129" i="14"/>
  <c r="AM36" i="2"/>
  <c r="AH17" i="2"/>
  <c r="E32" i="2"/>
  <c r="AJ33" i="2"/>
  <c r="V27" i="2"/>
  <c r="Q39" i="2"/>
  <c r="J41" i="2"/>
  <c r="AL11" i="2"/>
  <c r="C32" i="2"/>
  <c r="AO33" i="2"/>
  <c r="N125" i="14"/>
  <c r="C35" i="2"/>
  <c r="M41" i="2"/>
  <c r="E27" i="2"/>
  <c r="AF39" i="2"/>
  <c r="H21" i="23"/>
  <c r="AF42" i="2"/>
  <c r="AE42" i="2"/>
  <c r="S34" i="2"/>
  <c r="N32" i="2"/>
  <c r="M4" i="2"/>
  <c r="F40" i="2"/>
  <c r="H32" i="2"/>
  <c r="M118" i="14"/>
  <c r="G30" i="2"/>
  <c r="R35" i="2"/>
  <c r="AI40" i="2"/>
  <c r="AF13" i="2"/>
  <c r="F13" i="2"/>
  <c r="S41" i="2"/>
  <c r="J18" i="2"/>
  <c r="Q37" i="2"/>
  <c r="AP41" i="2"/>
  <c r="L41" i="2"/>
  <c r="R9" i="2"/>
  <c r="F3" i="2"/>
  <c r="O15" i="2"/>
  <c r="AA18" i="2"/>
  <c r="AB18" i="2"/>
  <c r="AG11" i="2"/>
  <c r="AG34" i="2"/>
  <c r="AD35" i="2"/>
  <c r="B8" i="34"/>
  <c r="L127" i="14"/>
  <c r="AB17" i="2"/>
  <c r="AH31" i="2"/>
  <c r="I14" i="2"/>
  <c r="K9" i="2"/>
  <c r="AO41" i="2"/>
  <c r="AL28" i="2"/>
  <c r="G10" i="2"/>
  <c r="AF4" i="2"/>
  <c r="AO9" i="2"/>
  <c r="P3" i="2"/>
  <c r="E28" i="2"/>
  <c r="N7" i="2"/>
  <c r="L129" i="14"/>
  <c r="AB12" i="2"/>
  <c r="K32" i="2"/>
  <c r="E11" i="2"/>
  <c r="F15" i="2"/>
  <c r="L30" i="2"/>
  <c r="AN22" i="2" l="1"/>
  <c r="AM22" i="2"/>
  <c r="AF46" i="2"/>
  <c r="S46" i="2"/>
  <c r="AJ19" i="2"/>
  <c r="AJ22" i="2" s="1"/>
  <c r="G22" i="2"/>
  <c r="AI43" i="2"/>
  <c r="AI46" i="2" s="1"/>
  <c r="L46" i="2"/>
  <c r="AL46" i="2"/>
  <c r="AM46" i="2"/>
  <c r="AK43" i="2"/>
  <c r="AK46" i="2" s="1"/>
  <c r="F46" i="2"/>
  <c r="AG22" i="2"/>
  <c r="AA46" i="2"/>
  <c r="F22" i="2"/>
  <c r="AK22" i="2"/>
  <c r="O46" i="2"/>
  <c r="AD22" i="2"/>
  <c r="C251" i="23"/>
  <c r="J43" i="2"/>
  <c r="J46" i="2" s="1"/>
  <c r="AP46" i="2"/>
  <c r="AD46" i="2"/>
  <c r="C252" i="23"/>
  <c r="AI19" i="2"/>
  <c r="AI22" i="2" s="1"/>
  <c r="Q19" i="2"/>
  <c r="Q22" i="2" s="1"/>
  <c r="O22" i="2"/>
  <c r="AF22" i="2"/>
  <c r="E22" i="2"/>
  <c r="AE46" i="2"/>
  <c r="AB46" i="2"/>
  <c r="AC22" i="2"/>
  <c r="AG43" i="2"/>
  <c r="AG46" i="2" s="1"/>
  <c r="Q46" i="2"/>
  <c r="J22" i="2"/>
  <c r="AH43" i="2"/>
  <c r="AH46" i="2" s="1"/>
  <c r="AC46" i="2"/>
  <c r="AQ46" i="2"/>
  <c r="AO46" i="2"/>
  <c r="R46" i="2"/>
  <c r="I43" i="2"/>
  <c r="AE22" i="2"/>
  <c r="B251" i="23"/>
  <c r="L19" i="2"/>
  <c r="L22" i="2" s="1"/>
  <c r="C113" i="23"/>
  <c r="C114" i="23" s="1"/>
  <c r="E113" i="23"/>
  <c r="E114" i="23" s="1"/>
  <c r="B252" i="23"/>
  <c r="K19" i="2"/>
  <c r="K22" i="2" s="1"/>
  <c r="AP22" i="2"/>
  <c r="C22" i="2"/>
  <c r="AL19" i="2"/>
  <c r="AL22" i="2" s="1"/>
  <c r="N46" i="2"/>
  <c r="V22" i="2"/>
  <c r="G46" i="2"/>
  <c r="P22" i="2"/>
  <c r="B113" i="23"/>
  <c r="B114" i="23" s="1"/>
  <c r="D113" i="23"/>
  <c r="D114" i="23" s="1"/>
  <c r="K43" i="2"/>
  <c r="K46" i="2" s="1"/>
  <c r="AT46" i="2"/>
  <c r="C271" i="23"/>
  <c r="I22" i="2"/>
  <c r="E46" i="2"/>
  <c r="AO19" i="2"/>
  <c r="AO22" i="2" s="1"/>
  <c r="D46" i="2"/>
  <c r="AN46" i="2"/>
  <c r="AJ46" i="2"/>
  <c r="E175" i="23"/>
  <c r="E176" i="23" s="1"/>
  <c r="C175" i="23"/>
  <c r="C176" i="23" s="1"/>
  <c r="D22" i="2"/>
  <c r="AB22" i="2"/>
  <c r="C46" i="2"/>
  <c r="AT22" i="2"/>
  <c r="P46" i="2"/>
  <c r="V46" i="2"/>
  <c r="H46" i="2"/>
  <c r="AH19" i="2"/>
  <c r="M22" i="2"/>
  <c r="AA22" i="2"/>
  <c r="H22" i="2"/>
  <c r="N19" i="2"/>
  <c r="N22" i="2" s="1"/>
  <c r="R22" i="2"/>
  <c r="D175" i="23"/>
  <c r="D176" i="23" s="1"/>
  <c r="B175" i="23"/>
  <c r="B176" i="23" s="1"/>
  <c r="B271" i="23"/>
  <c r="M43" i="2"/>
  <c r="M46" i="2" s="1"/>
  <c r="C133" i="23"/>
  <c r="C128" i="23"/>
  <c r="C197" i="23"/>
  <c r="C193" i="23"/>
  <c r="D133" i="23"/>
  <c r="D128" i="23"/>
  <c r="E63" i="23"/>
  <c r="E68" i="23"/>
  <c r="E128" i="23"/>
  <c r="E133" i="23"/>
  <c r="B193" i="23"/>
  <c r="B197" i="23"/>
  <c r="C68" i="23"/>
  <c r="C63" i="23"/>
  <c r="B68" i="23"/>
  <c r="B63" i="23"/>
  <c r="D63" i="23"/>
  <c r="D68" i="23"/>
  <c r="B133" i="23"/>
  <c r="B128" i="23"/>
  <c r="E277" i="23"/>
  <c r="D231" i="23"/>
  <c r="B35" i="23"/>
  <c r="D275" i="23"/>
  <c r="B226" i="23"/>
  <c r="C37" i="23"/>
  <c r="C36" i="23"/>
  <c r="C235" i="23"/>
  <c r="B37" i="23"/>
  <c r="B36" i="23"/>
  <c r="D37" i="23"/>
  <c r="C226" i="23"/>
  <c r="D228" i="23"/>
  <c r="B228" i="23"/>
  <c r="C227" i="23"/>
  <c r="E37" i="23"/>
  <c r="C245" i="23"/>
  <c r="B119" i="23"/>
  <c r="E274" i="23"/>
  <c r="E54" i="23"/>
  <c r="B231" i="23"/>
  <c r="E231" i="23"/>
  <c r="B227" i="23"/>
  <c r="C214" i="23"/>
  <c r="B268" i="23"/>
  <c r="B220" i="23"/>
  <c r="D274" i="23"/>
  <c r="D54" i="23"/>
  <c r="E228" i="23"/>
  <c r="C54" i="23"/>
  <c r="D226" i="23"/>
  <c r="D276" i="23"/>
  <c r="E34" i="23"/>
  <c r="J535" i="33" s="1"/>
  <c r="E227" i="23"/>
  <c r="C34" i="23"/>
  <c r="B54" i="23"/>
  <c r="E36" i="23"/>
  <c r="C220" i="23"/>
  <c r="B214" i="23"/>
  <c r="C231" i="23"/>
  <c r="E226" i="23"/>
  <c r="D280" i="23"/>
  <c r="D36" i="23"/>
  <c r="D245" i="23"/>
  <c r="E280" i="23"/>
  <c r="C268" i="23"/>
  <c r="D35" i="23"/>
  <c r="D34" i="23"/>
  <c r="E235" i="23"/>
  <c r="E119" i="23"/>
  <c r="E275" i="23"/>
  <c r="D235" i="23"/>
  <c r="D277" i="23"/>
  <c r="E276" i="23"/>
  <c r="D227" i="23"/>
  <c r="E245" i="23"/>
  <c r="B34" i="23"/>
  <c r="C35" i="23"/>
  <c r="C228" i="23"/>
  <c r="B235" i="23"/>
  <c r="C119" i="23"/>
  <c r="B245" i="23"/>
  <c r="D119" i="23"/>
  <c r="E35" i="23"/>
  <c r="B4" i="34" l="1"/>
  <c r="C120" i="23"/>
  <c r="C121" i="23"/>
  <c r="B538" i="33"/>
  <c r="B539" i="33" s="1"/>
  <c r="E246" i="23"/>
  <c r="B120" i="23"/>
  <c r="B121" i="23"/>
  <c r="E536" i="33"/>
  <c r="E232" i="23"/>
  <c r="E233" i="23" s="1"/>
  <c r="E234" i="23" s="1"/>
  <c r="E236" i="23" s="1"/>
  <c r="B232" i="23"/>
  <c r="E4" i="33"/>
  <c r="Q9" i="33"/>
  <c r="E3" i="33"/>
  <c r="F174" i="33"/>
  <c r="F493" i="33"/>
  <c r="F182" i="33"/>
  <c r="F386" i="33"/>
  <c r="F87" i="33"/>
  <c r="F137" i="33"/>
  <c r="F269" i="33"/>
  <c r="F89" i="33"/>
  <c r="F248" i="33"/>
  <c r="F290" i="33"/>
  <c r="F410" i="33"/>
  <c r="F239" i="33"/>
  <c r="F390" i="33"/>
  <c r="F429" i="33"/>
  <c r="F303" i="33"/>
  <c r="F325" i="33"/>
  <c r="F398" i="33"/>
  <c r="F336" i="33"/>
  <c r="F455" i="33"/>
  <c r="F473" i="33"/>
  <c r="F275" i="33"/>
  <c r="F366" i="33"/>
  <c r="F346" i="33"/>
  <c r="F438" i="33"/>
  <c r="F78" i="33"/>
  <c r="F234" i="33"/>
  <c r="F407" i="33"/>
  <c r="F63" i="33"/>
  <c r="F422" i="33"/>
  <c r="F134" i="33"/>
  <c r="F436" i="33"/>
  <c r="F364" i="33"/>
  <c r="F118" i="33"/>
  <c r="F173" i="33"/>
  <c r="F150" i="33"/>
  <c r="F305" i="33"/>
  <c r="F389" i="33"/>
  <c r="F221" i="33"/>
  <c r="F311" i="33"/>
  <c r="F103" i="33"/>
  <c r="F242" i="33"/>
  <c r="F439" i="33"/>
  <c r="F140" i="33"/>
  <c r="F135" i="33"/>
  <c r="F265" i="33"/>
  <c r="F41" i="33"/>
  <c r="F503" i="33"/>
  <c r="F19" i="33"/>
  <c r="F175" i="33"/>
  <c r="F112" i="33"/>
  <c r="F385" i="33"/>
  <c r="F190" i="33"/>
  <c r="F235" i="33"/>
  <c r="F447" i="33"/>
  <c r="F360" i="33"/>
  <c r="F323" i="33"/>
  <c r="F405" i="33"/>
  <c r="F260" i="33"/>
  <c r="F86" i="33"/>
  <c r="F338" i="33"/>
  <c r="F373" i="33"/>
  <c r="F448" i="33"/>
  <c r="F374" i="33"/>
  <c r="F277" i="33"/>
  <c r="F384" i="33"/>
  <c r="F283" i="33"/>
  <c r="F286" i="33"/>
  <c r="F467" i="33"/>
  <c r="F195" i="33"/>
  <c r="F26" i="33"/>
  <c r="F207" i="33"/>
  <c r="F259" i="33"/>
  <c r="F164" i="33"/>
  <c r="F245" i="33"/>
  <c r="F416" i="33"/>
  <c r="F441" i="33"/>
  <c r="F382" i="33"/>
  <c r="F52" i="33"/>
  <c r="F143" i="33"/>
  <c r="F339" i="33"/>
  <c r="F72" i="33"/>
  <c r="F332" i="33"/>
  <c r="F391" i="33"/>
  <c r="F458" i="33"/>
  <c r="F106" i="33"/>
  <c r="F68" i="33"/>
  <c r="F162" i="33"/>
  <c r="F427" i="33"/>
  <c r="F379" i="33"/>
  <c r="F428" i="33"/>
  <c r="F340" i="33"/>
  <c r="F216" i="33"/>
  <c r="F104" i="33"/>
  <c r="F30" i="33"/>
  <c r="F508" i="33"/>
  <c r="F278" i="33"/>
  <c r="F44" i="33"/>
  <c r="F328" i="33"/>
  <c r="F281" i="33"/>
  <c r="F194" i="33"/>
  <c r="F297" i="33"/>
  <c r="F81" i="33"/>
  <c r="F502" i="33"/>
  <c r="F243" i="33"/>
  <c r="F302" i="33"/>
  <c r="F318" i="33"/>
  <c r="F157" i="33"/>
  <c r="F415" i="33"/>
  <c r="F392" i="33"/>
  <c r="F200" i="33"/>
  <c r="F49" i="33"/>
  <c r="F22" i="33"/>
  <c r="F267" i="33"/>
  <c r="F383" i="33"/>
  <c r="F397" i="33"/>
  <c r="F497" i="33"/>
  <c r="F479" i="33"/>
  <c r="F246" i="33"/>
  <c r="F136" i="33"/>
  <c r="F381" i="33"/>
  <c r="F46" i="33"/>
  <c r="F74" i="33"/>
  <c r="F480" i="33"/>
  <c r="F404" i="33"/>
  <c r="F258" i="33"/>
  <c r="F83" i="33"/>
  <c r="F55" i="33"/>
  <c r="F363" i="33"/>
  <c r="F214" i="33"/>
  <c r="F21" i="33"/>
  <c r="F204" i="33"/>
  <c r="F76" i="33"/>
  <c r="F514" i="33"/>
  <c r="F304" i="33"/>
  <c r="F483" i="33"/>
  <c r="F312" i="33"/>
  <c r="F426" i="33"/>
  <c r="F484" i="33"/>
  <c r="F256" i="33"/>
  <c r="F529" i="33"/>
  <c r="F365" i="33"/>
  <c r="F241" i="33"/>
  <c r="F505" i="33"/>
  <c r="F279" i="33"/>
  <c r="F442" i="33"/>
  <c r="F225" i="33"/>
  <c r="F324" i="33"/>
  <c r="F450" i="33"/>
  <c r="F301" i="33"/>
  <c r="F310" i="33"/>
  <c r="F358" i="33"/>
  <c r="F287" i="33"/>
  <c r="F326" i="33"/>
  <c r="F99" i="33"/>
  <c r="F155" i="33"/>
  <c r="F161" i="33"/>
  <c r="F320" i="33"/>
  <c r="F116" i="33"/>
  <c r="F298" i="33"/>
  <c r="F222" i="33"/>
  <c r="F471" i="33"/>
  <c r="F507" i="33"/>
  <c r="F231" i="33"/>
  <c r="F48" i="33"/>
  <c r="F152" i="33"/>
  <c r="F166" i="33"/>
  <c r="F434" i="33"/>
  <c r="F156" i="33"/>
  <c r="F470" i="33"/>
  <c r="F141" i="33"/>
  <c r="F486" i="33"/>
  <c r="F509" i="33"/>
  <c r="F151" i="33"/>
  <c r="F144" i="33"/>
  <c r="F454" i="33"/>
  <c r="F226" i="33"/>
  <c r="F198" i="33"/>
  <c r="F184" i="33"/>
  <c r="F306" i="33"/>
  <c r="F181" i="33"/>
  <c r="F292" i="33"/>
  <c r="F500" i="33"/>
  <c r="F330" i="33"/>
  <c r="F257" i="33"/>
  <c r="F352" i="33"/>
  <c r="F237" i="33"/>
  <c r="F31" i="33"/>
  <c r="F322" i="33"/>
  <c r="F139" i="33"/>
  <c r="F431" i="33"/>
  <c r="F188" i="33"/>
  <c r="F468" i="33"/>
  <c r="F463" i="33"/>
  <c r="F411" i="33"/>
  <c r="F487" i="33"/>
  <c r="F465" i="33"/>
  <c r="F419" i="33"/>
  <c r="F294" i="33"/>
  <c r="F270" i="33"/>
  <c r="F387" i="33"/>
  <c r="F299" i="33"/>
  <c r="F98" i="33"/>
  <c r="F280" i="33"/>
  <c r="F58" i="33"/>
  <c r="F359" i="33"/>
  <c r="F111" i="33"/>
  <c r="F399" i="33"/>
  <c r="F24" i="33"/>
  <c r="F54" i="33"/>
  <c r="F211" i="33"/>
  <c r="F208" i="33"/>
  <c r="F282" i="33"/>
  <c r="F213" i="33"/>
  <c r="F401" i="33"/>
  <c r="F201" i="33"/>
  <c r="F168" i="33"/>
  <c r="F288" i="33"/>
  <c r="F220" i="33"/>
  <c r="F45" i="33"/>
  <c r="F196" i="33"/>
  <c r="F423" i="33"/>
  <c r="F368" i="33"/>
  <c r="F528" i="33"/>
  <c r="F100" i="33"/>
  <c r="F145" i="33"/>
  <c r="F449" i="33"/>
  <c r="F370" i="33"/>
  <c r="F337" i="33"/>
  <c r="F457" i="33"/>
  <c r="F333" i="33"/>
  <c r="F154" i="33"/>
  <c r="F65" i="33"/>
  <c r="F147" i="33"/>
  <c r="F210" i="33"/>
  <c r="F295" i="33"/>
  <c r="F27" i="33"/>
  <c r="F367" i="33"/>
  <c r="F224" i="33"/>
  <c r="F485" i="33"/>
  <c r="F77" i="33"/>
  <c r="F160" i="33"/>
  <c r="F18" i="33"/>
  <c r="F42" i="33"/>
  <c r="F250" i="33"/>
  <c r="F273" i="33"/>
  <c r="F212" i="33"/>
  <c r="F331" i="33"/>
  <c r="F254" i="33"/>
  <c r="F499" i="33"/>
  <c r="F317" i="33"/>
  <c r="F236" i="33"/>
  <c r="F481" i="33"/>
  <c r="F421" i="33"/>
  <c r="F146" i="33"/>
  <c r="F512" i="33"/>
  <c r="F515" i="33"/>
  <c r="F474" i="33"/>
  <c r="F313" i="33"/>
  <c r="F34" i="33"/>
  <c r="F377" i="33"/>
  <c r="F420" i="33"/>
  <c r="F425" i="33"/>
  <c r="F219" i="33"/>
  <c r="F170" i="33"/>
  <c r="F513" i="33"/>
  <c r="F433" i="33"/>
  <c r="F238" i="33"/>
  <c r="F23" i="33"/>
  <c r="F20" i="33"/>
  <c r="F38" i="33"/>
  <c r="F406" i="33"/>
  <c r="F417" i="33"/>
  <c r="F71" i="33"/>
  <c r="F70" i="33"/>
  <c r="F197" i="33"/>
  <c r="F472" i="33"/>
  <c r="F501" i="33"/>
  <c r="F461" i="33"/>
  <c r="F314" i="33"/>
  <c r="F202" i="33"/>
  <c r="F96" i="33"/>
  <c r="F307" i="33"/>
  <c r="F47" i="33"/>
  <c r="F131" i="33"/>
  <c r="F163" i="33"/>
  <c r="F482" i="33"/>
  <c r="F117" i="33"/>
  <c r="F165" i="33"/>
  <c r="F491" i="33"/>
  <c r="F180" i="33"/>
  <c r="F342" i="33"/>
  <c r="F232" i="33"/>
  <c r="F129" i="33"/>
  <c r="F185" i="33"/>
  <c r="F524" i="33"/>
  <c r="F32" i="33"/>
  <c r="F408" i="33"/>
  <c r="F293" i="33"/>
  <c r="F115" i="33"/>
  <c r="F172" i="33"/>
  <c r="F418" i="33"/>
  <c r="F178" i="33"/>
  <c r="F518" i="33"/>
  <c r="F62" i="33"/>
  <c r="F39" i="33"/>
  <c r="F61" i="33"/>
  <c r="F183" i="33"/>
  <c r="F430" i="33"/>
  <c r="F80" i="33"/>
  <c r="F123" i="33"/>
  <c r="F521" i="33"/>
  <c r="F128" i="33"/>
  <c r="F460" i="33"/>
  <c r="F520" i="33"/>
  <c r="F469" i="33"/>
  <c r="F158" i="33"/>
  <c r="F496" i="33"/>
  <c r="F177" i="33"/>
  <c r="F88" i="33"/>
  <c r="F516" i="33"/>
  <c r="F101" i="33"/>
  <c r="F395" i="33"/>
  <c r="F218" i="33"/>
  <c r="F138" i="33"/>
  <c r="F355" i="33"/>
  <c r="F203" i="33"/>
  <c r="F85" i="33"/>
  <c r="F276" i="33"/>
  <c r="F206" i="33"/>
  <c r="F296" i="33"/>
  <c r="F95" i="33"/>
  <c r="F321" i="33"/>
  <c r="F375" i="33"/>
  <c r="F84" i="33"/>
  <c r="F148" i="33"/>
  <c r="F452" i="33"/>
  <c r="F362" i="33"/>
  <c r="F329" i="33"/>
  <c r="F424" i="33"/>
  <c r="F29" i="33"/>
  <c r="F466" i="33"/>
  <c r="F253" i="33"/>
  <c r="F167" i="33"/>
  <c r="F335" i="33"/>
  <c r="F249" i="33"/>
  <c r="F478" i="33"/>
  <c r="F133" i="33"/>
  <c r="F315" i="33"/>
  <c r="F402" i="33"/>
  <c r="F36" i="33"/>
  <c r="F92" i="33"/>
  <c r="F105" i="33"/>
  <c r="F252" i="33"/>
  <c r="F64" i="33"/>
  <c r="F357" i="33"/>
  <c r="F73" i="33"/>
  <c r="F291" i="33"/>
  <c r="F240" i="33"/>
  <c r="F327" i="33"/>
  <c r="F94" i="33"/>
  <c r="F159" i="33"/>
  <c r="F171" i="33"/>
  <c r="F372" i="33"/>
  <c r="F113" i="33"/>
  <c r="F230" i="33"/>
  <c r="F199" i="33"/>
  <c r="F191" i="33"/>
  <c r="F255" i="33"/>
  <c r="F217" i="33"/>
  <c r="F371" i="33"/>
  <c r="F414" i="33"/>
  <c r="F59" i="33"/>
  <c r="F444" i="33"/>
  <c r="F456" i="33"/>
  <c r="F413" i="33"/>
  <c r="F435" i="33"/>
  <c r="F90" i="33"/>
  <c r="F93" i="33"/>
  <c r="F264" i="33"/>
  <c r="F192" i="33"/>
  <c r="F228" i="33"/>
  <c r="F394" i="33"/>
  <c r="F130" i="33"/>
  <c r="F119" i="33"/>
  <c r="F193" i="33"/>
  <c r="F517" i="33"/>
  <c r="F187" i="33"/>
  <c r="F464" i="33"/>
  <c r="F396" i="33"/>
  <c r="F356" i="33"/>
  <c r="F56" i="33"/>
  <c r="F102" i="33"/>
  <c r="F272" i="33"/>
  <c r="F176" i="33"/>
  <c r="F285" i="33"/>
  <c r="F412" i="33"/>
  <c r="F97" i="33"/>
  <c r="F60" i="33"/>
  <c r="F263" i="33"/>
  <c r="F179" i="33"/>
  <c r="F251" i="33"/>
  <c r="F215" i="33"/>
  <c r="F432" i="33"/>
  <c r="F43" i="33"/>
  <c r="F348" i="33"/>
  <c r="F284" i="33"/>
  <c r="F522" i="33"/>
  <c r="F91" i="33"/>
  <c r="F459" i="33"/>
  <c r="F125" i="33"/>
  <c r="F316" i="33"/>
  <c r="F525" i="33"/>
  <c r="F79" i="33"/>
  <c r="F353" i="33"/>
  <c r="F488" i="33"/>
  <c r="F477" i="33"/>
  <c r="F343" i="33"/>
  <c r="F223" i="33"/>
  <c r="F494" i="33"/>
  <c r="F319" i="33"/>
  <c r="F109" i="33"/>
  <c r="F361" i="33"/>
  <c r="F120" i="33"/>
  <c r="F347" i="33"/>
  <c r="F309" i="33"/>
  <c r="E5" i="33"/>
  <c r="F506" i="33"/>
  <c r="F53" i="33"/>
  <c r="F400" i="33"/>
  <c r="F451" i="33"/>
  <c r="F121" i="33"/>
  <c r="F132" i="33"/>
  <c r="F519" i="33"/>
  <c r="F122" i="33"/>
  <c r="F66" i="33"/>
  <c r="F527" i="33"/>
  <c r="F189" i="33"/>
  <c r="F445" i="33"/>
  <c r="F437" i="33"/>
  <c r="F490" i="33"/>
  <c r="F262" i="33"/>
  <c r="F308" i="33"/>
  <c r="F440" i="33"/>
  <c r="F476" i="33"/>
  <c r="F462" i="33"/>
  <c r="F82" i="33"/>
  <c r="F209" i="33"/>
  <c r="F110" i="33"/>
  <c r="F345" i="33"/>
  <c r="F186" i="33"/>
  <c r="F153" i="33"/>
  <c r="F351" i="33"/>
  <c r="F341" i="33"/>
  <c r="F126" i="33"/>
  <c r="F75" i="33"/>
  <c r="F511" i="33"/>
  <c r="F124" i="33"/>
  <c r="F127" i="33"/>
  <c r="F108" i="33"/>
  <c r="F403" i="33"/>
  <c r="F409" i="33"/>
  <c r="F393" i="33"/>
  <c r="F271" i="33"/>
  <c r="F37" i="33"/>
  <c r="F495" i="33"/>
  <c r="F266" i="33"/>
  <c r="F244" i="33"/>
  <c r="F475" i="33"/>
  <c r="F380" i="33"/>
  <c r="F446" i="33"/>
  <c r="F388" i="33"/>
  <c r="F289" i="33"/>
  <c r="F334" i="33"/>
  <c r="F261" i="33"/>
  <c r="F169" i="33"/>
  <c r="F498" i="33"/>
  <c r="F69" i="33"/>
  <c r="F268" i="33"/>
  <c r="F51" i="33"/>
  <c r="F443" i="33"/>
  <c r="F378" i="33"/>
  <c r="F344" i="33"/>
  <c r="F33" i="33"/>
  <c r="F510" i="33"/>
  <c r="F504" i="33"/>
  <c r="F229" i="33"/>
  <c r="F57" i="33"/>
  <c r="F247" i="33"/>
  <c r="F489" i="33"/>
  <c r="F35" i="33"/>
  <c r="F354" i="33"/>
  <c r="F28" i="33"/>
  <c r="F67" i="33"/>
  <c r="F350" i="33"/>
  <c r="F107" i="33"/>
  <c r="F300" i="33"/>
  <c r="F205" i="33"/>
  <c r="F274" i="33"/>
  <c r="F142" i="33"/>
  <c r="F492" i="33"/>
  <c r="F50" i="33"/>
  <c r="F369" i="33"/>
  <c r="F526" i="33"/>
  <c r="F233" i="33"/>
  <c r="F40" i="33"/>
  <c r="F149" i="33"/>
  <c r="F376" i="33"/>
  <c r="F114" i="33"/>
  <c r="F25" i="33"/>
  <c r="F453" i="33"/>
  <c r="F523" i="33"/>
  <c r="F349" i="33"/>
  <c r="F227" i="33"/>
  <c r="C55" i="23"/>
  <c r="C56" i="23"/>
  <c r="F991" i="33"/>
  <c r="F852" i="33"/>
  <c r="F819" i="33"/>
  <c r="F649" i="33"/>
  <c r="F816" i="33"/>
  <c r="F564" i="33"/>
  <c r="F871" i="33"/>
  <c r="F672" i="33"/>
  <c r="F712" i="33"/>
  <c r="F590" i="33"/>
  <c r="F820" i="33"/>
  <c r="F842" i="33"/>
  <c r="F910" i="33"/>
  <c r="F630" i="33"/>
  <c r="F931" i="33"/>
  <c r="F1023" i="33"/>
  <c r="F995" i="33"/>
  <c r="F998" i="33"/>
  <c r="F1040" i="33"/>
  <c r="F824" i="33"/>
  <c r="F612" i="33"/>
  <c r="F614" i="33"/>
  <c r="F903" i="33"/>
  <c r="F798" i="33"/>
  <c r="F934" i="33"/>
  <c r="F874" i="33"/>
  <c r="F558" i="33"/>
  <c r="F717" i="33"/>
  <c r="F1054" i="33"/>
  <c r="F638" i="33"/>
  <c r="F679" i="33"/>
  <c r="F633" i="33"/>
  <c r="F844" i="33"/>
  <c r="F650" i="33"/>
  <c r="F1022" i="33"/>
  <c r="F951" i="33"/>
  <c r="F722" i="33"/>
  <c r="F655" i="33"/>
  <c r="F580" i="33"/>
  <c r="F616" i="33"/>
  <c r="F659" i="33"/>
  <c r="F588" i="33"/>
  <c r="F802" i="33"/>
  <c r="F773" i="33"/>
  <c r="F890" i="33"/>
  <c r="F966" i="33"/>
  <c r="F812" i="33"/>
  <c r="F749" i="33"/>
  <c r="F1027" i="33"/>
  <c r="F1061" i="33"/>
  <c r="F673" i="33"/>
  <c r="F950" i="33"/>
  <c r="F599" i="33"/>
  <c r="F826" i="33"/>
  <c r="F1026" i="33"/>
  <c r="F1059" i="33"/>
  <c r="F900" i="33"/>
  <c r="F708" i="33"/>
  <c r="F882" i="33"/>
  <c r="F719" i="33"/>
  <c r="F732" i="33"/>
  <c r="F841" i="33"/>
  <c r="F566" i="33"/>
  <c r="F1041" i="33"/>
  <c r="F581" i="33"/>
  <c r="F925" i="33"/>
  <c r="F683" i="33"/>
  <c r="F1036" i="33"/>
  <c r="F579" i="33"/>
  <c r="F567" i="33"/>
  <c r="F801" i="33"/>
  <c r="F602" i="33"/>
  <c r="F803" i="33"/>
  <c r="F920" i="33"/>
  <c r="F706" i="33"/>
  <c r="F670" i="33"/>
  <c r="F736" i="33"/>
  <c r="F929" i="33"/>
  <c r="F835" i="33"/>
  <c r="F831" i="33"/>
  <c r="F557" i="33"/>
  <c r="F839" i="33"/>
  <c r="F606" i="33"/>
  <c r="F711" i="33"/>
  <c r="F860" i="33"/>
  <c r="F705" i="33"/>
  <c r="F653" i="33"/>
  <c r="F1030" i="33"/>
  <c r="F907" i="33"/>
  <c r="F976" i="33"/>
  <c r="F768" i="33"/>
  <c r="F608" i="33"/>
  <c r="F744" i="33"/>
  <c r="F965" i="33"/>
  <c r="F686" i="33"/>
  <c r="F554" i="33"/>
  <c r="F685" i="33"/>
  <c r="F682" i="33"/>
  <c r="F899" i="33"/>
  <c r="F666" i="33"/>
  <c r="F777" i="33"/>
  <c r="F979" i="33"/>
  <c r="F804" i="33"/>
  <c r="F971" i="33"/>
  <c r="F894" i="33"/>
  <c r="F753" i="33"/>
  <c r="F837" i="33"/>
  <c r="F716" i="33"/>
  <c r="F886" i="33"/>
  <c r="F792" i="33"/>
  <c r="F937" i="33"/>
  <c r="F575" i="33"/>
  <c r="F556" i="33"/>
  <c r="F656" i="33"/>
  <c r="F779" i="33"/>
  <c r="F574" i="33"/>
  <c r="F988" i="33"/>
  <c r="F1003" i="33"/>
  <c r="F808" i="33"/>
  <c r="F780" i="33"/>
  <c r="F850" i="33"/>
  <c r="F620" i="33"/>
  <c r="F704" i="33"/>
  <c r="F877" i="33"/>
  <c r="F621" i="33"/>
  <c r="F709" i="33"/>
  <c r="F1032" i="33"/>
  <c r="F1011" i="33"/>
  <c r="F847" i="33"/>
  <c r="F834" i="33"/>
  <c r="F876" i="33"/>
  <c r="F807" i="33"/>
  <c r="F596" i="33"/>
  <c r="F703" i="33"/>
  <c r="F1050" i="33"/>
  <c r="F1000" i="33"/>
  <c r="F905" i="33"/>
  <c r="F613" i="33"/>
  <c r="F1018" i="33"/>
  <c r="F757" i="33"/>
  <c r="F664" i="33"/>
  <c r="F985" i="33"/>
  <c r="F742" i="33"/>
  <c r="F875" i="33"/>
  <c r="F739" i="33"/>
  <c r="F665" i="33"/>
  <c r="F641" i="33"/>
  <c r="F770" i="33"/>
  <c r="F589" i="33"/>
  <c r="F676" i="33"/>
  <c r="F989" i="33"/>
  <c r="F992" i="33"/>
  <c r="F944" i="33"/>
  <c r="F734" i="33"/>
  <c r="F615" i="33"/>
  <c r="F767" i="33"/>
  <c r="F1005" i="33"/>
  <c r="F999" i="33"/>
  <c r="F943" i="33"/>
  <c r="F625" i="33"/>
  <c r="F898" i="33"/>
  <c r="F611" i="33"/>
  <c r="F956" i="33"/>
  <c r="F629" i="33"/>
  <c r="F969" i="33"/>
  <c r="F933" i="33"/>
  <c r="F769" i="33"/>
  <c r="F688" i="33"/>
  <c r="F778" i="33"/>
  <c r="F918" i="33"/>
  <c r="F797" i="33"/>
  <c r="F696" i="33"/>
  <c r="F953" i="33"/>
  <c r="F699" i="33"/>
  <c r="F740" i="33"/>
  <c r="F597" i="33"/>
  <c r="F858" i="33"/>
  <c r="F815" i="33"/>
  <c r="F949" i="33"/>
  <c r="F763" i="33"/>
  <c r="F1046" i="33"/>
  <c r="F1055" i="33"/>
  <c r="F577" i="33"/>
  <c r="F759" i="33"/>
  <c r="F654" i="33"/>
  <c r="F563" i="33"/>
  <c r="F917" i="33"/>
  <c r="F901" i="33"/>
  <c r="F974" i="33"/>
  <c r="F939" i="33"/>
  <c r="F810" i="33"/>
  <c r="F913" i="33"/>
  <c r="F1058" i="33"/>
  <c r="F760" i="33"/>
  <c r="F855" i="33"/>
  <c r="F915" i="33"/>
  <c r="F603" i="33"/>
  <c r="F766" i="33"/>
  <c r="F1021" i="33"/>
  <c r="F825" i="33"/>
  <c r="F1015" i="33"/>
  <c r="F863" i="33"/>
  <c r="F806" i="33"/>
  <c r="F836" i="33"/>
  <c r="F838" i="33"/>
  <c r="F668" i="33"/>
  <c r="F796" i="33"/>
  <c r="F595" i="33"/>
  <c r="F885" i="33"/>
  <c r="F648" i="33"/>
  <c r="F1037" i="33"/>
  <c r="F888" i="33"/>
  <c r="F845" i="33"/>
  <c r="F941" i="33"/>
  <c r="F758" i="33"/>
  <c r="F958" i="33"/>
  <c r="F569" i="33"/>
  <c r="F809" i="33"/>
  <c r="F857" i="33"/>
  <c r="F715" i="33"/>
  <c r="F793" i="33"/>
  <c r="F747" i="33"/>
  <c r="E538" i="33"/>
  <c r="F865" i="33"/>
  <c r="F572" i="33"/>
  <c r="F713" i="33"/>
  <c r="F1060" i="33"/>
  <c r="F827" i="33"/>
  <c r="F982" i="33"/>
  <c r="F872" i="33"/>
  <c r="F1056" i="33"/>
  <c r="F565" i="33"/>
  <c r="F960" i="33"/>
  <c r="F936" i="33"/>
  <c r="F993" i="33"/>
  <c r="F972" i="33"/>
  <c r="F752" i="33"/>
  <c r="F634" i="33"/>
  <c r="F690" i="33"/>
  <c r="F761" i="33"/>
  <c r="F1035" i="33"/>
  <c r="F772" i="33"/>
  <c r="F724" i="33"/>
  <c r="F1031" i="33"/>
  <c r="F637" i="33"/>
  <c r="F1045" i="33"/>
  <c r="F786" i="33"/>
  <c r="F938" i="33"/>
  <c r="F609" i="33"/>
  <c r="F727" i="33"/>
  <c r="F878" i="33"/>
  <c r="F830" i="33"/>
  <c r="F864" i="33"/>
  <c r="F776" i="33"/>
  <c r="F1034" i="33"/>
  <c r="F1043" i="33"/>
  <c r="F723" i="33"/>
  <c r="F1004" i="33"/>
  <c r="F605" i="33"/>
  <c r="F687" i="33"/>
  <c r="F714" i="33"/>
  <c r="F669" i="33"/>
  <c r="F854" i="33"/>
  <c r="F601" i="33"/>
  <c r="F883" i="33"/>
  <c r="F981" i="33"/>
  <c r="F765" i="33"/>
  <c r="F945" i="33"/>
  <c r="F783" i="33"/>
  <c r="F914" i="33"/>
  <c r="F640" i="33"/>
  <c r="F652" i="33"/>
  <c r="F729" i="33"/>
  <c r="F912" i="33"/>
  <c r="F984" i="33"/>
  <c r="F790" i="33"/>
  <c r="F738" i="33"/>
  <c r="F623" i="33"/>
  <c r="F1062" i="33"/>
  <c r="F604" i="33"/>
  <c r="F661" i="33"/>
  <c r="F680" i="33"/>
  <c r="F1053" i="33"/>
  <c r="F677" i="33"/>
  <c r="F1006" i="33"/>
  <c r="F795" i="33"/>
  <c r="F626" i="33"/>
  <c r="F957" i="33"/>
  <c r="F924" i="33"/>
  <c r="F889" i="33"/>
  <c r="F587" i="33"/>
  <c r="F911" i="33"/>
  <c r="F869" i="33"/>
  <c r="F940" i="33"/>
  <c r="F973" i="33"/>
  <c r="F880" i="33"/>
  <c r="F930" i="33"/>
  <c r="F867" i="33"/>
  <c r="F791" i="33"/>
  <c r="F583" i="33"/>
  <c r="F570" i="33"/>
  <c r="F745" i="33"/>
  <c r="F1039" i="33"/>
  <c r="F561" i="33"/>
  <c r="F697" i="33"/>
  <c r="F1025" i="33"/>
  <c r="F651" i="33"/>
  <c r="F622" i="33"/>
  <c r="F866" i="33"/>
  <c r="F678" i="33"/>
  <c r="F902" i="33"/>
  <c r="F675" i="33"/>
  <c r="F562" i="33"/>
  <c r="F1024" i="33"/>
  <c r="F967" i="33"/>
  <c r="F560" i="33"/>
  <c r="F584" i="33"/>
  <c r="F784" i="33"/>
  <c r="F853" i="33"/>
  <c r="F805" i="33"/>
  <c r="F822" i="33"/>
  <c r="F1019" i="33"/>
  <c r="F689" i="33"/>
  <c r="F955" i="33"/>
  <c r="F856" i="33"/>
  <c r="F884" i="33"/>
  <c r="F870" i="33"/>
  <c r="F694" i="33"/>
  <c r="F948" i="33"/>
  <c r="F781" i="33"/>
  <c r="F728" i="33"/>
  <c r="F632" i="33"/>
  <c r="F1044" i="33"/>
  <c r="F962" i="33"/>
  <c r="F754" i="33"/>
  <c r="F785" i="33"/>
  <c r="F788" i="33"/>
  <c r="F1029" i="33"/>
  <c r="F1049" i="33"/>
  <c r="F799" i="33"/>
  <c r="F721" i="33"/>
  <c r="F964" i="33"/>
  <c r="F959" i="33"/>
  <c r="F618" i="33"/>
  <c r="F843" i="33"/>
  <c r="F881" i="33"/>
  <c r="F598" i="33"/>
  <c r="F1008" i="33"/>
  <c r="F895" i="33"/>
  <c r="F986" i="33"/>
  <c r="F1028" i="33"/>
  <c r="F879" i="33"/>
  <c r="F671" i="33"/>
  <c r="F700" i="33"/>
  <c r="F774" i="33"/>
  <c r="F764" i="33"/>
  <c r="F997" i="33"/>
  <c r="F887" i="33"/>
  <c r="F642" i="33"/>
  <c r="F657" i="33"/>
  <c r="F681" i="33"/>
  <c r="F980" i="33"/>
  <c r="F787" i="33"/>
  <c r="F861" i="33"/>
  <c r="F586" i="33"/>
  <c r="F946" i="33"/>
  <c r="F921" i="33"/>
  <c r="F762" i="33"/>
  <c r="F645" i="33"/>
  <c r="F1009" i="33"/>
  <c r="F1007" i="33"/>
  <c r="F647" i="33"/>
  <c r="F746" i="33"/>
  <c r="F873" i="33"/>
  <c r="F840" i="33"/>
  <c r="F674" i="33"/>
  <c r="F646" i="33"/>
  <c r="F733" i="33"/>
  <c r="F1020" i="33"/>
  <c r="F800" i="33"/>
  <c r="F593" i="33"/>
  <c r="F1013" i="33"/>
  <c r="F741" i="33"/>
  <c r="F829" i="33"/>
  <c r="F1042" i="33"/>
  <c r="F1052" i="33"/>
  <c r="F1014" i="33"/>
  <c r="F1002" i="33"/>
  <c r="F954" i="33"/>
  <c r="F963" i="33"/>
  <c r="F1010" i="33"/>
  <c r="F619" i="33"/>
  <c r="F658" i="33"/>
  <c r="F555" i="33"/>
  <c r="F748" i="33"/>
  <c r="F968" i="33"/>
  <c r="F952" i="33"/>
  <c r="F821" i="33"/>
  <c r="F987" i="33"/>
  <c r="F990" i="33"/>
  <c r="F868" i="33"/>
  <c r="F994" i="33"/>
  <c r="F975" i="33"/>
  <c r="F814" i="33"/>
  <c r="F896" i="33"/>
  <c r="F828" i="33"/>
  <c r="F1038" i="33"/>
  <c r="F585" i="33"/>
  <c r="F607" i="33"/>
  <c r="F823" i="33"/>
  <c r="F635" i="33"/>
  <c r="F897" i="33"/>
  <c r="F891" i="33"/>
  <c r="F707" i="33"/>
  <c r="F811" i="33"/>
  <c r="F893" i="33"/>
  <c r="F663" i="33"/>
  <c r="F961" i="33"/>
  <c r="F775" i="33"/>
  <c r="F1017" i="33"/>
  <c r="F591" i="33"/>
  <c r="F817" i="33"/>
  <c r="F695" i="33"/>
  <c r="F1016" i="33"/>
  <c r="F578" i="33"/>
  <c r="F919" i="33"/>
  <c r="F935" i="33"/>
  <c r="F662" i="33"/>
  <c r="F942" i="33"/>
  <c r="F726" i="33"/>
  <c r="F977" i="33"/>
  <c r="F702" i="33"/>
  <c r="F701" i="33"/>
  <c r="F582" i="33"/>
  <c r="F932" i="33"/>
  <c r="F848" i="33"/>
  <c r="F818" i="33"/>
  <c r="F755" i="33"/>
  <c r="F1001" i="33"/>
  <c r="F751" i="33"/>
  <c r="F639" i="33"/>
  <c r="F631" i="33"/>
  <c r="F862" i="33"/>
  <c r="F660" i="33"/>
  <c r="F1051" i="33"/>
  <c r="F892" i="33"/>
  <c r="F1033" i="33"/>
  <c r="F978" i="33"/>
  <c r="F628" i="33"/>
  <c r="F617" i="33"/>
  <c r="F846" i="33"/>
  <c r="F1012" i="33"/>
  <c r="F922" i="33"/>
  <c r="F832" i="33"/>
  <c r="F813" i="33"/>
  <c r="F909" i="33"/>
  <c r="F610" i="33"/>
  <c r="F720" i="33"/>
  <c r="F1048" i="33"/>
  <c r="F1057" i="33"/>
  <c r="F743" i="33"/>
  <c r="F782" i="33"/>
  <c r="F624" i="33"/>
  <c r="F789" i="33"/>
  <c r="F553" i="33"/>
  <c r="F906" i="33"/>
  <c r="F710" i="33"/>
  <c r="F698" i="33"/>
  <c r="F571" i="33"/>
  <c r="F859" i="33"/>
  <c r="F737" i="33"/>
  <c r="F627" i="33"/>
  <c r="F568" i="33"/>
  <c r="F592" i="33"/>
  <c r="F1047" i="33"/>
  <c r="F851" i="33"/>
  <c r="F947" i="33"/>
  <c r="F916" i="33"/>
  <c r="F750" i="33"/>
  <c r="F849" i="33"/>
  <c r="F923" i="33"/>
  <c r="F573" i="33"/>
  <c r="F559" i="33"/>
  <c r="F636" i="33"/>
  <c r="F983" i="33"/>
  <c r="F692" i="33"/>
  <c r="F756" i="33"/>
  <c r="F927" i="33"/>
  <c r="F908" i="33"/>
  <c r="F725" i="33"/>
  <c r="F551" i="33"/>
  <c r="F667" i="33"/>
  <c r="F643" i="33"/>
  <c r="F600" i="33"/>
  <c r="F996" i="33"/>
  <c r="F576" i="33"/>
  <c r="F718" i="33"/>
  <c r="F970" i="33"/>
  <c r="F691" i="33"/>
  <c r="F771" i="33"/>
  <c r="F552" i="33"/>
  <c r="F730" i="33"/>
  <c r="F904" i="33"/>
  <c r="F928" i="33"/>
  <c r="F735" i="33"/>
  <c r="F833" i="33"/>
  <c r="F731" i="33"/>
  <c r="F644" i="33"/>
  <c r="F684" i="33"/>
  <c r="F926" i="33"/>
  <c r="F794" i="33"/>
  <c r="F594" i="33"/>
  <c r="F693" i="33"/>
  <c r="B5" i="34"/>
  <c r="C38" i="23"/>
  <c r="C39" i="23" s="1"/>
  <c r="C210" i="23" s="1"/>
  <c r="C211" i="23" s="1"/>
  <c r="E537" i="33"/>
  <c r="B6" i="34"/>
  <c r="Q545" i="33"/>
  <c r="B246" i="23"/>
  <c r="E38" i="23"/>
  <c r="E39" i="23" s="1"/>
  <c r="E115" i="23" s="1"/>
  <c r="E116" i="23" s="1"/>
  <c r="J543" i="33" s="1"/>
  <c r="C237" i="23"/>
  <c r="C238" i="23" s="1"/>
  <c r="B216" i="23"/>
  <c r="B217" i="23" s="1"/>
  <c r="B221" i="23" s="1"/>
  <c r="D38" i="23"/>
  <c r="D39" i="23" s="1"/>
  <c r="D177" i="23" s="1"/>
  <c r="D178" i="23" s="1"/>
  <c r="J13" i="33" s="1"/>
  <c r="C216" i="23"/>
  <c r="C217" i="23" s="1"/>
  <c r="C221" i="23" s="1"/>
  <c r="D246" i="23"/>
  <c r="B46" i="34"/>
  <c r="D232" i="23"/>
  <c r="D233" i="23" s="1"/>
  <c r="D234" i="23" s="1"/>
  <c r="D236" i="23" s="1"/>
  <c r="C269" i="23"/>
  <c r="B215" i="23"/>
  <c r="H227" i="23"/>
  <c r="B38" i="23"/>
  <c r="B39" i="23" s="1"/>
  <c r="B115" i="23" s="1"/>
  <c r="B116" i="23" s="1"/>
  <c r="B47" i="34"/>
  <c r="L6" i="33"/>
  <c r="J6" i="33"/>
  <c r="K6" i="33"/>
  <c r="B5" i="33"/>
  <c r="B6" i="33" s="1"/>
  <c r="D237" i="23"/>
  <c r="D238" i="23" s="1"/>
  <c r="B237" i="23"/>
  <c r="B238" i="23" s="1"/>
  <c r="Q12" i="33"/>
  <c r="C232" i="23"/>
  <c r="Q542" i="33"/>
  <c r="E56" i="23"/>
  <c r="E55" i="23"/>
  <c r="E121" i="23"/>
  <c r="E120" i="23"/>
  <c r="I227" i="23"/>
  <c r="C215" i="23"/>
  <c r="B55" i="23"/>
  <c r="B56" i="23"/>
  <c r="K539" i="33"/>
  <c r="J539" i="33"/>
  <c r="L539" i="33"/>
  <c r="B269" i="23"/>
  <c r="D120" i="23"/>
  <c r="D121" i="23"/>
  <c r="D56" i="23"/>
  <c r="D55" i="23"/>
  <c r="E237" i="23"/>
  <c r="E238" i="23" s="1"/>
  <c r="B45" i="34"/>
  <c r="C246" i="23"/>
  <c r="X19" i="2"/>
  <c r="I46" i="2"/>
  <c r="X43" i="2"/>
  <c r="AH22" i="2"/>
  <c r="J536" i="33"/>
  <c r="J2" i="33"/>
  <c r="C125" i="23"/>
  <c r="B187" i="23"/>
  <c r="E60" i="23"/>
  <c r="C124" i="23"/>
  <c r="B188" i="23"/>
  <c r="B125" i="23"/>
  <c r="C59" i="23"/>
  <c r="C188" i="23"/>
  <c r="E124" i="23"/>
  <c r="D60" i="23"/>
  <c r="E125" i="23"/>
  <c r="C60" i="23"/>
  <c r="C187" i="23"/>
  <c r="E59" i="23"/>
  <c r="D125" i="23"/>
  <c r="B60" i="23"/>
  <c r="J4" i="33" l="1"/>
  <c r="K13" i="33" s="1"/>
  <c r="J537" i="33"/>
  <c r="B210" i="23"/>
  <c r="B211" i="23" s="1"/>
  <c r="B177" i="23"/>
  <c r="B178" i="23" s="1"/>
  <c r="C177" i="23"/>
  <c r="C178" i="23" s="1"/>
  <c r="C115" i="23"/>
  <c r="C116" i="23" s="1"/>
  <c r="J544" i="33"/>
  <c r="D115" i="23"/>
  <c r="D116" i="23" s="1"/>
  <c r="J10" i="33" s="1"/>
  <c r="E126" i="23"/>
  <c r="E129" i="23"/>
  <c r="D62" i="23"/>
  <c r="D73" i="23" s="1"/>
  <c r="D111" i="23" s="1"/>
  <c r="D112" i="23" s="1"/>
  <c r="E127" i="23"/>
  <c r="E138" i="23" s="1"/>
  <c r="E173" i="23" s="1"/>
  <c r="E174" i="23" s="1"/>
  <c r="B190" i="23"/>
  <c r="B202" i="23" s="1"/>
  <c r="B206" i="23" s="1"/>
  <c r="B207" i="23" s="1"/>
  <c r="D127" i="23"/>
  <c r="D138" i="23" s="1"/>
  <c r="D173" i="23" s="1"/>
  <c r="D174" i="23" s="1"/>
  <c r="E61" i="23"/>
  <c r="E64" i="23"/>
  <c r="B194" i="23"/>
  <c r="B189" i="23"/>
  <c r="B127" i="23"/>
  <c r="B138" i="23" s="1"/>
  <c r="B173" i="23" s="1"/>
  <c r="B174" i="23" s="1"/>
  <c r="E62" i="23"/>
  <c r="E73" i="23" s="1"/>
  <c r="E111" i="23" s="1"/>
  <c r="E112" i="23" s="1"/>
  <c r="C127" i="23"/>
  <c r="C138" i="23" s="1"/>
  <c r="C173" i="23" s="1"/>
  <c r="C174" i="23" s="1"/>
  <c r="C126" i="23"/>
  <c r="C129" i="23"/>
  <c r="B62" i="23"/>
  <c r="B73" i="23" s="1"/>
  <c r="B111" i="23" s="1"/>
  <c r="B112" i="23" s="1"/>
  <c r="C194" i="23"/>
  <c r="C189" i="23"/>
  <c r="C62" i="23"/>
  <c r="C73" i="23" s="1"/>
  <c r="C111" i="23" s="1"/>
  <c r="C112" i="23" s="1"/>
  <c r="C190" i="23"/>
  <c r="C202" i="23" s="1"/>
  <c r="C206" i="23" s="1"/>
  <c r="C207" i="23" s="1"/>
  <c r="C61" i="23"/>
  <c r="C64" i="23"/>
  <c r="B233" i="23"/>
  <c r="B234" i="23" s="1"/>
  <c r="H226" i="23" s="1"/>
  <c r="H229" i="23" s="1"/>
  <c r="B270" i="23"/>
  <c r="B272" i="23" s="1"/>
  <c r="D281" i="23" s="1"/>
  <c r="J15" i="33" s="1"/>
  <c r="L594" i="33"/>
  <c r="L937" i="33"/>
  <c r="L1012" i="33"/>
  <c r="L1038" i="33"/>
  <c r="L940" i="33"/>
  <c r="L716" i="33"/>
  <c r="L970" i="33"/>
  <c r="L906" i="33"/>
  <c r="L694" i="33"/>
  <c r="L948" i="33"/>
  <c r="L872" i="33"/>
  <c r="L1037" i="33"/>
  <c r="L953" i="33"/>
  <c r="L1013" i="33"/>
  <c r="L702" i="33"/>
  <c r="L793" i="33"/>
  <c r="L1036" i="33"/>
  <c r="L1032" i="33"/>
  <c r="L1025" i="33"/>
  <c r="L878" i="33"/>
  <c r="L822" i="33"/>
  <c r="L980" i="33"/>
  <c r="L642" i="33"/>
  <c r="L791" i="33"/>
  <c r="L673" i="33"/>
  <c r="L818" i="33"/>
  <c r="L1046" i="33"/>
  <c r="L904" i="33"/>
  <c r="L1062" i="33"/>
  <c r="L563" i="33"/>
  <c r="L663" i="33"/>
  <c r="L644" i="33"/>
  <c r="L944" i="33"/>
  <c r="L891" i="33"/>
  <c r="L608" i="33"/>
  <c r="L886" i="33"/>
  <c r="L918" i="33"/>
  <c r="L803" i="33"/>
  <c r="L967" i="33"/>
  <c r="L972" i="33"/>
  <c r="L677" i="33"/>
  <c r="L782" i="33"/>
  <c r="L580" i="33"/>
  <c r="L831" i="33"/>
  <c r="L564" i="33"/>
  <c r="L676" i="33"/>
  <c r="L1022" i="33"/>
  <c r="L1014" i="33"/>
  <c r="L1015" i="33"/>
  <c r="L855" i="33"/>
  <c r="L687" i="33"/>
  <c r="L638" i="33"/>
  <c r="L869" i="33"/>
  <c r="L1009" i="33"/>
  <c r="L603" i="33"/>
  <c r="L773" i="33"/>
  <c r="L1049" i="33"/>
  <c r="L722" i="33"/>
  <c r="L882" i="33"/>
  <c r="L565" i="33"/>
  <c r="L863" i="33"/>
  <c r="L568" i="33"/>
  <c r="L842" i="33"/>
  <c r="L737" i="33"/>
  <c r="L939" i="33"/>
  <c r="L952" i="33"/>
  <c r="L620" i="33"/>
  <c r="L923" i="33"/>
  <c r="L924" i="33"/>
  <c r="L704" i="33"/>
  <c r="L911" i="33"/>
  <c r="L866" i="33"/>
  <c r="L593" i="33"/>
  <c r="L1016" i="33"/>
  <c r="L567" i="33"/>
  <c r="L692" i="33"/>
  <c r="L672" i="33"/>
  <c r="L735" i="33"/>
  <c r="L778" i="33"/>
  <c r="L624" i="33"/>
  <c r="L656" i="33"/>
  <c r="L612" i="33"/>
  <c r="L684" i="33"/>
  <c r="L734" i="33"/>
  <c r="L583" i="33"/>
  <c r="L752" i="33"/>
  <c r="L653" i="33"/>
  <c r="L795" i="33"/>
  <c r="L1017" i="33"/>
  <c r="L632" i="33"/>
  <c r="L827" i="33"/>
  <c r="L1020" i="33"/>
  <c r="L701" i="33"/>
  <c r="L1002" i="33"/>
  <c r="L699" i="33"/>
  <c r="L756" i="33"/>
  <c r="L597" i="33"/>
  <c r="L591" i="33"/>
  <c r="L610" i="33"/>
  <c r="L997" i="33"/>
  <c r="L1060" i="33"/>
  <c r="L986" i="33"/>
  <c r="L602" i="33"/>
  <c r="L1003" i="33"/>
  <c r="L851" i="33"/>
  <c r="L598" i="33"/>
  <c r="L814" i="33"/>
  <c r="L941" i="33"/>
  <c r="L963" i="33"/>
  <c r="L697" i="33"/>
  <c r="L771" i="33"/>
  <c r="L577" i="33"/>
  <c r="L988" i="33"/>
  <c r="L668" i="33"/>
  <c r="L643" i="33"/>
  <c r="L824" i="33"/>
  <c r="L669" i="33"/>
  <c r="L733" i="33"/>
  <c r="L569" i="33"/>
  <c r="L759" i="33"/>
  <c r="L729" i="33"/>
  <c r="L966" i="33"/>
  <c r="L560" i="33"/>
  <c r="L685" i="33"/>
  <c r="L554" i="33"/>
  <c r="L957" i="33"/>
  <c r="L846" i="33"/>
  <c r="L903" i="33"/>
  <c r="L871" i="33"/>
  <c r="L828" i="33"/>
  <c r="L743" i="33"/>
  <c r="L619" i="33"/>
  <c r="L651" i="33"/>
  <c r="L770" i="33"/>
  <c r="L977" i="33"/>
  <c r="L557" i="33"/>
  <c r="L896" i="33"/>
  <c r="L839" i="33"/>
  <c r="L847" i="33"/>
  <c r="L877" i="33"/>
  <c r="L745" i="33"/>
  <c r="L835" i="33"/>
  <c r="L615" i="33"/>
  <c r="L726" i="33"/>
  <c r="L712" i="33"/>
  <c r="L618" i="33"/>
  <c r="L606" i="33"/>
  <c r="L739" i="33"/>
  <c r="L1040" i="33"/>
  <c r="L995" i="33"/>
  <c r="L707" i="33"/>
  <c r="L968" i="33"/>
  <c r="L974" i="33"/>
  <c r="L768" i="33"/>
  <c r="L1019" i="33"/>
  <c r="L1011" i="33"/>
  <c r="L623" i="33"/>
  <c r="L834" i="33"/>
  <c r="L864" i="33"/>
  <c r="L754" i="33"/>
  <c r="L586" i="33"/>
  <c r="L817" i="33"/>
  <c r="L884" i="33"/>
  <c r="L832" i="33"/>
  <c r="L590" i="33"/>
  <c r="L1006" i="33"/>
  <c r="L646" i="33"/>
  <c r="L852" i="33"/>
  <c r="L698" i="33"/>
  <c r="L837" i="33"/>
  <c r="L935" i="33"/>
  <c r="L809" i="33"/>
  <c r="L775" i="33"/>
  <c r="L1028" i="33"/>
  <c r="L936" i="33"/>
  <c r="L648" i="33"/>
  <c r="L857" i="33"/>
  <c r="L555" i="33"/>
  <c r="L1008" i="33"/>
  <c r="L958" i="33"/>
  <c r="L571" i="33"/>
  <c r="L686" i="33"/>
  <c r="L802" i="33"/>
  <c r="L696" i="33"/>
  <c r="L876" i="33"/>
  <c r="L688" i="33"/>
  <c r="L1055" i="33"/>
  <c r="L927" i="33"/>
  <c r="L859" i="33"/>
  <c r="L731" i="33"/>
  <c r="L951" i="33"/>
  <c r="L893" i="33"/>
  <c r="L683" i="33"/>
  <c r="L933" i="33"/>
  <c r="L959" i="33"/>
  <c r="L821" i="33"/>
  <c r="L654" i="33"/>
  <c r="L753" i="33"/>
  <c r="L946" i="33"/>
  <c r="L865" i="33"/>
  <c r="L570" i="33"/>
  <c r="L945" i="33"/>
  <c r="L728" i="33"/>
  <c r="L800" i="33"/>
  <c r="L912" i="33"/>
  <c r="L801" i="33"/>
  <c r="L897" i="33"/>
  <c r="L990" i="33"/>
  <c r="L899" i="33"/>
  <c r="L780" i="33"/>
  <c r="L975" i="33"/>
  <c r="L943" i="33"/>
  <c r="L964" i="33"/>
  <c r="L637" i="33"/>
  <c r="L652" i="33"/>
  <c r="L819" i="33"/>
  <c r="L926" i="33"/>
  <c r="L807" i="33"/>
  <c r="L920" i="33"/>
  <c r="L749" i="33"/>
  <c r="L613" i="33"/>
  <c r="L576" i="33"/>
  <c r="L558" i="33"/>
  <c r="L757" i="33"/>
  <c r="L721" i="33"/>
  <c r="L1021" i="33"/>
  <c r="L556" i="33"/>
  <c r="L881" i="33"/>
  <c r="L1048" i="33"/>
  <c r="L790" i="33"/>
  <c r="L765" i="33"/>
  <c r="L812" i="33"/>
  <c r="L961" i="33"/>
  <c r="L1058" i="33"/>
  <c r="L764" i="33"/>
  <c r="L908" i="33"/>
  <c r="L662" i="33"/>
  <c r="L989" i="33"/>
  <c r="L575" i="33"/>
  <c r="L898" i="33"/>
  <c r="L1007" i="33"/>
  <c r="L875" i="33"/>
  <c r="L1041" i="33"/>
  <c r="L746" i="33"/>
  <c r="L841" i="33"/>
  <c r="L736" i="33"/>
  <c r="L658" i="33"/>
  <c r="L823" i="33"/>
  <c r="L1024" i="33"/>
  <c r="L998" i="33"/>
  <c r="L1045" i="33"/>
  <c r="L900" i="33"/>
  <c r="L928" i="33"/>
  <c r="L969" i="33"/>
  <c r="L572" i="33"/>
  <c r="L758" i="33"/>
  <c r="L629" i="33"/>
  <c r="L985" i="33"/>
  <c r="L695" i="33"/>
  <c r="L1056" i="33"/>
  <c r="L772" i="33"/>
  <c r="L915" i="33"/>
  <c r="L849" i="33"/>
  <c r="L762" i="33"/>
  <c r="L984" i="33"/>
  <c r="L890" i="33"/>
  <c r="L1029" i="33"/>
  <c r="L713" i="33"/>
  <c r="L973" i="33"/>
  <c r="L587" i="33"/>
  <c r="L916" i="33"/>
  <c r="L854" i="33"/>
  <c r="L690" i="33"/>
  <c r="L708" i="33"/>
  <c r="L909" i="33"/>
  <c r="L784" i="33"/>
  <c r="L682" i="33"/>
  <c r="L976" i="33"/>
  <c r="L788" i="33"/>
  <c r="L1053" i="33"/>
  <c r="L786" i="33"/>
  <c r="L1043" i="33"/>
  <c r="L874" i="33"/>
  <c r="L628" i="33"/>
  <c r="L582" i="33"/>
  <c r="L738" i="33"/>
  <c r="L830" i="33"/>
  <c r="L779" i="33"/>
  <c r="L671" i="33"/>
  <c r="L880" i="33"/>
  <c r="L798" i="33"/>
  <c r="L861" i="33"/>
  <c r="L829" i="33"/>
  <c r="L895" i="33"/>
  <c r="L879" i="33"/>
  <c r="L650" i="33"/>
  <c r="L732" i="33"/>
  <c r="L860" i="33"/>
  <c r="L717" i="33"/>
  <c r="L885" i="33"/>
  <c r="L815" i="33"/>
  <c r="L1005" i="33"/>
  <c r="L633" i="33"/>
  <c r="L850" i="33"/>
  <c r="L922" i="33"/>
  <c r="L661" i="33"/>
  <c r="L870" i="33"/>
  <c r="L811" i="33"/>
  <c r="L1004" i="33"/>
  <c r="L588" i="33"/>
  <c r="L1018" i="33"/>
  <c r="L751" i="33"/>
  <c r="L741" i="33"/>
  <c r="L763" i="33"/>
  <c r="L962" i="33"/>
  <c r="L1027" i="33"/>
  <c r="L723" i="33"/>
  <c r="L979" i="33"/>
  <c r="L965" i="33"/>
  <c r="L931" i="33"/>
  <c r="L913" i="33"/>
  <c r="L808" i="33"/>
  <c r="L720" i="33"/>
  <c r="L787" i="33"/>
  <c r="L639" i="33"/>
  <c r="L766" i="33"/>
  <c r="L934" i="33"/>
  <c r="L930" i="33"/>
  <c r="B537" i="33"/>
  <c r="L783" i="33"/>
  <c r="L611" i="33"/>
  <c r="L691" i="33"/>
  <c r="L675" i="33"/>
  <c r="L750" i="33"/>
  <c r="L796" i="33"/>
  <c r="L769" i="33"/>
  <c r="L1054" i="33"/>
  <c r="L674" i="33"/>
  <c r="L833" i="33"/>
  <c r="L1052" i="33"/>
  <c r="L954" i="33"/>
  <c r="L901" i="33"/>
  <c r="L640" i="33"/>
  <c r="L553" i="33"/>
  <c r="L978" i="33"/>
  <c r="L574" i="33"/>
  <c r="L600" i="33"/>
  <c r="L705" i="33"/>
  <c r="L595" i="33"/>
  <c r="L724" i="33"/>
  <c r="L999" i="33"/>
  <c r="L848" i="33"/>
  <c r="L777" i="33"/>
  <c r="L776" i="33"/>
  <c r="L949" i="33"/>
  <c r="L867" i="33"/>
  <c r="L1051" i="33"/>
  <c r="L950" i="33"/>
  <c r="L856" i="33"/>
  <c r="L617" i="33"/>
  <c r="L719" i="33"/>
  <c r="L1010" i="33"/>
  <c r="L960" i="33"/>
  <c r="L1035" i="33"/>
  <c r="L566" i="33"/>
  <c r="L715" i="33"/>
  <c r="L607" i="33"/>
  <c r="L862" i="33"/>
  <c r="L649" i="33"/>
  <c r="L622" i="33"/>
  <c r="L917" i="33"/>
  <c r="L844" i="33"/>
  <c r="L747" i="33"/>
  <c r="L714" i="33"/>
  <c r="L647" i="33"/>
  <c r="L1047" i="33"/>
  <c r="L710" i="33"/>
  <c r="L983" i="33"/>
  <c r="L825" i="33"/>
  <c r="L991" i="33"/>
  <c r="L914" i="33"/>
  <c r="L820" i="33"/>
  <c r="L609" i="33"/>
  <c r="L892" i="33"/>
  <c r="L655" i="33"/>
  <c r="L584" i="33"/>
  <c r="L711" i="33"/>
  <c r="L888" i="33"/>
  <c r="L552" i="33"/>
  <c r="L562" i="33"/>
  <c r="L947" i="33"/>
  <c r="L981" i="33"/>
  <c r="L681" i="33"/>
  <c r="L1001" i="33"/>
  <c r="L604" i="33"/>
  <c r="L919" i="33"/>
  <c r="L799" i="33"/>
  <c r="L1034" i="33"/>
  <c r="L971" i="33"/>
  <c r="L1059" i="33"/>
  <c r="L645" i="33"/>
  <c r="L1057" i="33"/>
  <c r="L748" i="33"/>
  <c r="L792" i="33"/>
  <c r="L992" i="33"/>
  <c r="L760" i="33"/>
  <c r="L589" i="33"/>
  <c r="L641" i="33"/>
  <c r="L902" i="33"/>
  <c r="L873" i="33"/>
  <c r="L742" i="33"/>
  <c r="L1033" i="33"/>
  <c r="L883" i="33"/>
  <c r="L761" i="33"/>
  <c r="L982" i="33"/>
  <c r="L781" i="33"/>
  <c r="L1026" i="33"/>
  <c r="L718" i="33"/>
  <c r="L994" i="33"/>
  <c r="L679" i="33"/>
  <c r="L625" i="33"/>
  <c r="L956" i="33"/>
  <c r="L689" i="33"/>
  <c r="L843" i="33"/>
  <c r="L578" i="33"/>
  <c r="L581" i="33"/>
  <c r="L551" i="33"/>
  <c r="L666" i="33"/>
  <c r="L665" i="33"/>
  <c r="L826" i="33"/>
  <c r="L813" i="33"/>
  <c r="L634" i="33"/>
  <c r="L1042" i="33"/>
  <c r="L887" i="33"/>
  <c r="L621" i="33"/>
  <c r="L767" i="33"/>
  <c r="L1000" i="33"/>
  <c r="L845" i="33"/>
  <c r="L804" i="33"/>
  <c r="L660" i="33"/>
  <c r="L868" i="33"/>
  <c r="L703" i="33"/>
  <c r="L700" i="33"/>
  <c r="L725" i="33"/>
  <c r="L559" i="33"/>
  <c r="L785" i="33"/>
  <c r="L659" i="33"/>
  <c r="L601" i="33"/>
  <c r="L921" i="33"/>
  <c r="L774" i="33"/>
  <c r="L1044" i="33"/>
  <c r="L740" i="33"/>
  <c r="L925" i="33"/>
  <c r="L755" i="33"/>
  <c r="L932" i="33"/>
  <c r="L836" i="33"/>
  <c r="L727" i="33"/>
  <c r="L670" i="33"/>
  <c r="L806" i="33"/>
  <c r="L840" i="33"/>
  <c r="L635" i="33"/>
  <c r="L627" i="33"/>
  <c r="L789" i="33"/>
  <c r="L680" i="33"/>
  <c r="L907" i="33"/>
  <c r="L858" i="33"/>
  <c r="L667" i="33"/>
  <c r="L636" i="33"/>
  <c r="L996" i="33"/>
  <c r="L894" i="33"/>
  <c r="L744" i="33"/>
  <c r="L853" i="33"/>
  <c r="L987" i="33"/>
  <c r="L709" i="33"/>
  <c r="L805" i="33"/>
  <c r="L1050" i="33"/>
  <c r="L1023" i="33"/>
  <c r="L938" i="33"/>
  <c r="L905" i="33"/>
  <c r="L678" i="33"/>
  <c r="L816" i="33"/>
  <c r="L942" i="33"/>
  <c r="L605" i="33"/>
  <c r="L573" i="33"/>
  <c r="L910" i="33"/>
  <c r="L794" i="33"/>
  <c r="L1031" i="33"/>
  <c r="L706" i="33"/>
  <c r="L1030" i="33"/>
  <c r="L657" i="33"/>
  <c r="L599" i="33"/>
  <c r="L592" i="33"/>
  <c r="L993" i="33"/>
  <c r="L616" i="33"/>
  <c r="L664" i="33"/>
  <c r="L1061" i="33"/>
  <c r="L929" i="33"/>
  <c r="L579" i="33"/>
  <c r="L797" i="33"/>
  <c r="L631" i="33"/>
  <c r="L596" i="33"/>
  <c r="L626" i="33"/>
  <c r="L630" i="33"/>
  <c r="L1039" i="33"/>
  <c r="L955" i="33"/>
  <c r="L693" i="33"/>
  <c r="L730" i="33"/>
  <c r="L889" i="33"/>
  <c r="L585" i="33"/>
  <c r="L614" i="33"/>
  <c r="L561" i="33"/>
  <c r="L810" i="33"/>
  <c r="L838" i="33"/>
  <c r="E51" i="34"/>
  <c r="E69" i="34"/>
  <c r="E66" i="34"/>
  <c r="E48" i="34"/>
  <c r="E49" i="34"/>
  <c r="E47" i="34"/>
  <c r="E65" i="34"/>
  <c r="E71" i="34"/>
  <c r="E72" i="34"/>
  <c r="E53" i="34"/>
  <c r="E68" i="34"/>
  <c r="E70" i="34"/>
  <c r="E67" i="34"/>
  <c r="E54" i="34"/>
  <c r="E50" i="34"/>
  <c r="E52" i="34"/>
  <c r="M544" i="33"/>
  <c r="M543" i="33"/>
  <c r="E177" i="23"/>
  <c r="E178" i="23" s="1"/>
  <c r="J546" i="33" s="1"/>
  <c r="C233" i="23"/>
  <c r="C234" i="23" s="1"/>
  <c r="I226" i="23" s="1"/>
  <c r="I229" i="23" s="1"/>
  <c r="C270" i="23"/>
  <c r="C272" i="23" s="1"/>
  <c r="E281" i="23" s="1"/>
  <c r="J548" i="33" s="1"/>
  <c r="L346" i="33"/>
  <c r="L294" i="33"/>
  <c r="L215" i="33"/>
  <c r="L403" i="33"/>
  <c r="L396" i="33"/>
  <c r="M396" i="33" s="1"/>
  <c r="L169" i="33"/>
  <c r="M169" i="33" s="1"/>
  <c r="L286" i="33"/>
  <c r="L474" i="33"/>
  <c r="L110" i="33"/>
  <c r="L254" i="33"/>
  <c r="L285" i="33"/>
  <c r="L316" i="33"/>
  <c r="L335" i="33"/>
  <c r="L155" i="33"/>
  <c r="L144" i="33"/>
  <c r="L39" i="33"/>
  <c r="L188" i="33"/>
  <c r="M188" i="33" s="1"/>
  <c r="L116" i="33"/>
  <c r="M116" i="33" s="1"/>
  <c r="L516" i="33"/>
  <c r="L414" i="33"/>
  <c r="L150" i="33"/>
  <c r="L491" i="33"/>
  <c r="L189" i="33"/>
  <c r="L60" i="33"/>
  <c r="L96" i="33"/>
  <c r="L345" i="33"/>
  <c r="L129" i="33"/>
  <c r="L95" i="33"/>
  <c r="L462" i="33"/>
  <c r="M462" i="33" s="1"/>
  <c r="L214" i="33"/>
  <c r="M214" i="33" s="1"/>
  <c r="L112" i="33"/>
  <c r="L385" i="33"/>
  <c r="L348" i="33"/>
  <c r="L97" i="33"/>
  <c r="L308" i="33"/>
  <c r="L228" i="33"/>
  <c r="L384" i="33"/>
  <c r="L471" i="33"/>
  <c r="L100" i="33"/>
  <c r="L56" i="33"/>
  <c r="L153" i="33"/>
  <c r="M153" i="33" s="1"/>
  <c r="L325" i="33"/>
  <c r="M325" i="33" s="1"/>
  <c r="L512" i="33"/>
  <c r="L194" i="33"/>
  <c r="L313" i="33"/>
  <c r="L274" i="33"/>
  <c r="L273" i="33"/>
  <c r="L453" i="33"/>
  <c r="L79" i="33"/>
  <c r="L489" i="33"/>
  <c r="L409" i="33"/>
  <c r="L291" i="33"/>
  <c r="L361" i="33"/>
  <c r="M361" i="33" s="1"/>
  <c r="L264" i="33"/>
  <c r="M264" i="33" s="1"/>
  <c r="L493" i="33"/>
  <c r="L262" i="33"/>
  <c r="L142" i="33"/>
  <c r="L451" i="33"/>
  <c r="L31" i="33"/>
  <c r="L416" i="33"/>
  <c r="L225" i="33"/>
  <c r="L91" i="33"/>
  <c r="L137" i="33"/>
  <c r="L236" i="33"/>
  <c r="L463" i="33"/>
  <c r="M463" i="33" s="1"/>
  <c r="L164" i="33"/>
  <c r="M164" i="33" s="1"/>
  <c r="L68" i="33"/>
  <c r="L282" i="33"/>
  <c r="L33" i="33"/>
  <c r="L424" i="33"/>
  <c r="L269" i="33"/>
  <c r="L252" i="33"/>
  <c r="L199" i="33"/>
  <c r="M199" i="33" s="1"/>
  <c r="L510" i="33"/>
  <c r="L89" i="33"/>
  <c r="L224" i="33"/>
  <c r="L247" i="33"/>
  <c r="M247" i="33" s="1"/>
  <c r="L45" i="33"/>
  <c r="M45" i="33" s="1"/>
  <c r="L165" i="33"/>
  <c r="L162" i="33"/>
  <c r="L468" i="33"/>
  <c r="L200" i="33"/>
  <c r="L57" i="33"/>
  <c r="L83" i="33"/>
  <c r="L265" i="33"/>
  <c r="M265" i="33" s="1"/>
  <c r="L392" i="33"/>
  <c r="L437" i="33"/>
  <c r="L281" i="33"/>
  <c r="L367" i="33"/>
  <c r="M367" i="33" s="1"/>
  <c r="L76" i="33"/>
  <c r="M76" i="33" s="1"/>
  <c r="L337" i="33"/>
  <c r="M337" i="33" s="1"/>
  <c r="L277" i="33"/>
  <c r="L263" i="33"/>
  <c r="L341" i="33"/>
  <c r="L492" i="33"/>
  <c r="L350" i="33"/>
  <c r="L41" i="33"/>
  <c r="M41" i="33" s="1"/>
  <c r="L230" i="33"/>
  <c r="L511" i="33"/>
  <c r="L232" i="33"/>
  <c r="M232" i="33" s="1"/>
  <c r="L86" i="33"/>
  <c r="M86" i="33" s="1"/>
  <c r="L183" i="33"/>
  <c r="M183" i="33" s="1"/>
  <c r="L268" i="33"/>
  <c r="M268" i="33" s="1"/>
  <c r="L366" i="33"/>
  <c r="L99" i="33"/>
  <c r="L217" i="33"/>
  <c r="L459" i="33"/>
  <c r="L61" i="33"/>
  <c r="L261" i="33"/>
  <c r="M261" i="33" s="1"/>
  <c r="L496" i="33"/>
  <c r="L240" i="33"/>
  <c r="L363" i="33"/>
  <c r="M363" i="33" s="1"/>
  <c r="L431" i="33"/>
  <c r="M431" i="33" s="1"/>
  <c r="L448" i="33"/>
  <c r="M448" i="33" s="1"/>
  <c r="L74" i="33"/>
  <c r="M74" i="33" s="1"/>
  <c r="L30" i="33"/>
  <c r="L122" i="33"/>
  <c r="L507" i="33"/>
  <c r="M507" i="33" s="1"/>
  <c r="L293" i="33"/>
  <c r="L65" i="33"/>
  <c r="L148" i="33"/>
  <c r="M148" i="33" s="1"/>
  <c r="L218" i="33"/>
  <c r="L387" i="33"/>
  <c r="L490" i="33"/>
  <c r="M490" i="33" s="1"/>
  <c r="L115" i="33"/>
  <c r="M115" i="33" s="1"/>
  <c r="L326" i="33"/>
  <c r="M326" i="33" s="1"/>
  <c r="L71" i="33"/>
  <c r="M71" i="33" s="1"/>
  <c r="L51" i="33"/>
  <c r="L151" i="33"/>
  <c r="L234" i="33"/>
  <c r="M234" i="33" s="1"/>
  <c r="L80" i="33"/>
  <c r="L473" i="33"/>
  <c r="L480" i="33"/>
  <c r="M480" i="33" s="1"/>
  <c r="L209" i="33"/>
  <c r="L287" i="33"/>
  <c r="L258" i="33"/>
  <c r="M258" i="33" s="1"/>
  <c r="L130" i="33"/>
  <c r="M130" i="33" s="1"/>
  <c r="L458" i="33"/>
  <c r="M458" i="33" s="1"/>
  <c r="L324" i="33"/>
  <c r="M324" i="33" s="1"/>
  <c r="L405" i="33"/>
  <c r="L425" i="33"/>
  <c r="L139" i="33"/>
  <c r="M139" i="33" s="1"/>
  <c r="L434" i="33"/>
  <c r="L47" i="33"/>
  <c r="L171" i="33"/>
  <c r="M171" i="33" s="1"/>
  <c r="L457" i="33"/>
  <c r="L121" i="33"/>
  <c r="M121" i="33" s="1"/>
  <c r="L82" i="33"/>
  <c r="M82" i="33" s="1"/>
  <c r="L275" i="33"/>
  <c r="M275" i="33" s="1"/>
  <c r="L395" i="33"/>
  <c r="M395" i="33" s="1"/>
  <c r="L372" i="33"/>
  <c r="M372" i="33" s="1"/>
  <c r="L72" i="33"/>
  <c r="M72" i="33" s="1"/>
  <c r="L202" i="33"/>
  <c r="L290" i="33"/>
  <c r="M290" i="33" s="1"/>
  <c r="L126" i="33"/>
  <c r="L320" i="33"/>
  <c r="L135" i="33"/>
  <c r="M135" i="33" s="1"/>
  <c r="L203" i="33"/>
  <c r="M203" i="33" s="1"/>
  <c r="L140" i="33"/>
  <c r="M140" i="33" s="1"/>
  <c r="L207" i="33"/>
  <c r="M207" i="33" s="1"/>
  <c r="L484" i="33"/>
  <c r="M484" i="33" s="1"/>
  <c r="L85" i="33"/>
  <c r="M85" i="33" s="1"/>
  <c r="L206" i="33"/>
  <c r="M206" i="33" s="1"/>
  <c r="L513" i="33"/>
  <c r="M513" i="33" s="1"/>
  <c r="L465" i="33"/>
  <c r="L158" i="33"/>
  <c r="M158" i="33" s="1"/>
  <c r="L276" i="33"/>
  <c r="L20" i="33"/>
  <c r="L197" i="33"/>
  <c r="M197" i="33" s="1"/>
  <c r="L172" i="33"/>
  <c r="M172" i="33" s="1"/>
  <c r="L108" i="33"/>
  <c r="M108" i="33" s="1"/>
  <c r="L212" i="33"/>
  <c r="M212" i="33" s="1"/>
  <c r="L124" i="33"/>
  <c r="M124" i="33" s="1"/>
  <c r="L421" i="33"/>
  <c r="M421" i="33" s="1"/>
  <c r="L219" i="33"/>
  <c r="M219" i="33" s="1"/>
  <c r="L117" i="33"/>
  <c r="M117" i="33" s="1"/>
  <c r="L444" i="33"/>
  <c r="L187" i="33"/>
  <c r="M187" i="33" s="1"/>
  <c r="L526" i="33"/>
  <c r="L378" i="33"/>
  <c r="L125" i="33"/>
  <c r="M125" i="33" s="1"/>
  <c r="L351" i="33"/>
  <c r="M351" i="33" s="1"/>
  <c r="L393" i="33"/>
  <c r="M393" i="33" s="1"/>
  <c r="L399" i="33"/>
  <c r="M399" i="33" s="1"/>
  <c r="L388" i="33"/>
  <c r="M388" i="33" s="1"/>
  <c r="L84" i="33"/>
  <c r="M84" i="33" s="1"/>
  <c r="L163" i="33"/>
  <c r="M163" i="33" s="1"/>
  <c r="L383" i="33"/>
  <c r="M383" i="33" s="1"/>
  <c r="L391" i="33"/>
  <c r="L329" i="33"/>
  <c r="M329" i="33" s="1"/>
  <c r="L192" i="33"/>
  <c r="L447" i="33"/>
  <c r="L173" i="33"/>
  <c r="M173" i="33" s="1"/>
  <c r="L180" i="33"/>
  <c r="M180" i="33" s="1"/>
  <c r="L472" i="33"/>
  <c r="M472" i="33" s="1"/>
  <c r="L373" i="33"/>
  <c r="M373" i="33" s="1"/>
  <c r="L185" i="33"/>
  <c r="M185" i="33" s="1"/>
  <c r="L413" i="33"/>
  <c r="M413" i="33" s="1"/>
  <c r="L352" i="33"/>
  <c r="M352" i="33" s="1"/>
  <c r="L279" i="33"/>
  <c r="M279" i="33" s="1"/>
  <c r="L382" i="33"/>
  <c r="L159" i="33"/>
  <c r="M159" i="33" s="1"/>
  <c r="L103" i="33"/>
  <c r="L64" i="33"/>
  <c r="L284" i="33"/>
  <c r="M284" i="33" s="1"/>
  <c r="L390" i="33"/>
  <c r="M390" i="33" s="1"/>
  <c r="L310" i="33"/>
  <c r="M310" i="33" s="1"/>
  <c r="L358" i="33"/>
  <c r="M358" i="33" s="1"/>
  <c r="L377" i="33"/>
  <c r="M377" i="33" s="1"/>
  <c r="L241" i="33"/>
  <c r="M241" i="33" s="1"/>
  <c r="L406" i="33"/>
  <c r="M406" i="33" s="1"/>
  <c r="L478" i="33"/>
  <c r="M478" i="33" s="1"/>
  <c r="L365" i="33"/>
  <c r="B4" i="33"/>
  <c r="L210" i="33"/>
  <c r="L49" i="33"/>
  <c r="L506" i="33"/>
  <c r="M506" i="33" s="1"/>
  <c r="L428" i="33"/>
  <c r="M428" i="33" s="1"/>
  <c r="L161" i="33"/>
  <c r="M161" i="33" s="1"/>
  <c r="L70" i="33"/>
  <c r="M70" i="33" s="1"/>
  <c r="L98" i="33"/>
  <c r="M98" i="33" s="1"/>
  <c r="L147" i="33"/>
  <c r="M147" i="33" s="1"/>
  <c r="L260" i="33"/>
  <c r="M260" i="33" s="1"/>
  <c r="L304" i="33"/>
  <c r="M304" i="33" s="1"/>
  <c r="L18" i="33"/>
  <c r="L426" i="33"/>
  <c r="M426" i="33" s="1"/>
  <c r="L344" i="33"/>
  <c r="L123" i="33"/>
  <c r="L63" i="33"/>
  <c r="M63" i="33" s="1"/>
  <c r="L196" i="33"/>
  <c r="M196" i="33" s="1"/>
  <c r="L259" i="33"/>
  <c r="M259" i="33" s="1"/>
  <c r="L330" i="33"/>
  <c r="M330" i="33" s="1"/>
  <c r="L73" i="33"/>
  <c r="M73" i="33" s="1"/>
  <c r="L223" i="33"/>
  <c r="M223" i="33" s="1"/>
  <c r="L497" i="33"/>
  <c r="M497" i="33" s="1"/>
  <c r="L226" i="33"/>
  <c r="M226" i="33" s="1"/>
  <c r="L34" i="33"/>
  <c r="L48" i="33"/>
  <c r="M48" i="33" s="1"/>
  <c r="L518" i="33"/>
  <c r="L205" i="33"/>
  <c r="L132" i="33"/>
  <c r="M132" i="33" s="1"/>
  <c r="L244" i="33"/>
  <c r="M244" i="33" s="1"/>
  <c r="L170" i="33"/>
  <c r="M170" i="33" s="1"/>
  <c r="L439" i="33"/>
  <c r="M439" i="33" s="1"/>
  <c r="L146" i="33"/>
  <c r="M146" i="33" s="1"/>
  <c r="L436" i="33"/>
  <c r="M436" i="33" s="1"/>
  <c r="L381" i="33"/>
  <c r="M381" i="33" s="1"/>
  <c r="L354" i="33"/>
  <c r="M354" i="33" s="1"/>
  <c r="L370" i="33"/>
  <c r="L470" i="33"/>
  <c r="M470" i="33" s="1"/>
  <c r="L88" i="33"/>
  <c r="M88" i="33" s="1"/>
  <c r="L353" i="33"/>
  <c r="L475" i="33"/>
  <c r="M475" i="33" s="1"/>
  <c r="L216" i="33"/>
  <c r="M216" i="33" s="1"/>
  <c r="L321" i="33"/>
  <c r="M321" i="33" s="1"/>
  <c r="L460" i="33"/>
  <c r="M460" i="33" s="1"/>
  <c r="L186" i="33"/>
  <c r="M186" i="33" s="1"/>
  <c r="L27" i="33"/>
  <c r="M27" i="33" s="1"/>
  <c r="L501" i="33"/>
  <c r="M501" i="33" s="1"/>
  <c r="L220" i="33"/>
  <c r="M220" i="33" s="1"/>
  <c r="L131" i="33"/>
  <c r="L157" i="33"/>
  <c r="M157" i="33" s="1"/>
  <c r="L319" i="33"/>
  <c r="M319" i="33" s="1"/>
  <c r="L181" i="33"/>
  <c r="L455" i="33"/>
  <c r="M455" i="33" s="1"/>
  <c r="L357" i="33"/>
  <c r="M357" i="33" s="1"/>
  <c r="L107" i="33"/>
  <c r="M107" i="33" s="1"/>
  <c r="L257" i="33"/>
  <c r="M257" i="33" s="1"/>
  <c r="L379" i="33"/>
  <c r="M379" i="33" s="1"/>
  <c r="L340" i="33"/>
  <c r="M340" i="33" s="1"/>
  <c r="L94" i="33"/>
  <c r="M94" i="33" s="1"/>
  <c r="L331" i="33"/>
  <c r="M331" i="33" s="1"/>
  <c r="L114" i="33"/>
  <c r="L355" i="33"/>
  <c r="M355" i="33" s="1"/>
  <c r="L28" i="33"/>
  <c r="M28" i="33" s="1"/>
  <c r="L104" i="33"/>
  <c r="L479" i="33"/>
  <c r="M479" i="33" s="1"/>
  <c r="L288" i="33"/>
  <c r="M288" i="33" s="1"/>
  <c r="L168" i="33"/>
  <c r="M168" i="33" s="1"/>
  <c r="L242" i="33"/>
  <c r="M242" i="33" s="1"/>
  <c r="L201" i="33"/>
  <c r="M201" i="33" s="1"/>
  <c r="L502" i="33"/>
  <c r="M502" i="33" s="1"/>
  <c r="L55" i="33"/>
  <c r="M55" i="33" s="1"/>
  <c r="L296" i="33"/>
  <c r="M296" i="33" s="1"/>
  <c r="L156" i="33"/>
  <c r="L280" i="33"/>
  <c r="M280" i="33" s="1"/>
  <c r="L58" i="33"/>
  <c r="M58" i="33" s="1"/>
  <c r="L417" i="33"/>
  <c r="L300" i="33"/>
  <c r="M300" i="33" s="1"/>
  <c r="L338" i="33"/>
  <c r="M338" i="33" s="1"/>
  <c r="L410" i="33"/>
  <c r="M410" i="33" s="1"/>
  <c r="L488" i="33"/>
  <c r="M488" i="33" s="1"/>
  <c r="L69" i="33"/>
  <c r="M69" i="33" s="1"/>
  <c r="L78" i="33"/>
  <c r="M78" i="33" s="1"/>
  <c r="L271" i="33"/>
  <c r="M271" i="33" s="1"/>
  <c r="L432" i="33"/>
  <c r="M432" i="33" s="1"/>
  <c r="L435" i="33"/>
  <c r="M435" i="33" s="1"/>
  <c r="L430" i="33"/>
  <c r="M430" i="33" s="1"/>
  <c r="L328" i="33"/>
  <c r="M328" i="33" s="1"/>
  <c r="L106" i="33"/>
  <c r="M106" i="33" s="1"/>
  <c r="L134" i="33"/>
  <c r="M134" i="33" s="1"/>
  <c r="L347" i="33"/>
  <c r="M347" i="33" s="1"/>
  <c r="L423" i="33"/>
  <c r="M423" i="33" s="1"/>
  <c r="L191" i="33"/>
  <c r="M191" i="33" s="1"/>
  <c r="L239" i="33"/>
  <c r="M239" i="33" s="1"/>
  <c r="L433" i="33"/>
  <c r="M433" i="33" s="1"/>
  <c r="L248" i="33"/>
  <c r="M248" i="33" s="1"/>
  <c r="L299" i="33"/>
  <c r="M299" i="33" s="1"/>
  <c r="L314" i="33"/>
  <c r="M314" i="33" s="1"/>
  <c r="L307" i="33"/>
  <c r="M307" i="33" s="1"/>
  <c r="L243" i="33"/>
  <c r="M243" i="33" s="1"/>
  <c r="L376" i="33"/>
  <c r="M376" i="33" s="1"/>
  <c r="L523" i="33"/>
  <c r="M523" i="33" s="1"/>
  <c r="L412" i="33"/>
  <c r="M412" i="33" s="1"/>
  <c r="L476" i="33"/>
  <c r="M476" i="33" s="1"/>
  <c r="L255" i="33"/>
  <c r="M255" i="33" s="1"/>
  <c r="L404" i="33"/>
  <c r="M404" i="33" s="1"/>
  <c r="L525" i="33"/>
  <c r="M525" i="33" s="1"/>
  <c r="L62" i="33"/>
  <c r="M62" i="33" s="1"/>
  <c r="L446" i="33"/>
  <c r="M446" i="33" s="1"/>
  <c r="L295" i="33"/>
  <c r="M295" i="33" s="1"/>
  <c r="L485" i="33"/>
  <c r="M485" i="33" s="1"/>
  <c r="L508" i="33"/>
  <c r="M508" i="33" s="1"/>
  <c r="L469" i="33"/>
  <c r="M469" i="33" s="1"/>
  <c r="L519" i="33"/>
  <c r="M519" i="33" s="1"/>
  <c r="L25" i="33"/>
  <c r="M25" i="33" s="1"/>
  <c r="L237" i="33"/>
  <c r="M237" i="33" s="1"/>
  <c r="L283" i="33"/>
  <c r="M283" i="33" s="1"/>
  <c r="L133" i="33"/>
  <c r="M133" i="33" s="1"/>
  <c r="L303" i="33"/>
  <c r="M303" i="33" s="1"/>
  <c r="L487" i="33"/>
  <c r="M487" i="33" s="1"/>
  <c r="L24" i="33"/>
  <c r="M24" i="33" s="1"/>
  <c r="L420" i="33"/>
  <c r="M420" i="33" s="1"/>
  <c r="L374" i="33"/>
  <c r="M374" i="33" s="1"/>
  <c r="L235" i="33"/>
  <c r="M235" i="33" s="1"/>
  <c r="L127" i="33"/>
  <c r="M127" i="33" s="1"/>
  <c r="L111" i="33"/>
  <c r="M111" i="33" s="1"/>
  <c r="L208" i="33"/>
  <c r="M208" i="33" s="1"/>
  <c r="L32" i="33"/>
  <c r="M32" i="33" s="1"/>
  <c r="L256" i="33"/>
  <c r="M256" i="33" s="1"/>
  <c r="L184" i="33"/>
  <c r="M184" i="33" s="1"/>
  <c r="L398" i="33"/>
  <c r="M398" i="33" s="1"/>
  <c r="L356" i="33"/>
  <c r="M356" i="33" s="1"/>
  <c r="L119" i="33"/>
  <c r="M119" i="33" s="1"/>
  <c r="L315" i="33"/>
  <c r="M315" i="33" s="1"/>
  <c r="L198" i="33"/>
  <c r="M198" i="33" s="1"/>
  <c r="L266" i="33"/>
  <c r="M266" i="33" s="1"/>
  <c r="L311" i="33"/>
  <c r="M311" i="33" s="1"/>
  <c r="L245" i="33"/>
  <c r="M245" i="33" s="1"/>
  <c r="L529" i="33"/>
  <c r="M529" i="33" s="1"/>
  <c r="L204" i="33"/>
  <c r="M204" i="33" s="1"/>
  <c r="L270" i="33"/>
  <c r="M270" i="33" s="1"/>
  <c r="L298" i="33"/>
  <c r="M298" i="33" s="1"/>
  <c r="L87" i="33"/>
  <c r="M87" i="33" s="1"/>
  <c r="L19" i="33"/>
  <c r="M19" i="33" s="1"/>
  <c r="L461" i="33"/>
  <c r="M461" i="33" s="1"/>
  <c r="L75" i="33"/>
  <c r="M75" i="33" s="1"/>
  <c r="L43" i="33"/>
  <c r="M43" i="33" s="1"/>
  <c r="L267" i="33"/>
  <c r="M267" i="33" s="1"/>
  <c r="L53" i="33"/>
  <c r="M53" i="33" s="1"/>
  <c r="L128" i="33"/>
  <c r="M128" i="33" s="1"/>
  <c r="L213" i="33"/>
  <c r="M213" i="33" s="1"/>
  <c r="L482" i="33"/>
  <c r="M482" i="33" s="1"/>
  <c r="L251" i="33"/>
  <c r="M251" i="33" s="1"/>
  <c r="L483" i="33"/>
  <c r="M483" i="33" s="1"/>
  <c r="L178" i="33"/>
  <c r="M178" i="33" s="1"/>
  <c r="L362" i="33"/>
  <c r="M362" i="33" s="1"/>
  <c r="L466" i="33"/>
  <c r="M466" i="33" s="1"/>
  <c r="L52" i="33"/>
  <c r="M52" i="33" s="1"/>
  <c r="L67" i="33"/>
  <c r="M67" i="33" s="1"/>
  <c r="L402" i="33"/>
  <c r="M402" i="33" s="1"/>
  <c r="L527" i="33"/>
  <c r="M527" i="33" s="1"/>
  <c r="L221" i="33"/>
  <c r="M221" i="33" s="1"/>
  <c r="L499" i="33"/>
  <c r="M499" i="33" s="1"/>
  <c r="L408" i="33"/>
  <c r="M408" i="33" s="1"/>
  <c r="L81" i="33"/>
  <c r="M81" i="33" s="1"/>
  <c r="L452" i="33"/>
  <c r="M452" i="33" s="1"/>
  <c r="L233" i="33"/>
  <c r="M233" i="33" s="1"/>
  <c r="L443" i="33"/>
  <c r="M443" i="33" s="1"/>
  <c r="L166" i="33"/>
  <c r="M166" i="33" s="1"/>
  <c r="L442" i="33"/>
  <c r="M442" i="33" s="1"/>
  <c r="L306" i="33"/>
  <c r="M306" i="33" s="1"/>
  <c r="L312" i="33"/>
  <c r="M312" i="33" s="1"/>
  <c r="L167" i="33"/>
  <c r="M167" i="33" s="1"/>
  <c r="L401" i="33"/>
  <c r="M401" i="33" s="1"/>
  <c r="L44" i="33"/>
  <c r="M44" i="33" s="1"/>
  <c r="L59" i="33"/>
  <c r="M59" i="33" s="1"/>
  <c r="L222" i="33"/>
  <c r="M222" i="33" s="1"/>
  <c r="L42" i="33"/>
  <c r="M42" i="33" s="1"/>
  <c r="L36" i="33"/>
  <c r="M36" i="33" s="1"/>
  <c r="L40" i="33"/>
  <c r="M40" i="33" s="1"/>
  <c r="L297" i="33"/>
  <c r="M297" i="33" s="1"/>
  <c r="L494" i="33"/>
  <c r="M494" i="33" s="1"/>
  <c r="L177" i="33"/>
  <c r="M177" i="33" s="1"/>
  <c r="L136" i="33"/>
  <c r="M136" i="33" s="1"/>
  <c r="L50" i="33"/>
  <c r="M50" i="33" s="1"/>
  <c r="L334" i="33"/>
  <c r="M334" i="33" s="1"/>
  <c r="L375" i="33"/>
  <c r="M375" i="33" s="1"/>
  <c r="L481" i="33"/>
  <c r="M481" i="33" s="1"/>
  <c r="L524" i="33"/>
  <c r="M524" i="33" s="1"/>
  <c r="L486" i="33"/>
  <c r="M486" i="33" s="1"/>
  <c r="L26" i="33"/>
  <c r="M26" i="33" s="1"/>
  <c r="L333" i="33"/>
  <c r="M333" i="33" s="1"/>
  <c r="L179" i="33"/>
  <c r="M179" i="33" s="1"/>
  <c r="L305" i="33"/>
  <c r="M305" i="33" s="1"/>
  <c r="L360" i="33"/>
  <c r="M360" i="33" s="1"/>
  <c r="L22" i="33"/>
  <c r="M22" i="33" s="1"/>
  <c r="L514" i="33"/>
  <c r="M514" i="33" s="1"/>
  <c r="L160" i="33"/>
  <c r="M160" i="33" s="1"/>
  <c r="L438" i="33"/>
  <c r="M438" i="33" s="1"/>
  <c r="L149" i="33"/>
  <c r="M149" i="33" s="1"/>
  <c r="L332" i="33"/>
  <c r="M332" i="33" s="1"/>
  <c r="L477" i="33"/>
  <c r="M477" i="33" s="1"/>
  <c r="L415" i="33"/>
  <c r="M415" i="33" s="1"/>
  <c r="L101" i="33"/>
  <c r="M101" i="33" s="1"/>
  <c r="L253" i="33"/>
  <c r="M253" i="33" s="1"/>
  <c r="L400" i="33"/>
  <c r="M400" i="33" s="1"/>
  <c r="L182" i="33"/>
  <c r="M182" i="33" s="1"/>
  <c r="L38" i="33"/>
  <c r="M38" i="33" s="1"/>
  <c r="L141" i="33"/>
  <c r="M141" i="33" s="1"/>
  <c r="L190" i="33"/>
  <c r="M190" i="33" s="1"/>
  <c r="L454" i="33"/>
  <c r="M454" i="33" s="1"/>
  <c r="L231" i="33"/>
  <c r="M231" i="33" s="1"/>
  <c r="L152" i="33"/>
  <c r="M152" i="33" s="1"/>
  <c r="L301" i="33"/>
  <c r="M301" i="33" s="1"/>
  <c r="L292" i="33"/>
  <c r="M292" i="33" s="1"/>
  <c r="L138" i="33"/>
  <c r="M138" i="33" s="1"/>
  <c r="L23" i="33"/>
  <c r="M23" i="33" s="1"/>
  <c r="L46" i="33"/>
  <c r="M46" i="33" s="1"/>
  <c r="L500" i="33"/>
  <c r="M500" i="33" s="1"/>
  <c r="L317" i="33"/>
  <c r="M317" i="33" s="1"/>
  <c r="L411" i="33"/>
  <c r="M411" i="33" s="1"/>
  <c r="L419" i="33"/>
  <c r="M419" i="33" s="1"/>
  <c r="L422" i="33"/>
  <c r="M422" i="33" s="1"/>
  <c r="L143" i="33"/>
  <c r="M143" i="33" s="1"/>
  <c r="L517" i="33"/>
  <c r="M517" i="33" s="1"/>
  <c r="L250" i="33"/>
  <c r="M250" i="33" s="1"/>
  <c r="L449" i="33"/>
  <c r="M449" i="33" s="1"/>
  <c r="L90" i="33"/>
  <c r="M90" i="33" s="1"/>
  <c r="L429" i="33"/>
  <c r="M429" i="33" s="1"/>
  <c r="L380" i="33"/>
  <c r="M380" i="33" s="1"/>
  <c r="L371" i="33"/>
  <c r="M371" i="33" s="1"/>
  <c r="L118" i="33"/>
  <c r="M118" i="33" s="1"/>
  <c r="L246" i="33"/>
  <c r="M246" i="33" s="1"/>
  <c r="L528" i="33"/>
  <c r="M528" i="33" s="1"/>
  <c r="L327" i="33"/>
  <c r="M327" i="33" s="1"/>
  <c r="L509" i="33"/>
  <c r="M509" i="33" s="1"/>
  <c r="L505" i="33"/>
  <c r="M505" i="33" s="1"/>
  <c r="L302" i="33"/>
  <c r="M302" i="33" s="1"/>
  <c r="L336" i="33"/>
  <c r="M336" i="33" s="1"/>
  <c r="L193" i="33"/>
  <c r="M193" i="33" s="1"/>
  <c r="L309" i="33"/>
  <c r="M309" i="33" s="1"/>
  <c r="L154" i="33"/>
  <c r="M154" i="33" s="1"/>
  <c r="L211" i="33"/>
  <c r="M211" i="33" s="1"/>
  <c r="L323" i="33"/>
  <c r="M323" i="33" s="1"/>
  <c r="L229" i="33"/>
  <c r="M229" i="33" s="1"/>
  <c r="L450" i="33"/>
  <c r="M450" i="33" s="1"/>
  <c r="L522" i="33"/>
  <c r="M522" i="33" s="1"/>
  <c r="L495" i="33"/>
  <c r="M495" i="33" s="1"/>
  <c r="L289" i="33"/>
  <c r="M289" i="33" s="1"/>
  <c r="L174" i="33"/>
  <c r="M174" i="33" s="1"/>
  <c r="L93" i="33"/>
  <c r="M93" i="33" s="1"/>
  <c r="L520" i="33"/>
  <c r="M520" i="33" s="1"/>
  <c r="L176" i="33"/>
  <c r="M176" i="33" s="1"/>
  <c r="L389" i="33"/>
  <c r="M389" i="33" s="1"/>
  <c r="L113" i="33"/>
  <c r="M113" i="33" s="1"/>
  <c r="L456" i="33"/>
  <c r="M456" i="33" s="1"/>
  <c r="L394" i="33"/>
  <c r="M394" i="33" s="1"/>
  <c r="L441" i="33"/>
  <c r="M441" i="33" s="1"/>
  <c r="L278" i="33"/>
  <c r="M278" i="33" s="1"/>
  <c r="L464" i="33"/>
  <c r="M464" i="33" s="1"/>
  <c r="L77" i="33"/>
  <c r="M77" i="33" s="1"/>
  <c r="L105" i="33"/>
  <c r="M105" i="33" s="1"/>
  <c r="L272" i="33"/>
  <c r="M272" i="33" s="1"/>
  <c r="L145" i="33"/>
  <c r="M145" i="33" s="1"/>
  <c r="L418" i="33"/>
  <c r="M418" i="33" s="1"/>
  <c r="L92" i="33"/>
  <c r="M92" i="33" s="1"/>
  <c r="L109" i="33"/>
  <c r="M109" i="33" s="1"/>
  <c r="L515" i="33"/>
  <c r="M515" i="33" s="1"/>
  <c r="L175" i="33"/>
  <c r="M175" i="33" s="1"/>
  <c r="L102" i="33"/>
  <c r="M102" i="33" s="1"/>
  <c r="L21" i="33"/>
  <c r="M21" i="33" s="1"/>
  <c r="L54" i="33"/>
  <c r="M54" i="33" s="1"/>
  <c r="L467" i="33"/>
  <c r="M467" i="33" s="1"/>
  <c r="L322" i="33"/>
  <c r="M322" i="33" s="1"/>
  <c r="L498" i="33"/>
  <c r="M498" i="33" s="1"/>
  <c r="L318" i="33"/>
  <c r="M318" i="33" s="1"/>
  <c r="L397" i="33"/>
  <c r="M397" i="33" s="1"/>
  <c r="L339" i="33"/>
  <c r="M339" i="33" s="1"/>
  <c r="L349" i="33"/>
  <c r="M349" i="33" s="1"/>
  <c r="L249" i="33"/>
  <c r="M249" i="33" s="1"/>
  <c r="L35" i="33"/>
  <c r="M35" i="33" s="1"/>
  <c r="L227" i="33"/>
  <c r="M227" i="33" s="1"/>
  <c r="L66" i="33"/>
  <c r="M66" i="33" s="1"/>
  <c r="L407" i="33"/>
  <c r="M407" i="33" s="1"/>
  <c r="L427" i="33"/>
  <c r="M427" i="33" s="1"/>
  <c r="L386" i="33"/>
  <c r="M386" i="33" s="1"/>
  <c r="L120" i="33"/>
  <c r="M120" i="33" s="1"/>
  <c r="L369" i="33"/>
  <c r="M369" i="33" s="1"/>
  <c r="L37" i="33"/>
  <c r="M37" i="33" s="1"/>
  <c r="L504" i="33"/>
  <c r="M504" i="33" s="1"/>
  <c r="L29" i="33"/>
  <c r="M29" i="33" s="1"/>
  <c r="L195" i="33"/>
  <c r="M195" i="33" s="1"/>
  <c r="L368" i="33"/>
  <c r="M368" i="33" s="1"/>
  <c r="L359" i="33"/>
  <c r="M359" i="33" s="1"/>
  <c r="L445" i="33"/>
  <c r="M445" i="33" s="1"/>
  <c r="L364" i="33"/>
  <c r="M364" i="33" s="1"/>
  <c r="L342" i="33"/>
  <c r="M342" i="33" s="1"/>
  <c r="L503" i="33"/>
  <c r="M503" i="33" s="1"/>
  <c r="L440" i="33"/>
  <c r="M440" i="33" s="1"/>
  <c r="L521" i="33"/>
  <c r="M521" i="33" s="1"/>
  <c r="L238" i="33"/>
  <c r="M238" i="33" s="1"/>
  <c r="L343" i="33"/>
  <c r="M343" i="33" s="1"/>
  <c r="E7" i="34"/>
  <c r="E12" i="34"/>
  <c r="E28" i="34"/>
  <c r="E8" i="34"/>
  <c r="E29" i="34"/>
  <c r="E26" i="34"/>
  <c r="E13" i="34"/>
  <c r="E25" i="34"/>
  <c r="E10" i="34"/>
  <c r="E6" i="34"/>
  <c r="E23" i="34"/>
  <c r="E27" i="34"/>
  <c r="E24" i="34"/>
  <c r="E30" i="34"/>
  <c r="E11" i="34"/>
  <c r="E9" i="34"/>
  <c r="M11" i="33"/>
  <c r="M10" i="33"/>
  <c r="J11" i="33"/>
  <c r="K11" i="33" s="1"/>
  <c r="B240" i="23"/>
  <c r="D124" i="23"/>
  <c r="D240" i="23"/>
  <c r="B241" i="23"/>
  <c r="B124" i="23"/>
  <c r="C241" i="23"/>
  <c r="B59" i="23"/>
  <c r="B65" i="23"/>
  <c r="D241" i="23"/>
  <c r="D130" i="23"/>
  <c r="E240" i="23"/>
  <c r="C240" i="23"/>
  <c r="D65" i="23"/>
  <c r="E241" i="23"/>
  <c r="D59" i="23"/>
  <c r="B130" i="23"/>
  <c r="M217" i="33" l="1"/>
  <c r="M225" i="33"/>
  <c r="M79" i="33"/>
  <c r="M384" i="33"/>
  <c r="M96" i="33"/>
  <c r="M165" i="33"/>
  <c r="M68" i="33"/>
  <c r="M493" i="33"/>
  <c r="M512" i="33"/>
  <c r="M112" i="33"/>
  <c r="M417" i="33"/>
  <c r="M156" i="33"/>
  <c r="M335" i="33"/>
  <c r="M518" i="33"/>
  <c r="M344" i="33"/>
  <c r="M405" i="33"/>
  <c r="M51" i="33"/>
  <c r="M30" i="33"/>
  <c r="M366" i="33"/>
  <c r="M277" i="33"/>
  <c r="M162" i="33"/>
  <c r="M282" i="33"/>
  <c r="M262" i="33"/>
  <c r="M194" i="33"/>
  <c r="M385" i="33"/>
  <c r="M414" i="33"/>
  <c r="M474" i="33"/>
  <c r="M457" i="33"/>
  <c r="M209" i="33"/>
  <c r="M218" i="33"/>
  <c r="M496" i="33"/>
  <c r="M281" i="33"/>
  <c r="M224" i="33"/>
  <c r="M236" i="33"/>
  <c r="M291" i="33"/>
  <c r="M56" i="33"/>
  <c r="M95" i="33"/>
  <c r="M39" i="33"/>
  <c r="M403" i="33"/>
  <c r="M287" i="33"/>
  <c r="M387" i="33"/>
  <c r="M240" i="33"/>
  <c r="M511" i="33"/>
  <c r="M437" i="33"/>
  <c r="M89" i="33"/>
  <c r="M137" i="33"/>
  <c r="M210" i="33"/>
  <c r="M103" i="33"/>
  <c r="M230" i="33"/>
  <c r="M392" i="33"/>
  <c r="M510" i="33"/>
  <c r="M91" i="33"/>
  <c r="M489" i="33"/>
  <c r="M471" i="33"/>
  <c r="M345" i="33"/>
  <c r="M155" i="33"/>
  <c r="M294" i="33"/>
  <c r="M341" i="33"/>
  <c r="M200" i="33"/>
  <c r="M424" i="33"/>
  <c r="M451" i="33"/>
  <c r="M274" i="33"/>
  <c r="M97" i="33"/>
  <c r="M491" i="33"/>
  <c r="M254" i="33"/>
  <c r="M516" i="33"/>
  <c r="M286" i="33"/>
  <c r="M104" i="33"/>
  <c r="M181" i="33"/>
  <c r="M353" i="33"/>
  <c r="M205" i="33"/>
  <c r="M123" i="33"/>
  <c r="M114" i="33"/>
  <c r="M131" i="33"/>
  <c r="M370" i="33"/>
  <c r="M34" i="33"/>
  <c r="M18" i="33"/>
  <c r="M365" i="33"/>
  <c r="M346" i="33"/>
  <c r="M49" i="33"/>
  <c r="M192" i="33"/>
  <c r="M526" i="33"/>
  <c r="M276" i="33"/>
  <c r="M126" i="33"/>
  <c r="M434" i="33"/>
  <c r="M80" i="33"/>
  <c r="M293" i="33"/>
  <c r="M459" i="33"/>
  <c r="M492" i="33"/>
  <c r="M57" i="33"/>
  <c r="M269" i="33"/>
  <c r="M31" i="33"/>
  <c r="M273" i="33"/>
  <c r="M308" i="33"/>
  <c r="M189" i="33"/>
  <c r="M285" i="33"/>
  <c r="B201" i="23"/>
  <c r="B203" i="23" s="1"/>
  <c r="B204" i="23" s="1"/>
  <c r="B255" i="23" s="1"/>
  <c r="M889" i="33"/>
  <c r="M1061" i="33"/>
  <c r="M573" i="33"/>
  <c r="M853" i="33"/>
  <c r="M840" i="33"/>
  <c r="M601" i="33"/>
  <c r="M767" i="33"/>
  <c r="M626" i="33"/>
  <c r="M657" i="33"/>
  <c r="M938" i="33"/>
  <c r="M858" i="33"/>
  <c r="M64" i="33"/>
  <c r="M447" i="33"/>
  <c r="M378" i="33"/>
  <c r="M20" i="33"/>
  <c r="M320" i="33"/>
  <c r="M47" i="33"/>
  <c r="M473" i="33"/>
  <c r="M65" i="33"/>
  <c r="M61" i="33"/>
  <c r="M350" i="33"/>
  <c r="M83" i="33"/>
  <c r="M252" i="33"/>
  <c r="M416" i="33"/>
  <c r="M453" i="33"/>
  <c r="M228" i="33"/>
  <c r="M60" i="33"/>
  <c r="M316" i="33"/>
  <c r="M382" i="33"/>
  <c r="M391" i="33"/>
  <c r="M444" i="33"/>
  <c r="M465" i="33"/>
  <c r="M202" i="33"/>
  <c r="M425" i="33"/>
  <c r="M151" i="33"/>
  <c r="M122" i="33"/>
  <c r="M99" i="33"/>
  <c r="M263" i="33"/>
  <c r="M468" i="33"/>
  <c r="M33" i="33"/>
  <c r="M810" i="33"/>
  <c r="M631" i="33"/>
  <c r="M706" i="33"/>
  <c r="M1050" i="33"/>
  <c r="M680" i="33"/>
  <c r="M740" i="33"/>
  <c r="M660" i="33"/>
  <c r="M666" i="33"/>
  <c r="C201" i="23"/>
  <c r="C203" i="23" s="1"/>
  <c r="C204" i="23" s="1"/>
  <c r="C255" i="23" s="1"/>
  <c r="M843" i="33"/>
  <c r="M1033" i="33"/>
  <c r="M1059" i="33"/>
  <c r="M888" i="33"/>
  <c r="M1047" i="33"/>
  <c r="M1035" i="33"/>
  <c r="M848" i="33"/>
  <c r="M1052" i="33"/>
  <c r="M930" i="33"/>
  <c r="M755" i="33"/>
  <c r="M703" i="33"/>
  <c r="M826" i="33"/>
  <c r="M718" i="33"/>
  <c r="M760" i="33"/>
  <c r="M1001" i="33"/>
  <c r="M820" i="33"/>
  <c r="M622" i="33"/>
  <c r="M950" i="33"/>
  <c r="M574" i="33"/>
  <c r="M750" i="33"/>
  <c r="M808" i="33"/>
  <c r="M588" i="33"/>
  <c r="M860" i="33"/>
  <c r="M738" i="33"/>
  <c r="M708" i="33"/>
  <c r="M915" i="33"/>
  <c r="M998" i="33"/>
  <c r="M409" i="33"/>
  <c r="M100" i="33"/>
  <c r="M129" i="33"/>
  <c r="M144" i="33"/>
  <c r="M215" i="33"/>
  <c r="C72" i="23"/>
  <c r="C76" i="23" s="1"/>
  <c r="C96" i="23" s="1"/>
  <c r="M781" i="33"/>
  <c r="M792" i="33"/>
  <c r="M981" i="33"/>
  <c r="M991" i="33"/>
  <c r="M862" i="33"/>
  <c r="M867" i="33"/>
  <c r="M553" i="33"/>
  <c r="M691" i="33"/>
  <c r="M931" i="33"/>
  <c r="M811" i="33"/>
  <c r="M650" i="33"/>
  <c r="M628" i="33"/>
  <c r="M854" i="33"/>
  <c r="M1056" i="33"/>
  <c r="M823" i="33"/>
  <c r="E73" i="34"/>
  <c r="M1027" i="33"/>
  <c r="M850" i="33"/>
  <c r="M861" i="33"/>
  <c r="M1053" i="33"/>
  <c r="M713" i="33"/>
  <c r="M758" i="33"/>
  <c r="M746" i="33"/>
  <c r="M812" i="33"/>
  <c r="M749" i="33"/>
  <c r="M990" i="33"/>
  <c r="M821" i="33"/>
  <c r="M696" i="33"/>
  <c r="M809" i="33"/>
  <c r="M754" i="33"/>
  <c r="M739" i="33"/>
  <c r="M557" i="33"/>
  <c r="M685" i="33"/>
  <c r="M577" i="33"/>
  <c r="M997" i="33"/>
  <c r="M795" i="33"/>
  <c r="M692" i="33"/>
  <c r="M737" i="33"/>
  <c r="M638" i="33"/>
  <c r="M972" i="33"/>
  <c r="M904" i="33"/>
  <c r="M793" i="33"/>
  <c r="M1038" i="33"/>
  <c r="M142" i="33"/>
  <c r="M313" i="33"/>
  <c r="M348" i="33"/>
  <c r="M150" i="33"/>
  <c r="M110" i="33"/>
  <c r="C137" i="23"/>
  <c r="C140" i="23" s="1"/>
  <c r="C142" i="23" s="1"/>
  <c r="C244" i="23"/>
  <c r="B244" i="23"/>
  <c r="D129" i="23"/>
  <c r="D126" i="23"/>
  <c r="B243" i="23"/>
  <c r="D64" i="23"/>
  <c r="D61" i="23"/>
  <c r="D244" i="23"/>
  <c r="E243" i="23"/>
  <c r="E244" i="23"/>
  <c r="B64" i="23"/>
  <c r="B61" i="23"/>
  <c r="B129" i="23"/>
  <c r="B126" i="23"/>
  <c r="D243" i="23"/>
  <c r="C243" i="23"/>
  <c r="B263" i="23"/>
  <c r="B30" i="34"/>
  <c r="E55" i="34"/>
  <c r="M730" i="33"/>
  <c r="M664" i="33"/>
  <c r="M605" i="33"/>
  <c r="M744" i="33"/>
  <c r="M806" i="33"/>
  <c r="M659" i="33"/>
  <c r="M621" i="33"/>
  <c r="M689" i="33"/>
  <c r="M742" i="33"/>
  <c r="M971" i="33"/>
  <c r="M711" i="33"/>
  <c r="M647" i="33"/>
  <c r="M960" i="33"/>
  <c r="M999" i="33"/>
  <c r="M833" i="33"/>
  <c r="M934" i="33"/>
  <c r="M962" i="33"/>
  <c r="M633" i="33"/>
  <c r="M798" i="33"/>
  <c r="M788" i="33"/>
  <c r="M1029" i="33"/>
  <c r="M572" i="33"/>
  <c r="M1041" i="33"/>
  <c r="M765" i="33"/>
  <c r="M920" i="33"/>
  <c r="M897" i="33"/>
  <c r="M959" i="33"/>
  <c r="M802" i="33"/>
  <c r="M935" i="33"/>
  <c r="M864" i="33"/>
  <c r="M606" i="33"/>
  <c r="M977" i="33"/>
  <c r="M560" i="33"/>
  <c r="M771" i="33"/>
  <c r="M610" i="33"/>
  <c r="M653" i="33"/>
  <c r="M567" i="33"/>
  <c r="M842" i="33"/>
  <c r="M687" i="33"/>
  <c r="M967" i="33"/>
  <c r="M1046" i="33"/>
  <c r="M702" i="33"/>
  <c r="M1012" i="33"/>
  <c r="C258" i="23"/>
  <c r="B69" i="34"/>
  <c r="M693" i="33"/>
  <c r="M616" i="33"/>
  <c r="M942" i="33"/>
  <c r="M894" i="33"/>
  <c r="M670" i="33"/>
  <c r="M785" i="33"/>
  <c r="M887" i="33"/>
  <c r="M956" i="33"/>
  <c r="M873" i="33"/>
  <c r="M1034" i="33"/>
  <c r="M584" i="33"/>
  <c r="M714" i="33"/>
  <c r="M1010" i="33"/>
  <c r="M724" i="33"/>
  <c r="M674" i="33"/>
  <c r="M766" i="33"/>
  <c r="M763" i="33"/>
  <c r="M1005" i="33"/>
  <c r="M880" i="33"/>
  <c r="M976" i="33"/>
  <c r="M890" i="33"/>
  <c r="M969" i="33"/>
  <c r="M875" i="33"/>
  <c r="M790" i="33"/>
  <c r="M807" i="33"/>
  <c r="M801" i="33"/>
  <c r="M933" i="33"/>
  <c r="M686" i="33"/>
  <c r="M837" i="33"/>
  <c r="M834" i="33"/>
  <c r="M618" i="33"/>
  <c r="M770" i="33"/>
  <c r="M966" i="33"/>
  <c r="M697" i="33"/>
  <c r="M591" i="33"/>
  <c r="M752" i="33"/>
  <c r="M1016" i="33"/>
  <c r="M568" i="33"/>
  <c r="M855" i="33"/>
  <c r="M803" i="33"/>
  <c r="M818" i="33"/>
  <c r="M1013" i="33"/>
  <c r="M937" i="33"/>
  <c r="C262" i="23"/>
  <c r="B44" i="34"/>
  <c r="M955" i="33"/>
  <c r="M993" i="33"/>
  <c r="M816" i="33"/>
  <c r="M996" i="33"/>
  <c r="M727" i="33"/>
  <c r="M559" i="33"/>
  <c r="M1042" i="33"/>
  <c r="M625" i="33"/>
  <c r="M902" i="33"/>
  <c r="M799" i="33"/>
  <c r="M655" i="33"/>
  <c r="M747" i="33"/>
  <c r="M719" i="33"/>
  <c r="M595" i="33"/>
  <c r="M1054" i="33"/>
  <c r="M639" i="33"/>
  <c r="M741" i="33"/>
  <c r="M815" i="33"/>
  <c r="M671" i="33"/>
  <c r="M682" i="33"/>
  <c r="M984" i="33"/>
  <c r="M928" i="33"/>
  <c r="M1007" i="33"/>
  <c r="M1048" i="33"/>
  <c r="M926" i="33"/>
  <c r="M912" i="33"/>
  <c r="M683" i="33"/>
  <c r="M571" i="33"/>
  <c r="M698" i="33"/>
  <c r="M623" i="33"/>
  <c r="M712" i="33"/>
  <c r="M651" i="33"/>
  <c r="M729" i="33"/>
  <c r="M963" i="33"/>
  <c r="M597" i="33"/>
  <c r="M583" i="33"/>
  <c r="M593" i="33"/>
  <c r="M863" i="33"/>
  <c r="M1015" i="33"/>
  <c r="M918" i="33"/>
  <c r="M673" i="33"/>
  <c r="M953" i="33"/>
  <c r="M594" i="33"/>
  <c r="M1039" i="33"/>
  <c r="M592" i="33"/>
  <c r="M678" i="33"/>
  <c r="M636" i="33"/>
  <c r="M836" i="33"/>
  <c r="M725" i="33"/>
  <c r="M634" i="33"/>
  <c r="M679" i="33"/>
  <c r="M641" i="33"/>
  <c r="M919" i="33"/>
  <c r="M892" i="33"/>
  <c r="M844" i="33"/>
  <c r="M617" i="33"/>
  <c r="M705" i="33"/>
  <c r="M769" i="33"/>
  <c r="M787" i="33"/>
  <c r="M751" i="33"/>
  <c r="M885" i="33"/>
  <c r="M779" i="33"/>
  <c r="M784" i="33"/>
  <c r="M762" i="33"/>
  <c r="M900" i="33"/>
  <c r="M898" i="33"/>
  <c r="M881" i="33"/>
  <c r="M819" i="33"/>
  <c r="M800" i="33"/>
  <c r="M893" i="33"/>
  <c r="M958" i="33"/>
  <c r="M852" i="33"/>
  <c r="M1011" i="33"/>
  <c r="M726" i="33"/>
  <c r="M619" i="33"/>
  <c r="M759" i="33"/>
  <c r="M941" i="33"/>
  <c r="M756" i="33"/>
  <c r="M734" i="33"/>
  <c r="M866" i="33"/>
  <c r="M565" i="33"/>
  <c r="M1014" i="33"/>
  <c r="M886" i="33"/>
  <c r="M791" i="33"/>
  <c r="M1037" i="33"/>
  <c r="M630" i="33"/>
  <c r="M599" i="33"/>
  <c r="M905" i="33"/>
  <c r="M667" i="33"/>
  <c r="M932" i="33"/>
  <c r="M700" i="33"/>
  <c r="M813" i="33"/>
  <c r="M994" i="33"/>
  <c r="M589" i="33"/>
  <c r="M604" i="33"/>
  <c r="M609" i="33"/>
  <c r="M917" i="33"/>
  <c r="M856" i="33"/>
  <c r="M600" i="33"/>
  <c r="M796" i="33"/>
  <c r="M720" i="33"/>
  <c r="M1018" i="33"/>
  <c r="M717" i="33"/>
  <c r="M830" i="33"/>
  <c r="M909" i="33"/>
  <c r="M849" i="33"/>
  <c r="M1045" i="33"/>
  <c r="M575" i="33"/>
  <c r="M556" i="33"/>
  <c r="M652" i="33"/>
  <c r="M728" i="33"/>
  <c r="M951" i="33"/>
  <c r="M1008" i="33"/>
  <c r="M646" i="33"/>
  <c r="M1019" i="33"/>
  <c r="M615" i="33"/>
  <c r="M743" i="33"/>
  <c r="M569" i="33"/>
  <c r="M814" i="33"/>
  <c r="M699" i="33"/>
  <c r="M684" i="33"/>
  <c r="M911" i="33"/>
  <c r="M882" i="33"/>
  <c r="M1022" i="33"/>
  <c r="M608" i="33"/>
  <c r="M642" i="33"/>
  <c r="M872" i="33"/>
  <c r="E31" i="34"/>
  <c r="M989" i="33"/>
  <c r="M1021" i="33"/>
  <c r="M637" i="33"/>
  <c r="M945" i="33"/>
  <c r="M731" i="33"/>
  <c r="M555" i="33"/>
  <c r="M1006" i="33"/>
  <c r="M768" i="33"/>
  <c r="M835" i="33"/>
  <c r="M828" i="33"/>
  <c r="M733" i="33"/>
  <c r="M598" i="33"/>
  <c r="M1002" i="33"/>
  <c r="M612" i="33"/>
  <c r="M704" i="33"/>
  <c r="M722" i="33"/>
  <c r="M676" i="33"/>
  <c r="M891" i="33"/>
  <c r="M980" i="33"/>
  <c r="M948" i="33"/>
  <c r="B3" i="34"/>
  <c r="B262" i="23"/>
  <c r="E14" i="34"/>
  <c r="M838" i="33"/>
  <c r="M596" i="33"/>
  <c r="M1030" i="33"/>
  <c r="M1023" i="33"/>
  <c r="M907" i="33"/>
  <c r="M925" i="33"/>
  <c r="M868" i="33"/>
  <c r="M665" i="33"/>
  <c r="M1026" i="33"/>
  <c r="M992" i="33"/>
  <c r="M681" i="33"/>
  <c r="M914" i="33"/>
  <c r="M649" i="33"/>
  <c r="M1051" i="33"/>
  <c r="M978" i="33"/>
  <c r="M675" i="33"/>
  <c r="M913" i="33"/>
  <c r="M1004" i="33"/>
  <c r="M732" i="33"/>
  <c r="M582" i="33"/>
  <c r="M690" i="33"/>
  <c r="M772" i="33"/>
  <c r="M1024" i="33"/>
  <c r="M662" i="33"/>
  <c r="M721" i="33"/>
  <c r="M964" i="33"/>
  <c r="M570" i="33"/>
  <c r="M859" i="33"/>
  <c r="M857" i="33"/>
  <c r="M590" i="33"/>
  <c r="M974" i="33"/>
  <c r="M745" i="33"/>
  <c r="M871" i="33"/>
  <c r="M669" i="33"/>
  <c r="M851" i="33"/>
  <c r="M701" i="33"/>
  <c r="M656" i="33"/>
  <c r="M924" i="33"/>
  <c r="M1049" i="33"/>
  <c r="M564" i="33"/>
  <c r="M944" i="33"/>
  <c r="M822" i="33"/>
  <c r="M694" i="33"/>
  <c r="B258" i="23"/>
  <c r="B28" i="34"/>
  <c r="M908" i="33"/>
  <c r="M757" i="33"/>
  <c r="M943" i="33"/>
  <c r="M865" i="33"/>
  <c r="M927" i="33"/>
  <c r="M648" i="33"/>
  <c r="M832" i="33"/>
  <c r="M968" i="33"/>
  <c r="M877" i="33"/>
  <c r="M903" i="33"/>
  <c r="M824" i="33"/>
  <c r="M1003" i="33"/>
  <c r="M1020" i="33"/>
  <c r="M624" i="33"/>
  <c r="M923" i="33"/>
  <c r="M773" i="33"/>
  <c r="M831" i="33"/>
  <c r="M644" i="33"/>
  <c r="M878" i="33"/>
  <c r="M906" i="33"/>
  <c r="M561" i="33"/>
  <c r="M797" i="33"/>
  <c r="M1031" i="33"/>
  <c r="M805" i="33"/>
  <c r="M789" i="33"/>
  <c r="M1044" i="33"/>
  <c r="M804" i="33"/>
  <c r="M551" i="33"/>
  <c r="M982" i="33"/>
  <c r="M748" i="33"/>
  <c r="M947" i="33"/>
  <c r="M825" i="33"/>
  <c r="M607" i="33"/>
  <c r="M949" i="33"/>
  <c r="M640" i="33"/>
  <c r="M611" i="33"/>
  <c r="M965" i="33"/>
  <c r="M870" i="33"/>
  <c r="M879" i="33"/>
  <c r="M874" i="33"/>
  <c r="M916" i="33"/>
  <c r="M695" i="33"/>
  <c r="M658" i="33"/>
  <c r="M764" i="33"/>
  <c r="M558" i="33"/>
  <c r="M975" i="33"/>
  <c r="M946" i="33"/>
  <c r="M1055" i="33"/>
  <c r="M936" i="33"/>
  <c r="M884" i="33"/>
  <c r="M707" i="33"/>
  <c r="M847" i="33"/>
  <c r="M846" i="33"/>
  <c r="M643" i="33"/>
  <c r="M602" i="33"/>
  <c r="M827" i="33"/>
  <c r="M778" i="33"/>
  <c r="M620" i="33"/>
  <c r="M603" i="33"/>
  <c r="M580" i="33"/>
  <c r="M663" i="33"/>
  <c r="M1025" i="33"/>
  <c r="M970" i="33"/>
  <c r="J22" i="33"/>
  <c r="K22" i="33" s="1"/>
  <c r="J426" i="33"/>
  <c r="K426" i="33" s="1"/>
  <c r="J484" i="33"/>
  <c r="K484" i="33" s="1"/>
  <c r="J489" i="33"/>
  <c r="K489" i="33" s="1"/>
  <c r="J332" i="33"/>
  <c r="K332" i="33" s="1"/>
  <c r="J275" i="33"/>
  <c r="K275" i="33" s="1"/>
  <c r="J85" i="33"/>
  <c r="K85" i="33" s="1"/>
  <c r="J339" i="33"/>
  <c r="K339" i="33" s="1"/>
  <c r="J369" i="33"/>
  <c r="K369" i="33" s="1"/>
  <c r="J182" i="33"/>
  <c r="K182" i="33" s="1"/>
  <c r="J340" i="33"/>
  <c r="K340" i="33" s="1"/>
  <c r="J515" i="33"/>
  <c r="K515" i="33" s="1"/>
  <c r="J249" i="33"/>
  <c r="K249" i="33" s="1"/>
  <c r="J486" i="33"/>
  <c r="K486" i="33" s="1"/>
  <c r="J163" i="33"/>
  <c r="K163" i="33" s="1"/>
  <c r="J507" i="33"/>
  <c r="K507" i="33" s="1"/>
  <c r="J528" i="33"/>
  <c r="K528" i="33" s="1"/>
  <c r="J219" i="33"/>
  <c r="K219" i="33" s="1"/>
  <c r="J418" i="33"/>
  <c r="K418" i="33" s="1"/>
  <c r="J448" i="33"/>
  <c r="K448" i="33" s="1"/>
  <c r="J122" i="33"/>
  <c r="K122" i="33" s="1"/>
  <c r="J141" i="33"/>
  <c r="K141" i="33" s="1"/>
  <c r="J425" i="33"/>
  <c r="K425" i="33" s="1"/>
  <c r="J263" i="33"/>
  <c r="K263" i="33" s="1"/>
  <c r="J226" i="33"/>
  <c r="K226" i="33" s="1"/>
  <c r="J225" i="33"/>
  <c r="K225" i="33" s="1"/>
  <c r="J132" i="33"/>
  <c r="K132" i="33" s="1"/>
  <c r="J45" i="33"/>
  <c r="K45" i="33" s="1"/>
  <c r="J174" i="33"/>
  <c r="K174" i="33" s="1"/>
  <c r="J415" i="33"/>
  <c r="K415" i="33" s="1"/>
  <c r="J457" i="33"/>
  <c r="K457" i="33" s="1"/>
  <c r="J131" i="33"/>
  <c r="K131" i="33" s="1"/>
  <c r="J253" i="33"/>
  <c r="K253" i="33" s="1"/>
  <c r="J261" i="33"/>
  <c r="K261" i="33" s="1"/>
  <c r="J509" i="33"/>
  <c r="K509" i="33" s="1"/>
  <c r="J25" i="33"/>
  <c r="K25" i="33" s="1"/>
  <c r="J333" i="33"/>
  <c r="K333" i="33" s="1"/>
  <c r="J33" i="33"/>
  <c r="K33" i="33" s="1"/>
  <c r="J414" i="33"/>
  <c r="K414" i="33" s="1"/>
  <c r="J427" i="33"/>
  <c r="K427" i="33" s="1"/>
  <c r="J49" i="33"/>
  <c r="K49" i="33" s="1"/>
  <c r="J167" i="33"/>
  <c r="K167" i="33" s="1"/>
  <c r="J341" i="33"/>
  <c r="K341" i="33" s="1"/>
  <c r="J103" i="33"/>
  <c r="K103" i="33" s="1"/>
  <c r="J69" i="33"/>
  <c r="K69" i="33" s="1"/>
  <c r="J188" i="33"/>
  <c r="K188" i="33" s="1"/>
  <c r="J222" i="33"/>
  <c r="K222" i="33" s="1"/>
  <c r="J386" i="33"/>
  <c r="K386" i="33" s="1"/>
  <c r="J61" i="33"/>
  <c r="K61" i="33" s="1"/>
  <c r="J257" i="33"/>
  <c r="K257" i="33" s="1"/>
  <c r="J168" i="33"/>
  <c r="K168" i="33" s="1"/>
  <c r="J363" i="33"/>
  <c r="K363" i="33" s="1"/>
  <c r="J436" i="33"/>
  <c r="K436" i="33" s="1"/>
  <c r="J228" i="33"/>
  <c r="K228" i="33" s="1"/>
  <c r="J377" i="33"/>
  <c r="K377" i="33" s="1"/>
  <c r="J86" i="33"/>
  <c r="K86" i="33" s="1"/>
  <c r="J100" i="33"/>
  <c r="K100" i="33" s="1"/>
  <c r="J20" i="33"/>
  <c r="K20" i="33" s="1"/>
  <c r="J506" i="33"/>
  <c r="K506" i="33" s="1"/>
  <c r="J232" i="33"/>
  <c r="K232" i="33" s="1"/>
  <c r="J306" i="33"/>
  <c r="K306" i="33" s="1"/>
  <c r="J513" i="33"/>
  <c r="K513" i="33" s="1"/>
  <c r="J445" i="33"/>
  <c r="K445" i="33" s="1"/>
  <c r="J373" i="33"/>
  <c r="K373" i="33" s="1"/>
  <c r="J512" i="33"/>
  <c r="K512" i="33" s="1"/>
  <c r="J47" i="33"/>
  <c r="K47" i="33" s="1"/>
  <c r="J481" i="33"/>
  <c r="K481" i="33" s="1"/>
  <c r="J307" i="33"/>
  <c r="K307" i="33" s="1"/>
  <c r="J137" i="33"/>
  <c r="K137" i="33" s="1"/>
  <c r="J416" i="33"/>
  <c r="K416" i="33" s="1"/>
  <c r="J499" i="33"/>
  <c r="K499" i="33" s="1"/>
  <c r="J192" i="33"/>
  <c r="K192" i="33" s="1"/>
  <c r="J53" i="33"/>
  <c r="K53" i="33" s="1"/>
  <c r="J488" i="33"/>
  <c r="K488" i="33" s="1"/>
  <c r="J284" i="33"/>
  <c r="K284" i="33" s="1"/>
  <c r="J522" i="33"/>
  <c r="K522" i="33" s="1"/>
  <c r="J179" i="33"/>
  <c r="K179" i="33" s="1"/>
  <c r="J396" i="33"/>
  <c r="K396" i="33" s="1"/>
  <c r="J382" i="33"/>
  <c r="K382" i="33" s="1"/>
  <c r="J156" i="33"/>
  <c r="K156" i="33" s="1"/>
  <c r="J343" i="33"/>
  <c r="K343" i="33" s="1"/>
  <c r="J321" i="33"/>
  <c r="K321" i="33" s="1"/>
  <c r="J82" i="33"/>
  <c r="K82" i="33" s="1"/>
  <c r="J408" i="33"/>
  <c r="K408" i="33" s="1"/>
  <c r="J58" i="33"/>
  <c r="K58" i="33" s="1"/>
  <c r="J240" i="33"/>
  <c r="K240" i="33" s="1"/>
  <c r="J299" i="33"/>
  <c r="K299" i="33" s="1"/>
  <c r="J73" i="33"/>
  <c r="K73" i="33" s="1"/>
  <c r="J303" i="33"/>
  <c r="K303" i="33" s="1"/>
  <c r="J406" i="33"/>
  <c r="K406" i="33" s="1"/>
  <c r="J304" i="33"/>
  <c r="K304" i="33" s="1"/>
  <c r="J443" i="33"/>
  <c r="K443" i="33" s="1"/>
  <c r="J438" i="33"/>
  <c r="K438" i="33" s="1"/>
  <c r="J444" i="33"/>
  <c r="K444" i="33" s="1"/>
  <c r="J75" i="33"/>
  <c r="K75" i="33" s="1"/>
  <c r="J37" i="33"/>
  <c r="K37" i="33" s="1"/>
  <c r="J231" i="33"/>
  <c r="K231" i="33" s="1"/>
  <c r="J345" i="33"/>
  <c r="K345" i="33" s="1"/>
  <c r="J267" i="33"/>
  <c r="K267" i="33" s="1"/>
  <c r="J420" i="33"/>
  <c r="K420" i="33" s="1"/>
  <c r="J494" i="33"/>
  <c r="K494" i="33" s="1"/>
  <c r="J399" i="33"/>
  <c r="K399" i="33" s="1"/>
  <c r="J48" i="33"/>
  <c r="K48" i="33" s="1"/>
  <c r="J127" i="33"/>
  <c r="K127" i="33" s="1"/>
  <c r="J254" i="33"/>
  <c r="K254" i="33" s="1"/>
  <c r="J378" i="33"/>
  <c r="K378" i="33" s="1"/>
  <c r="J502" i="33"/>
  <c r="K502" i="33" s="1"/>
  <c r="J189" i="33"/>
  <c r="K189" i="33" s="1"/>
  <c r="J367" i="33"/>
  <c r="K367" i="33" s="1"/>
  <c r="J74" i="33"/>
  <c r="K74" i="33" s="1"/>
  <c r="J283" i="33"/>
  <c r="K283" i="33" s="1"/>
  <c r="J216" i="33"/>
  <c r="K216" i="33" s="1"/>
  <c r="J285" i="33"/>
  <c r="K285" i="33" s="1"/>
  <c r="J97" i="33"/>
  <c r="K97" i="33" s="1"/>
  <c r="J154" i="33"/>
  <c r="K154" i="33" s="1"/>
  <c r="J201" i="33"/>
  <c r="K201" i="33" s="1"/>
  <c r="J482" i="33"/>
  <c r="K482" i="33" s="1"/>
  <c r="J50" i="33"/>
  <c r="K50" i="33" s="1"/>
  <c r="J56" i="33"/>
  <c r="K56" i="33" s="1"/>
  <c r="J106" i="33"/>
  <c r="K106" i="33" s="1"/>
  <c r="J504" i="33"/>
  <c r="K504" i="33" s="1"/>
  <c r="J221" i="33"/>
  <c r="K221" i="33" s="1"/>
  <c r="J346" i="33"/>
  <c r="K346" i="33" s="1"/>
  <c r="J402" i="33"/>
  <c r="K402" i="33" s="1"/>
  <c r="J203" i="33"/>
  <c r="K203" i="33" s="1"/>
  <c r="J372" i="33"/>
  <c r="K372" i="33" s="1"/>
  <c r="J476" i="33"/>
  <c r="K476" i="33" s="1"/>
  <c r="J236" i="33"/>
  <c r="K236" i="33" s="1"/>
  <c r="J478" i="33"/>
  <c r="K478" i="33" s="1"/>
  <c r="J42" i="33"/>
  <c r="K42" i="33" s="1"/>
  <c r="J458" i="33"/>
  <c r="K458" i="33" s="1"/>
  <c r="J529" i="33"/>
  <c r="K529" i="33" s="1"/>
  <c r="J270" i="33"/>
  <c r="K270" i="33" s="1"/>
  <c r="J173" i="33"/>
  <c r="K173" i="33" s="1"/>
  <c r="J95" i="33"/>
  <c r="K95" i="33" s="1"/>
  <c r="J453" i="33"/>
  <c r="K453" i="33" s="1"/>
  <c r="J329" i="33"/>
  <c r="K329" i="33" s="1"/>
  <c r="J193" i="33"/>
  <c r="K193" i="33" s="1"/>
  <c r="J325" i="33"/>
  <c r="K325" i="33" s="1"/>
  <c r="J256" i="33"/>
  <c r="K256" i="33" s="1"/>
  <c r="J54" i="33"/>
  <c r="K54" i="33" s="1"/>
  <c r="J326" i="33"/>
  <c r="K326" i="33" s="1"/>
  <c r="J318" i="33"/>
  <c r="K318" i="33" s="1"/>
  <c r="J244" i="33"/>
  <c r="K244" i="33" s="1"/>
  <c r="J213" i="33"/>
  <c r="K213" i="33" s="1"/>
  <c r="J403" i="33"/>
  <c r="K403" i="33" s="1"/>
  <c r="J487" i="33"/>
  <c r="K487" i="33" s="1"/>
  <c r="J361" i="33"/>
  <c r="K361" i="33" s="1"/>
  <c r="J526" i="33"/>
  <c r="K526" i="33" s="1"/>
  <c r="J279" i="33"/>
  <c r="K279" i="33" s="1"/>
  <c r="J143" i="33"/>
  <c r="K143" i="33" s="1"/>
  <c r="J169" i="33"/>
  <c r="K169" i="33" s="1"/>
  <c r="J465" i="33"/>
  <c r="K465" i="33" s="1"/>
  <c r="J234" i="33"/>
  <c r="K234" i="33" s="1"/>
  <c r="J397" i="33"/>
  <c r="K397" i="33" s="1"/>
  <c r="J247" i="33"/>
  <c r="K247" i="33" s="1"/>
  <c r="J480" i="33"/>
  <c r="K480" i="33" s="1"/>
  <c r="J519" i="33"/>
  <c r="K519" i="33" s="1"/>
  <c r="J241" i="33"/>
  <c r="K241" i="33" s="1"/>
  <c r="J36" i="33"/>
  <c r="K36" i="33" s="1"/>
  <c r="J108" i="33"/>
  <c r="K108" i="33" s="1"/>
  <c r="J297" i="33"/>
  <c r="K297" i="33" s="1"/>
  <c r="J153" i="33"/>
  <c r="K153" i="33" s="1"/>
  <c r="J134" i="33"/>
  <c r="K134" i="33" s="1"/>
  <c r="J452" i="33"/>
  <c r="K452" i="33" s="1"/>
  <c r="J79" i="33"/>
  <c r="K79" i="33" s="1"/>
  <c r="J309" i="33"/>
  <c r="K309" i="33" s="1"/>
  <c r="J374" i="33"/>
  <c r="K374" i="33" s="1"/>
  <c r="J429" i="33"/>
  <c r="K429" i="33" s="1"/>
  <c r="J460" i="33"/>
  <c r="K460" i="33" s="1"/>
  <c r="J456" i="33"/>
  <c r="K456" i="33" s="1"/>
  <c r="J65" i="33"/>
  <c r="K65" i="33" s="1"/>
  <c r="J89" i="33"/>
  <c r="K89" i="33" s="1"/>
  <c r="J352" i="33"/>
  <c r="K352" i="33" s="1"/>
  <c r="J308" i="33"/>
  <c r="K308" i="33" s="1"/>
  <c r="J55" i="33"/>
  <c r="K55" i="33" s="1"/>
  <c r="J455" i="33"/>
  <c r="K455" i="33" s="1"/>
  <c r="J353" i="33"/>
  <c r="K353" i="33" s="1"/>
  <c r="J335" i="33"/>
  <c r="K335" i="33" s="1"/>
  <c r="J400" i="33"/>
  <c r="K400" i="33" s="1"/>
  <c r="J412" i="33"/>
  <c r="K412" i="33" s="1"/>
  <c r="J439" i="33"/>
  <c r="K439" i="33" s="1"/>
  <c r="J217" i="33"/>
  <c r="K217" i="33" s="1"/>
  <c r="J392" i="33"/>
  <c r="K392" i="33" s="1"/>
  <c r="J98" i="33"/>
  <c r="K98" i="33" s="1"/>
  <c r="J111" i="33"/>
  <c r="K111" i="33" s="1"/>
  <c r="J493" i="33"/>
  <c r="K493" i="33" s="1"/>
  <c r="J93" i="33"/>
  <c r="K93" i="33" s="1"/>
  <c r="J190" i="33"/>
  <c r="K190" i="33" s="1"/>
  <c r="J342" i="33"/>
  <c r="K342" i="33" s="1"/>
  <c r="J289" i="33"/>
  <c r="K289" i="33" s="1"/>
  <c r="J70" i="33"/>
  <c r="K70" i="33" s="1"/>
  <c r="J133" i="33"/>
  <c r="K133" i="33" s="1"/>
  <c r="J330" i="33"/>
  <c r="K330" i="33" s="1"/>
  <c r="J428" i="33"/>
  <c r="K428" i="33" s="1"/>
  <c r="J187" i="33"/>
  <c r="K187" i="33" s="1"/>
  <c r="J185" i="33"/>
  <c r="K185" i="33" s="1"/>
  <c r="J66" i="33"/>
  <c r="K66" i="33" s="1"/>
  <c r="J202" i="33"/>
  <c r="K202" i="33" s="1"/>
  <c r="J277" i="33"/>
  <c r="K277" i="33" s="1"/>
  <c r="J215" i="33"/>
  <c r="K215" i="33" s="1"/>
  <c r="J242" i="33"/>
  <c r="K242" i="33" s="1"/>
  <c r="J204" i="33"/>
  <c r="K204" i="33" s="1"/>
  <c r="J451" i="33"/>
  <c r="K451" i="33" s="1"/>
  <c r="J41" i="33"/>
  <c r="K41" i="33" s="1"/>
  <c r="J136" i="33"/>
  <c r="K136" i="33" s="1"/>
  <c r="J430" i="33"/>
  <c r="K430" i="33" s="1"/>
  <c r="J157" i="33"/>
  <c r="K157" i="33" s="1"/>
  <c r="J181" i="33"/>
  <c r="K181" i="33" s="1"/>
  <c r="J264" i="33"/>
  <c r="K264" i="33" s="1"/>
  <c r="J320" i="33"/>
  <c r="K320" i="33" s="1"/>
  <c r="J84" i="33"/>
  <c r="K84" i="33" s="1"/>
  <c r="J109" i="33"/>
  <c r="K109" i="33" s="1"/>
  <c r="J273" i="33"/>
  <c r="K273" i="33" s="1"/>
  <c r="J411" i="33"/>
  <c r="K411" i="33" s="1"/>
  <c r="J243" i="33"/>
  <c r="K243" i="33" s="1"/>
  <c r="J34" i="33"/>
  <c r="K34" i="33" s="1"/>
  <c r="J280" i="33"/>
  <c r="K280" i="33" s="1"/>
  <c r="J223" i="33"/>
  <c r="K223" i="33" s="1"/>
  <c r="J355" i="33"/>
  <c r="K355" i="33" s="1"/>
  <c r="J401" i="33"/>
  <c r="K401" i="33" s="1"/>
  <c r="J376" i="33"/>
  <c r="K376" i="33" s="1"/>
  <c r="J294" i="33"/>
  <c r="K294" i="33" s="1"/>
  <c r="J139" i="33"/>
  <c r="K139" i="33" s="1"/>
  <c r="J497" i="33"/>
  <c r="K497" i="33" s="1"/>
  <c r="J52" i="33"/>
  <c r="K52" i="33" s="1"/>
  <c r="J128" i="33"/>
  <c r="K128" i="33" s="1"/>
  <c r="J72" i="33"/>
  <c r="K72" i="33" s="1"/>
  <c r="J311" i="33"/>
  <c r="K311" i="33" s="1"/>
  <c r="J419" i="33"/>
  <c r="K419" i="33" s="1"/>
  <c r="J477" i="33"/>
  <c r="K477" i="33" s="1"/>
  <c r="J434" i="33"/>
  <c r="K434" i="33" s="1"/>
  <c r="J503" i="33"/>
  <c r="K503" i="33" s="1"/>
  <c r="J454" i="33"/>
  <c r="K454" i="33" s="1"/>
  <c r="J144" i="33"/>
  <c r="K144" i="33" s="1"/>
  <c r="J359" i="33"/>
  <c r="K359" i="33" s="1"/>
  <c r="J230" i="33"/>
  <c r="K230" i="33" s="1"/>
  <c r="J349" i="33"/>
  <c r="K349" i="33" s="1"/>
  <c r="J28" i="33"/>
  <c r="K28" i="33" s="1"/>
  <c r="J112" i="33"/>
  <c r="K112" i="33" s="1"/>
  <c r="J521" i="33"/>
  <c r="K521" i="33" s="1"/>
  <c r="J238" i="33"/>
  <c r="K238" i="33" s="1"/>
  <c r="J235" i="33"/>
  <c r="K235" i="33" s="1"/>
  <c r="J107" i="33"/>
  <c r="K107" i="33" s="1"/>
  <c r="J250" i="33"/>
  <c r="K250" i="33" s="1"/>
  <c r="J170" i="33"/>
  <c r="K170" i="33" s="1"/>
  <c r="J162" i="33"/>
  <c r="K162" i="33" s="1"/>
  <c r="J44" i="33"/>
  <c r="K44" i="33" s="1"/>
  <c r="J269" i="33"/>
  <c r="K269" i="33" s="1"/>
  <c r="J390" i="33"/>
  <c r="K390" i="33" s="1"/>
  <c r="J479" i="33"/>
  <c r="K479" i="33" s="1"/>
  <c r="J381" i="33"/>
  <c r="K381" i="33" s="1"/>
  <c r="J251" i="33"/>
  <c r="K251" i="33" s="1"/>
  <c r="J32" i="33"/>
  <c r="K32" i="33" s="1"/>
  <c r="J24" i="33"/>
  <c r="K24" i="33" s="1"/>
  <c r="J336" i="33"/>
  <c r="K336" i="33" s="1"/>
  <c r="J155" i="33"/>
  <c r="K155" i="33" s="1"/>
  <c r="J409" i="33"/>
  <c r="K409" i="33" s="1"/>
  <c r="J229" i="33"/>
  <c r="K229" i="33" s="1"/>
  <c r="J473" i="33"/>
  <c r="K473" i="33" s="1"/>
  <c r="J449" i="33"/>
  <c r="K449" i="33" s="1"/>
  <c r="J472" i="33"/>
  <c r="K472" i="33" s="1"/>
  <c r="J23" i="33"/>
  <c r="K23" i="33" s="1"/>
  <c r="J450" i="33"/>
  <c r="K450" i="33" s="1"/>
  <c r="J39" i="33"/>
  <c r="K39" i="33" s="1"/>
  <c r="J248" i="33"/>
  <c r="K248" i="33" s="1"/>
  <c r="J417" i="33"/>
  <c r="K417" i="33" s="1"/>
  <c r="J316" i="33"/>
  <c r="K316" i="33" s="1"/>
  <c r="J214" i="33"/>
  <c r="K214" i="33" s="1"/>
  <c r="J368" i="33"/>
  <c r="K368" i="33" s="1"/>
  <c r="J198" i="33"/>
  <c r="K198" i="33" s="1"/>
  <c r="J313" i="33"/>
  <c r="K313" i="33" s="1"/>
  <c r="J43" i="33"/>
  <c r="K43" i="33" s="1"/>
  <c r="J383" i="33"/>
  <c r="K383" i="33" s="1"/>
  <c r="J40" i="33"/>
  <c r="K40" i="33" s="1"/>
  <c r="J237" i="33"/>
  <c r="K237" i="33" s="1"/>
  <c r="J218" i="33"/>
  <c r="K218" i="33" s="1"/>
  <c r="J464" i="33"/>
  <c r="K464" i="33" s="1"/>
  <c r="J266" i="33"/>
  <c r="K266" i="33" s="1"/>
  <c r="J83" i="33"/>
  <c r="K83" i="33" s="1"/>
  <c r="J461" i="33"/>
  <c r="K461" i="33" s="1"/>
  <c r="J305" i="33"/>
  <c r="K305" i="33" s="1"/>
  <c r="J104" i="33"/>
  <c r="K104" i="33" s="1"/>
  <c r="J354" i="33"/>
  <c r="K354" i="33" s="1"/>
  <c r="B7" i="33"/>
  <c r="J159" i="33"/>
  <c r="K159" i="33" s="1"/>
  <c r="J77" i="33"/>
  <c r="K77" i="33" s="1"/>
  <c r="J158" i="33"/>
  <c r="K158" i="33" s="1"/>
  <c r="J161" i="33"/>
  <c r="K161" i="33" s="1"/>
  <c r="J364" i="33"/>
  <c r="K364" i="33" s="1"/>
  <c r="J524" i="33"/>
  <c r="K524" i="33" s="1"/>
  <c r="J300" i="33"/>
  <c r="K300" i="33" s="1"/>
  <c r="J370" i="33"/>
  <c r="K370" i="33" s="1"/>
  <c r="J319" i="33"/>
  <c r="K319" i="33" s="1"/>
  <c r="J278" i="33"/>
  <c r="K278" i="33" s="1"/>
  <c r="J91" i="33"/>
  <c r="K91" i="33" s="1"/>
  <c r="J191" i="33"/>
  <c r="K191" i="33" s="1"/>
  <c r="J274" i="33"/>
  <c r="K274" i="33" s="1"/>
  <c r="J366" i="33"/>
  <c r="K366" i="33" s="1"/>
  <c r="J124" i="33"/>
  <c r="K124" i="33" s="1"/>
  <c r="J328" i="33"/>
  <c r="K328" i="33" s="1"/>
  <c r="J322" i="33"/>
  <c r="K322" i="33" s="1"/>
  <c r="J31" i="33"/>
  <c r="K31" i="33" s="1"/>
  <c r="J110" i="33"/>
  <c r="K110" i="33" s="1"/>
  <c r="J471" i="33"/>
  <c r="K471" i="33" s="1"/>
  <c r="J68" i="33"/>
  <c r="K68" i="33" s="1"/>
  <c r="J208" i="33"/>
  <c r="K208" i="33" s="1"/>
  <c r="J324" i="33"/>
  <c r="K324" i="33" s="1"/>
  <c r="J271" i="33"/>
  <c r="K271" i="33" s="1"/>
  <c r="J520" i="33"/>
  <c r="K520" i="33" s="1"/>
  <c r="J76" i="33"/>
  <c r="K76" i="33" s="1"/>
  <c r="J197" i="33"/>
  <c r="K197" i="33" s="1"/>
  <c r="J357" i="33"/>
  <c r="K357" i="33" s="1"/>
  <c r="J129" i="33"/>
  <c r="K129" i="33" s="1"/>
  <c r="J272" i="33"/>
  <c r="K272" i="33" s="1"/>
  <c r="J177" i="33"/>
  <c r="K177" i="33" s="1"/>
  <c r="J245" i="33"/>
  <c r="K245" i="33" s="1"/>
  <c r="J102" i="33"/>
  <c r="K102" i="33" s="1"/>
  <c r="J212" i="33"/>
  <c r="K212" i="33" s="1"/>
  <c r="J196" i="33"/>
  <c r="K196" i="33" s="1"/>
  <c r="J118" i="33"/>
  <c r="K118" i="33" s="1"/>
  <c r="J331" i="33"/>
  <c r="K331" i="33" s="1"/>
  <c r="J265" i="33"/>
  <c r="K265" i="33" s="1"/>
  <c r="J337" i="33"/>
  <c r="K337" i="33" s="1"/>
  <c r="J523" i="33"/>
  <c r="K523" i="33" s="1"/>
  <c r="J323" i="33"/>
  <c r="K323" i="33" s="1"/>
  <c r="J344" i="33"/>
  <c r="K344" i="33" s="1"/>
  <c r="J183" i="33"/>
  <c r="K183" i="33" s="1"/>
  <c r="J362" i="33"/>
  <c r="K362" i="33" s="1"/>
  <c r="J446" i="33"/>
  <c r="K446" i="33" s="1"/>
  <c r="J51" i="33"/>
  <c r="K51" i="33" s="1"/>
  <c r="J468" i="33"/>
  <c r="K468" i="33" s="1"/>
  <c r="J135" i="33"/>
  <c r="K135" i="33" s="1"/>
  <c r="J495" i="33"/>
  <c r="K495" i="33" s="1"/>
  <c r="J405" i="33"/>
  <c r="K405" i="33" s="1"/>
  <c r="J389" i="33"/>
  <c r="K389" i="33" s="1"/>
  <c r="J442" i="33"/>
  <c r="K442" i="33" s="1"/>
  <c r="J501" i="33"/>
  <c r="K501" i="33" s="1"/>
  <c r="J293" i="33"/>
  <c r="K293" i="33" s="1"/>
  <c r="J432" i="33"/>
  <c r="K432" i="33" s="1"/>
  <c r="J90" i="33"/>
  <c r="K90" i="33" s="1"/>
  <c r="J463" i="33"/>
  <c r="K463" i="33" s="1"/>
  <c r="J176" i="33"/>
  <c r="K176" i="33" s="1"/>
  <c r="J92" i="33"/>
  <c r="K92" i="33" s="1"/>
  <c r="J87" i="33"/>
  <c r="K87" i="33" s="1"/>
  <c r="J387" i="33"/>
  <c r="K387" i="33" s="1"/>
  <c r="J115" i="33"/>
  <c r="K115" i="33" s="1"/>
  <c r="J114" i="33"/>
  <c r="K114" i="33" s="1"/>
  <c r="J441" i="33"/>
  <c r="K441" i="33" s="1"/>
  <c r="J59" i="33"/>
  <c r="K59" i="33" s="1"/>
  <c r="J138" i="33"/>
  <c r="K138" i="33" s="1"/>
  <c r="J314" i="33"/>
  <c r="K314" i="33" s="1"/>
  <c r="J485" i="33"/>
  <c r="K485" i="33" s="1"/>
  <c r="J500" i="33"/>
  <c r="K500" i="33" s="1"/>
  <c r="J371" i="33"/>
  <c r="K371" i="33" s="1"/>
  <c r="J165" i="33"/>
  <c r="K165" i="33" s="1"/>
  <c r="J475" i="33"/>
  <c r="K475" i="33" s="1"/>
  <c r="J186" i="33"/>
  <c r="K186" i="33" s="1"/>
  <c r="J64" i="33"/>
  <c r="K64" i="33" s="1"/>
  <c r="J505" i="33"/>
  <c r="K505" i="33" s="1"/>
  <c r="J125" i="33"/>
  <c r="K125" i="33" s="1"/>
  <c r="J224" i="33"/>
  <c r="K224" i="33" s="1"/>
  <c r="J210" i="33"/>
  <c r="K210" i="33" s="1"/>
  <c r="J151" i="33"/>
  <c r="K151" i="33" s="1"/>
  <c r="J492" i="33"/>
  <c r="K492" i="33" s="1"/>
  <c r="J347" i="33"/>
  <c r="K347" i="33" s="1"/>
  <c r="J334" i="33"/>
  <c r="K334" i="33" s="1"/>
  <c r="J26" i="33"/>
  <c r="K26" i="33" s="1"/>
  <c r="J388" i="33"/>
  <c r="K388" i="33" s="1"/>
  <c r="J262" i="33"/>
  <c r="K262" i="33" s="1"/>
  <c r="J288" i="33"/>
  <c r="K288" i="33" s="1"/>
  <c r="J292" i="33"/>
  <c r="K292" i="33" s="1"/>
  <c r="J421" i="33"/>
  <c r="K421" i="33" s="1"/>
  <c r="J286" i="33"/>
  <c r="K286" i="33" s="1"/>
  <c r="J130" i="33"/>
  <c r="K130" i="33" s="1"/>
  <c r="J348" i="33"/>
  <c r="K348" i="33" s="1"/>
  <c r="J356" i="33"/>
  <c r="K356" i="33" s="1"/>
  <c r="J147" i="33"/>
  <c r="K147" i="33" s="1"/>
  <c r="J146" i="33"/>
  <c r="K146" i="33" s="1"/>
  <c r="J407" i="33"/>
  <c r="K407" i="33" s="1"/>
  <c r="J351" i="33"/>
  <c r="K351" i="33" s="1"/>
  <c r="J172" i="33"/>
  <c r="K172" i="33" s="1"/>
  <c r="J447" i="33"/>
  <c r="K447" i="33" s="1"/>
  <c r="J199" i="33"/>
  <c r="K199" i="33" s="1"/>
  <c r="J180" i="33"/>
  <c r="K180" i="33" s="1"/>
  <c r="J116" i="33"/>
  <c r="K116" i="33" s="1"/>
  <c r="J327" i="33"/>
  <c r="K327" i="33" s="1"/>
  <c r="J268" i="33"/>
  <c r="K268" i="33" s="1"/>
  <c r="J467" i="33"/>
  <c r="K467" i="33" s="1"/>
  <c r="J410" i="33"/>
  <c r="K410" i="33" s="1"/>
  <c r="J398" i="33"/>
  <c r="K398" i="33" s="1"/>
  <c r="J62" i="33"/>
  <c r="K62" i="33" s="1"/>
  <c r="J94" i="33"/>
  <c r="K94" i="33" s="1"/>
  <c r="J385" i="33"/>
  <c r="K385" i="33" s="1"/>
  <c r="J296" i="33"/>
  <c r="K296" i="33" s="1"/>
  <c r="J498" i="33"/>
  <c r="K498" i="33" s="1"/>
  <c r="J38" i="33"/>
  <c r="K38" i="33" s="1"/>
  <c r="J413" i="33"/>
  <c r="K413" i="33" s="1"/>
  <c r="J60" i="33"/>
  <c r="K60" i="33" s="1"/>
  <c r="J123" i="33"/>
  <c r="K123" i="33" s="1"/>
  <c r="J171" i="33"/>
  <c r="K171" i="33" s="1"/>
  <c r="J71" i="33"/>
  <c r="K71" i="33" s="1"/>
  <c r="J298" i="33"/>
  <c r="K298" i="33" s="1"/>
  <c r="J302" i="33"/>
  <c r="K302" i="33" s="1"/>
  <c r="J209" i="33"/>
  <c r="K209" i="33" s="1"/>
  <c r="J140" i="33"/>
  <c r="K140" i="33" s="1"/>
  <c r="J518" i="33"/>
  <c r="K518" i="33" s="1"/>
  <c r="J437" i="33"/>
  <c r="K437" i="33" s="1"/>
  <c r="J317" i="33"/>
  <c r="K317" i="33" s="1"/>
  <c r="J360" i="33"/>
  <c r="K360" i="33" s="1"/>
  <c r="J431" i="33"/>
  <c r="K431" i="33" s="1"/>
  <c r="J527" i="33"/>
  <c r="K527" i="33" s="1"/>
  <c r="J88" i="33"/>
  <c r="K88" i="33" s="1"/>
  <c r="J424" i="33"/>
  <c r="K424" i="33" s="1"/>
  <c r="J80" i="33"/>
  <c r="K80" i="33" s="1"/>
  <c r="J404" i="33"/>
  <c r="K404" i="33" s="1"/>
  <c r="J375" i="33"/>
  <c r="K375" i="33" s="1"/>
  <c r="J30" i="33"/>
  <c r="K30" i="33" s="1"/>
  <c r="J113" i="33"/>
  <c r="K113" i="33" s="1"/>
  <c r="J295" i="33"/>
  <c r="K295" i="33" s="1"/>
  <c r="J152" i="33"/>
  <c r="K152" i="33" s="1"/>
  <c r="J483" i="33"/>
  <c r="K483" i="33" s="1"/>
  <c r="J239" i="33"/>
  <c r="K239" i="33" s="1"/>
  <c r="J178" i="33"/>
  <c r="K178" i="33" s="1"/>
  <c r="J496" i="33"/>
  <c r="K496" i="33" s="1"/>
  <c r="J394" i="33"/>
  <c r="K394" i="33" s="1"/>
  <c r="J205" i="33"/>
  <c r="K205" i="33" s="1"/>
  <c r="J120" i="33"/>
  <c r="K120" i="33" s="1"/>
  <c r="J490" i="33"/>
  <c r="K490" i="33" s="1"/>
  <c r="J57" i="33"/>
  <c r="K57" i="33" s="1"/>
  <c r="J21" i="33"/>
  <c r="K21" i="33" s="1"/>
  <c r="J291" i="33"/>
  <c r="K291" i="33" s="1"/>
  <c r="J121" i="33"/>
  <c r="K121" i="33" s="1"/>
  <c r="J101" i="33"/>
  <c r="K101" i="33" s="1"/>
  <c r="J470" i="33"/>
  <c r="K470" i="33" s="1"/>
  <c r="J126" i="33"/>
  <c r="K126" i="33" s="1"/>
  <c r="J207" i="33"/>
  <c r="K207" i="33" s="1"/>
  <c r="J281" i="33"/>
  <c r="K281" i="33" s="1"/>
  <c r="J282" i="33"/>
  <c r="K282" i="33" s="1"/>
  <c r="J233" i="33"/>
  <c r="K233" i="33" s="1"/>
  <c r="J350" i="33"/>
  <c r="K350" i="33" s="1"/>
  <c r="J260" i="33"/>
  <c r="K260" i="33" s="1"/>
  <c r="J246" i="33"/>
  <c r="K246" i="33" s="1"/>
  <c r="J469" i="33"/>
  <c r="K469" i="33" s="1"/>
  <c r="J149" i="33"/>
  <c r="K149" i="33" s="1"/>
  <c r="J164" i="33"/>
  <c r="K164" i="33" s="1"/>
  <c r="J312" i="33"/>
  <c r="K312" i="33" s="1"/>
  <c r="J148" i="33"/>
  <c r="K148" i="33" s="1"/>
  <c r="J508" i="33"/>
  <c r="K508" i="33" s="1"/>
  <c r="J462" i="33"/>
  <c r="K462" i="33" s="1"/>
  <c r="J19" i="33"/>
  <c r="K19" i="33" s="1"/>
  <c r="J200" i="33"/>
  <c r="K200" i="33" s="1"/>
  <c r="J220" i="33"/>
  <c r="K220" i="33" s="1"/>
  <c r="J252" i="33"/>
  <c r="K252" i="33" s="1"/>
  <c r="J384" i="33"/>
  <c r="K384" i="33" s="1"/>
  <c r="J491" i="33"/>
  <c r="K491" i="33" s="1"/>
  <c r="J466" i="33"/>
  <c r="K466" i="33" s="1"/>
  <c r="J459" i="33"/>
  <c r="K459" i="33" s="1"/>
  <c r="J259" i="33"/>
  <c r="K259" i="33" s="1"/>
  <c r="J255" i="33"/>
  <c r="K255" i="33" s="1"/>
  <c r="J510" i="33"/>
  <c r="K510" i="33" s="1"/>
  <c r="J433" i="33"/>
  <c r="K433" i="33" s="1"/>
  <c r="J211" i="33"/>
  <c r="K211" i="33" s="1"/>
  <c r="J395" i="33"/>
  <c r="K395" i="33" s="1"/>
  <c r="J380" i="33"/>
  <c r="K380" i="33" s="1"/>
  <c r="J338" i="33"/>
  <c r="K338" i="33" s="1"/>
  <c r="J96" i="33"/>
  <c r="K96" i="33" s="1"/>
  <c r="J511" i="33"/>
  <c r="K511" i="33" s="1"/>
  <c r="J514" i="33"/>
  <c r="K514" i="33" s="1"/>
  <c r="J142" i="33"/>
  <c r="K142" i="33" s="1"/>
  <c r="J18" i="33"/>
  <c r="K18" i="33" s="1"/>
  <c r="J35" i="33"/>
  <c r="K35" i="33" s="1"/>
  <c r="J517" i="33"/>
  <c r="K517" i="33" s="1"/>
  <c r="J160" i="33"/>
  <c r="K160" i="33" s="1"/>
  <c r="J81" i="33"/>
  <c r="K81" i="33" s="1"/>
  <c r="J46" i="33"/>
  <c r="K46" i="33" s="1"/>
  <c r="J287" i="33"/>
  <c r="K287" i="33" s="1"/>
  <c r="J516" i="33"/>
  <c r="K516" i="33" s="1"/>
  <c r="J301" i="33"/>
  <c r="K301" i="33" s="1"/>
  <c r="J435" i="33"/>
  <c r="K435" i="33" s="1"/>
  <c r="J194" i="33"/>
  <c r="K194" i="33" s="1"/>
  <c r="J206" i="33"/>
  <c r="K206" i="33" s="1"/>
  <c r="J150" i="33"/>
  <c r="K150" i="33" s="1"/>
  <c r="J166" i="33"/>
  <c r="K166" i="33" s="1"/>
  <c r="J290" i="33"/>
  <c r="K290" i="33" s="1"/>
  <c r="J391" i="33"/>
  <c r="K391" i="33" s="1"/>
  <c r="J195" i="33"/>
  <c r="K195" i="33" s="1"/>
  <c r="J315" i="33"/>
  <c r="K315" i="33" s="1"/>
  <c r="J276" i="33"/>
  <c r="K276" i="33" s="1"/>
  <c r="J78" i="33"/>
  <c r="K78" i="33" s="1"/>
  <c r="J423" i="33"/>
  <c r="K423" i="33" s="1"/>
  <c r="J440" i="33"/>
  <c r="K440" i="33" s="1"/>
  <c r="J379" i="33"/>
  <c r="K379" i="33" s="1"/>
  <c r="J525" i="33"/>
  <c r="K525" i="33" s="1"/>
  <c r="J393" i="33"/>
  <c r="K393" i="33" s="1"/>
  <c r="J184" i="33"/>
  <c r="K184" i="33" s="1"/>
  <c r="J474" i="33"/>
  <c r="K474" i="33" s="1"/>
  <c r="J258" i="33"/>
  <c r="K258" i="33" s="1"/>
  <c r="J105" i="33"/>
  <c r="K105" i="33" s="1"/>
  <c r="J227" i="33"/>
  <c r="K227" i="33" s="1"/>
  <c r="J422" i="33"/>
  <c r="K422" i="33" s="1"/>
  <c r="J67" i="33"/>
  <c r="K67" i="33" s="1"/>
  <c r="J175" i="33"/>
  <c r="K175" i="33" s="1"/>
  <c r="J27" i="33"/>
  <c r="K27" i="33" s="1"/>
  <c r="J310" i="33"/>
  <c r="K310" i="33" s="1"/>
  <c r="J358" i="33"/>
  <c r="K358" i="33" s="1"/>
  <c r="J117" i="33"/>
  <c r="K117" i="33" s="1"/>
  <c r="J63" i="33"/>
  <c r="K63" i="33" s="1"/>
  <c r="J365" i="33"/>
  <c r="K365" i="33" s="1"/>
  <c r="J119" i="33"/>
  <c r="K119" i="33" s="1"/>
  <c r="J145" i="33"/>
  <c r="K145" i="33" s="1"/>
  <c r="J99" i="33"/>
  <c r="K99" i="33" s="1"/>
  <c r="J29" i="33"/>
  <c r="K29" i="33" s="1"/>
  <c r="M614" i="33"/>
  <c r="M579" i="33"/>
  <c r="M794" i="33"/>
  <c r="M709" i="33"/>
  <c r="M627" i="33"/>
  <c r="M774" i="33"/>
  <c r="M845" i="33"/>
  <c r="M581" i="33"/>
  <c r="M761" i="33"/>
  <c r="M1057" i="33"/>
  <c r="M562" i="33"/>
  <c r="M983" i="33"/>
  <c r="M715" i="33"/>
  <c r="M776" i="33"/>
  <c r="M901" i="33"/>
  <c r="M783" i="33"/>
  <c r="M979" i="33"/>
  <c r="M661" i="33"/>
  <c r="M895" i="33"/>
  <c r="M1043" i="33"/>
  <c r="M587" i="33"/>
  <c r="M985" i="33"/>
  <c r="M736" i="33"/>
  <c r="M1058" i="33"/>
  <c r="M576" i="33"/>
  <c r="M780" i="33"/>
  <c r="M753" i="33"/>
  <c r="M688" i="33"/>
  <c r="M1028" i="33"/>
  <c r="M817" i="33"/>
  <c r="M995" i="33"/>
  <c r="M839" i="33"/>
  <c r="M957" i="33"/>
  <c r="M668" i="33"/>
  <c r="M986" i="33"/>
  <c r="M632" i="33"/>
  <c r="M735" i="33"/>
  <c r="M952" i="33"/>
  <c r="M1009" i="33"/>
  <c r="M782" i="33"/>
  <c r="M563" i="33"/>
  <c r="M1032" i="33"/>
  <c r="M716" i="33"/>
  <c r="C263" i="23"/>
  <c r="B71" i="34"/>
  <c r="M585" i="33"/>
  <c r="M929" i="33"/>
  <c r="M910" i="33"/>
  <c r="M987" i="33"/>
  <c r="M635" i="33"/>
  <c r="M921" i="33"/>
  <c r="M1000" i="33"/>
  <c r="M578" i="33"/>
  <c r="M883" i="33"/>
  <c r="M645" i="33"/>
  <c r="M552" i="33"/>
  <c r="M710" i="33"/>
  <c r="M566" i="33"/>
  <c r="M777" i="33"/>
  <c r="M954" i="33"/>
  <c r="M723" i="33"/>
  <c r="M922" i="33"/>
  <c r="M829" i="33"/>
  <c r="M786" i="33"/>
  <c r="M973" i="33"/>
  <c r="M629" i="33"/>
  <c r="M841" i="33"/>
  <c r="M961" i="33"/>
  <c r="M613" i="33"/>
  <c r="M899" i="33"/>
  <c r="M654" i="33"/>
  <c r="M876" i="33"/>
  <c r="M775" i="33"/>
  <c r="M586" i="33"/>
  <c r="M1040" i="33"/>
  <c r="M896" i="33"/>
  <c r="M554" i="33"/>
  <c r="M988" i="33"/>
  <c r="M1060" i="33"/>
  <c r="M1017" i="33"/>
  <c r="M672" i="33"/>
  <c r="M939" i="33"/>
  <c r="M869" i="33"/>
  <c r="M677" i="33"/>
  <c r="M1062" i="33"/>
  <c r="M1036" i="33"/>
  <c r="M940" i="33"/>
  <c r="J628" i="33"/>
  <c r="K628" i="33" s="1"/>
  <c r="J913" i="33"/>
  <c r="K913" i="33" s="1"/>
  <c r="J574" i="33"/>
  <c r="K574" i="33" s="1"/>
  <c r="J1036" i="33"/>
  <c r="K1036" i="33" s="1"/>
  <c r="J856" i="33"/>
  <c r="K856" i="33" s="1"/>
  <c r="J869" i="33"/>
  <c r="K869" i="33" s="1"/>
  <c r="J766" i="33"/>
  <c r="K766" i="33" s="1"/>
  <c r="J763" i="33"/>
  <c r="K763" i="33" s="1"/>
  <c r="J593" i="33"/>
  <c r="K593" i="33" s="1"/>
  <c r="J941" i="33"/>
  <c r="K941" i="33" s="1"/>
  <c r="J857" i="33"/>
  <c r="K857" i="33" s="1"/>
  <c r="J851" i="33"/>
  <c r="K851" i="33" s="1"/>
  <c r="J823" i="33"/>
  <c r="K823" i="33" s="1"/>
  <c r="J793" i="33"/>
  <c r="K793" i="33" s="1"/>
  <c r="J663" i="33"/>
  <c r="K663" i="33" s="1"/>
  <c r="J971" i="33"/>
  <c r="K971" i="33" s="1"/>
  <c r="J769" i="33"/>
  <c r="K769" i="33" s="1"/>
  <c r="J1035" i="33"/>
  <c r="K1035" i="33" s="1"/>
  <c r="J569" i="33"/>
  <c r="K569" i="33" s="1"/>
  <c r="J986" i="33"/>
  <c r="K986" i="33" s="1"/>
  <c r="J557" i="33"/>
  <c r="K557" i="33" s="1"/>
  <c r="J785" i="33"/>
  <c r="K785" i="33" s="1"/>
  <c r="J915" i="33"/>
  <c r="K915" i="33" s="1"/>
  <c r="J651" i="33"/>
  <c r="K651" i="33" s="1"/>
  <c r="J884" i="33"/>
  <c r="K884" i="33" s="1"/>
  <c r="J622" i="33"/>
  <c r="K622" i="33" s="1"/>
  <c r="J912" i="33"/>
  <c r="K912" i="33" s="1"/>
  <c r="J942" i="33"/>
  <c r="K942" i="33" s="1"/>
  <c r="J807" i="33"/>
  <c r="K807" i="33" s="1"/>
  <c r="J894" i="33"/>
  <c r="K894" i="33" s="1"/>
  <c r="J682" i="33"/>
  <c r="K682" i="33" s="1"/>
  <c r="J896" i="33"/>
  <c r="K896" i="33" s="1"/>
  <c r="J726" i="33"/>
  <c r="K726" i="33" s="1"/>
  <c r="J867" i="33"/>
  <c r="K867" i="33" s="1"/>
  <c r="J874" i="33"/>
  <c r="K874" i="33" s="1"/>
  <c r="J626" i="33"/>
  <c r="K626" i="33" s="1"/>
  <c r="J1057" i="33"/>
  <c r="K1057" i="33" s="1"/>
  <c r="J699" i="33"/>
  <c r="K699" i="33" s="1"/>
  <c r="J858" i="33"/>
  <c r="K858" i="33" s="1"/>
  <c r="J580" i="33"/>
  <c r="K580" i="33" s="1"/>
  <c r="J638" i="33"/>
  <c r="K638" i="33" s="1"/>
  <c r="J945" i="33"/>
  <c r="K945" i="33" s="1"/>
  <c r="J808" i="33"/>
  <c r="K808" i="33" s="1"/>
  <c r="J1056" i="33"/>
  <c r="K1056" i="33" s="1"/>
  <c r="J992" i="33"/>
  <c r="K992" i="33" s="1"/>
  <c r="J893" i="33"/>
  <c r="K893" i="33" s="1"/>
  <c r="J621" i="33"/>
  <c r="K621" i="33" s="1"/>
  <c r="J883" i="33"/>
  <c r="K883" i="33" s="1"/>
  <c r="J752" i="33"/>
  <c r="K752" i="33" s="1"/>
  <c r="J611" i="33"/>
  <c r="K611" i="33" s="1"/>
  <c r="J774" i="33"/>
  <c r="K774" i="33" s="1"/>
  <c r="J566" i="33"/>
  <c r="K566" i="33" s="1"/>
  <c r="J676" i="33"/>
  <c r="K676" i="33" s="1"/>
  <c r="J1050" i="33"/>
  <c r="K1050" i="33" s="1"/>
  <c r="J921" i="33"/>
  <c r="K921" i="33" s="1"/>
  <c r="J560" i="33"/>
  <c r="K560" i="33" s="1"/>
  <c r="J607" i="33"/>
  <c r="K607" i="33" s="1"/>
  <c r="J712" i="33"/>
  <c r="K712" i="33" s="1"/>
  <c r="J803" i="33"/>
  <c r="K803" i="33" s="1"/>
  <c r="J818" i="33"/>
  <c r="K818" i="33" s="1"/>
  <c r="J797" i="33"/>
  <c r="K797" i="33" s="1"/>
  <c r="J1008" i="33"/>
  <c r="K1008" i="33" s="1"/>
  <c r="J669" i="33"/>
  <c r="K669" i="33" s="1"/>
  <c r="J757" i="33"/>
  <c r="K757" i="33" s="1"/>
  <c r="J998" i="33"/>
  <c r="K998" i="33" s="1"/>
  <c r="J927" i="33"/>
  <c r="K927" i="33" s="1"/>
  <c r="J961" i="33"/>
  <c r="K961" i="33" s="1"/>
  <c r="J616" i="33"/>
  <c r="K616" i="33" s="1"/>
  <c r="J982" i="33"/>
  <c r="K982" i="33" s="1"/>
  <c r="J659" i="33"/>
  <c r="K659" i="33" s="1"/>
  <c r="J608" i="33"/>
  <c r="K608" i="33" s="1"/>
  <c r="J728" i="33"/>
  <c r="K728" i="33" s="1"/>
  <c r="J920" i="33"/>
  <c r="K920" i="33" s="1"/>
  <c r="J634" i="33"/>
  <c r="K634" i="33" s="1"/>
  <c r="J1034" i="33"/>
  <c r="K1034" i="33" s="1"/>
  <c r="J880" i="33"/>
  <c r="K880" i="33" s="1"/>
  <c r="J599" i="33"/>
  <c r="K599" i="33" s="1"/>
  <c r="J958" i="33"/>
  <c r="K958" i="33" s="1"/>
  <c r="J627" i="33"/>
  <c r="K627" i="33" s="1"/>
  <c r="J614" i="33"/>
  <c r="K614" i="33" s="1"/>
  <c r="J831" i="33"/>
  <c r="K831" i="33" s="1"/>
  <c r="J660" i="33"/>
  <c r="K660" i="33" s="1"/>
  <c r="J579" i="33"/>
  <c r="K579" i="33" s="1"/>
  <c r="J928" i="33"/>
  <c r="K928" i="33" s="1"/>
  <c r="J825" i="33"/>
  <c r="K825" i="33" s="1"/>
  <c r="J662" i="33"/>
  <c r="K662" i="33" s="1"/>
  <c r="J689" i="33"/>
  <c r="K689" i="33" s="1"/>
  <c r="J987" i="33"/>
  <c r="K987" i="33" s="1"/>
  <c r="J1005" i="33"/>
  <c r="K1005" i="33" s="1"/>
  <c r="J791" i="33"/>
  <c r="K791" i="33" s="1"/>
  <c r="J565" i="33"/>
  <c r="K565" i="33" s="1"/>
  <c r="J1060" i="33"/>
  <c r="K1060" i="33" s="1"/>
  <c r="J708" i="33"/>
  <c r="K708" i="33" s="1"/>
  <c r="J984" i="33"/>
  <c r="K984" i="33" s="1"/>
  <c r="J765" i="33"/>
  <c r="K765" i="33" s="1"/>
  <c r="J932" i="33"/>
  <c r="K932" i="33" s="1"/>
  <c r="J907" i="33"/>
  <c r="K907" i="33" s="1"/>
  <c r="J594" i="33"/>
  <c r="K594" i="33" s="1"/>
  <c r="J603" i="33"/>
  <c r="K603" i="33" s="1"/>
  <c r="J832" i="33"/>
  <c r="K832" i="33" s="1"/>
  <c r="J629" i="33"/>
  <c r="K629" i="33" s="1"/>
  <c r="J770" i="33"/>
  <c r="K770" i="33" s="1"/>
  <c r="J902" i="33"/>
  <c r="K902" i="33" s="1"/>
  <c r="J619" i="33"/>
  <c r="K619" i="33" s="1"/>
  <c r="J980" i="33"/>
  <c r="K980" i="33" s="1"/>
  <c r="J764" i="33"/>
  <c r="K764" i="33" s="1"/>
  <c r="J784" i="33"/>
  <c r="K784" i="33" s="1"/>
  <c r="J639" i="33"/>
  <c r="K639" i="33" s="1"/>
  <c r="J661" i="33"/>
  <c r="K661" i="33" s="1"/>
  <c r="J666" i="33"/>
  <c r="K666" i="33" s="1"/>
  <c r="J750" i="33"/>
  <c r="K750" i="33" s="1"/>
  <c r="J558" i="33"/>
  <c r="K558" i="33" s="1"/>
  <c r="J581" i="33"/>
  <c r="K581" i="33" s="1"/>
  <c r="J989" i="33"/>
  <c r="K989" i="33" s="1"/>
  <c r="J690" i="33"/>
  <c r="K690" i="33" s="1"/>
  <c r="J653" i="33"/>
  <c r="K653" i="33" s="1"/>
  <c r="J994" i="33"/>
  <c r="K994" i="33" s="1"/>
  <c r="J759" i="33"/>
  <c r="K759" i="33" s="1"/>
  <c r="J760" i="33"/>
  <c r="K760" i="33" s="1"/>
  <c r="J821" i="33"/>
  <c r="K821" i="33" s="1"/>
  <c r="J956" i="33"/>
  <c r="K956" i="33" s="1"/>
  <c r="J1052" i="33"/>
  <c r="K1052" i="33" s="1"/>
  <c r="J647" i="33"/>
  <c r="K647" i="33" s="1"/>
  <c r="J709" i="33"/>
  <c r="K709" i="33" s="1"/>
  <c r="J799" i="33"/>
  <c r="K799" i="33" s="1"/>
  <c r="J952" i="33"/>
  <c r="K952" i="33" s="1"/>
  <c r="J1007" i="33"/>
  <c r="K1007" i="33" s="1"/>
  <c r="J776" i="33"/>
  <c r="K776" i="33" s="1"/>
  <c r="J836" i="33"/>
  <c r="K836" i="33" s="1"/>
  <c r="J762" i="33"/>
  <c r="K762" i="33" s="1"/>
  <c r="J632" i="33"/>
  <c r="K632" i="33" s="1"/>
  <c r="J554" i="33"/>
  <c r="K554" i="33" s="1"/>
  <c r="J1019" i="33"/>
  <c r="K1019" i="33" s="1"/>
  <c r="J1053" i="33"/>
  <c r="K1053" i="33" s="1"/>
  <c r="J775" i="33"/>
  <c r="K775" i="33" s="1"/>
  <c r="J868" i="33"/>
  <c r="K868" i="33" s="1"/>
  <c r="J553" i="33"/>
  <c r="K553" i="33" s="1"/>
  <c r="J588" i="33"/>
  <c r="K588" i="33" s="1"/>
  <c r="J691" i="33"/>
  <c r="K691" i="33" s="1"/>
  <c r="J806" i="33"/>
  <c r="K806" i="33" s="1"/>
  <c r="J792" i="33"/>
  <c r="K792" i="33" s="1"/>
  <c r="J1013" i="33"/>
  <c r="K1013" i="33" s="1"/>
  <c r="J698" i="33"/>
  <c r="K698" i="33" s="1"/>
  <c r="J1032" i="33"/>
  <c r="K1032" i="33" s="1"/>
  <c r="J609" i="33"/>
  <c r="K609" i="33" s="1"/>
  <c r="J904" i="33"/>
  <c r="K904" i="33" s="1"/>
  <c r="J577" i="33"/>
  <c r="K577" i="33" s="1"/>
  <c r="J872" i="33"/>
  <c r="K872" i="33" s="1"/>
  <c r="J584" i="33"/>
  <c r="K584" i="33" s="1"/>
  <c r="J999" i="33"/>
  <c r="K999" i="33" s="1"/>
  <c r="J877" i="33"/>
  <c r="K877" i="33" s="1"/>
  <c r="J1028" i="33"/>
  <c r="K1028" i="33" s="1"/>
  <c r="J934" i="33"/>
  <c r="K934" i="33" s="1"/>
  <c r="J781" i="33"/>
  <c r="K781" i="33" s="1"/>
  <c r="J678" i="33"/>
  <c r="K678" i="33" s="1"/>
  <c r="J749" i="33"/>
  <c r="K749" i="33" s="1"/>
  <c r="J833" i="33"/>
  <c r="K833" i="33" s="1"/>
  <c r="J947" i="33"/>
  <c r="K947" i="33" s="1"/>
  <c r="J828" i="33"/>
  <c r="K828" i="33" s="1"/>
  <c r="J1023" i="33"/>
  <c r="K1023" i="33" s="1"/>
  <c r="J900" i="33"/>
  <c r="K900" i="33" s="1"/>
  <c r="J930" i="33"/>
  <c r="K930" i="33" s="1"/>
  <c r="J697" i="33"/>
  <c r="K697" i="33" s="1"/>
  <c r="J675" i="33"/>
  <c r="K675" i="33" s="1"/>
  <c r="J845" i="33"/>
  <c r="K845" i="33" s="1"/>
  <c r="J955" i="33"/>
  <c r="K955" i="33" s="1"/>
  <c r="J936" i="33"/>
  <c r="K936" i="33" s="1"/>
  <c r="J571" i="33"/>
  <c r="K571" i="33" s="1"/>
  <c r="J720" i="33"/>
  <c r="K720" i="33" s="1"/>
  <c r="J862" i="33"/>
  <c r="K862" i="33" s="1"/>
  <c r="J686" i="33"/>
  <c r="K686" i="33" s="1"/>
  <c r="J563" i="33"/>
  <c r="K563" i="33" s="1"/>
  <c r="J556" i="33"/>
  <c r="K556" i="33" s="1"/>
  <c r="J604" i="33"/>
  <c r="K604" i="33" s="1"/>
  <c r="J589" i="33"/>
  <c r="K589" i="33" s="1"/>
  <c r="J888" i="33"/>
  <c r="K888" i="33" s="1"/>
  <c r="J835" i="33"/>
  <c r="K835" i="33" s="1"/>
  <c r="J935" i="33"/>
  <c r="K935" i="33" s="1"/>
  <c r="J650" i="33"/>
  <c r="K650" i="33" s="1"/>
  <c r="J561" i="33"/>
  <c r="K561" i="33" s="1"/>
  <c r="J597" i="33"/>
  <c r="K597" i="33" s="1"/>
  <c r="J702" i="33"/>
  <c r="K702" i="33" s="1"/>
  <c r="J641" i="33"/>
  <c r="K641" i="33" s="1"/>
  <c r="J572" i="33"/>
  <c r="K572" i="33" s="1"/>
  <c r="J1006" i="33"/>
  <c r="K1006" i="33" s="1"/>
  <c r="J834" i="33"/>
  <c r="K834" i="33" s="1"/>
  <c r="J924" i="33"/>
  <c r="K924" i="33" s="1"/>
  <c r="J633" i="33"/>
  <c r="K633" i="33" s="1"/>
  <c r="J657" i="33"/>
  <c r="K657" i="33" s="1"/>
  <c r="J940" i="33"/>
  <c r="K940" i="33" s="1"/>
  <c r="J1038" i="33"/>
  <c r="K1038" i="33" s="1"/>
  <c r="J964" i="33"/>
  <c r="K964" i="33" s="1"/>
  <c r="J978" i="33"/>
  <c r="K978" i="33" s="1"/>
  <c r="J977" i="33"/>
  <c r="K977" i="33" s="1"/>
  <c r="J592" i="33"/>
  <c r="K592" i="33" s="1"/>
  <c r="J1043" i="33"/>
  <c r="K1043" i="33" s="1"/>
  <c r="J778" i="33"/>
  <c r="K778" i="33" s="1"/>
  <c r="J643" i="33"/>
  <c r="K643" i="33" s="1"/>
  <c r="J1020" i="33"/>
  <c r="K1020" i="33" s="1"/>
  <c r="J710" i="33"/>
  <c r="K710" i="33" s="1"/>
  <c r="J656" i="33"/>
  <c r="K656" i="33" s="1"/>
  <c r="J620" i="33"/>
  <c r="K620" i="33" s="1"/>
  <c r="J610" i="33"/>
  <c r="K610" i="33" s="1"/>
  <c r="J973" i="33"/>
  <c r="K973" i="33" s="1"/>
  <c r="J1058" i="33"/>
  <c r="K1058" i="33" s="1"/>
  <c r="J707" i="33"/>
  <c r="K707" i="33" s="1"/>
  <c r="J625" i="33"/>
  <c r="K625" i="33" s="1"/>
  <c r="J802" i="33"/>
  <c r="K802" i="33" s="1"/>
  <c r="J679" i="33"/>
  <c r="K679" i="33" s="1"/>
  <c r="J949" i="33"/>
  <c r="K949" i="33" s="1"/>
  <c r="J1054" i="33"/>
  <c r="K1054" i="33" s="1"/>
  <c r="J895" i="33"/>
  <c r="K895" i="33" s="1"/>
  <c r="J906" i="33"/>
  <c r="K906" i="33" s="1"/>
  <c r="J683" i="33"/>
  <c r="K683" i="33" s="1"/>
  <c r="J1048" i="33"/>
  <c r="K1048" i="33" s="1"/>
  <c r="J705" i="33"/>
  <c r="K705" i="33" s="1"/>
  <c r="J692" i="33"/>
  <c r="K692" i="33" s="1"/>
  <c r="J562" i="33"/>
  <c r="K562" i="33" s="1"/>
  <c r="J798" i="33"/>
  <c r="K798" i="33" s="1"/>
  <c r="J1029" i="33"/>
  <c r="K1029" i="33" s="1"/>
  <c r="J768" i="33"/>
  <c r="K768" i="33" s="1"/>
  <c r="J889" i="33"/>
  <c r="K889" i="33" s="1"/>
  <c r="J739" i="33"/>
  <c r="K739" i="33" s="1"/>
  <c r="J564" i="33"/>
  <c r="K564" i="33" s="1"/>
  <c r="J652" i="33"/>
  <c r="K652" i="33" s="1"/>
  <c r="J966" i="33"/>
  <c r="K966" i="33" s="1"/>
  <c r="J790" i="33"/>
  <c r="K790" i="33" s="1"/>
  <c r="J1002" i="33"/>
  <c r="K1002" i="33" s="1"/>
  <c r="J772" i="33"/>
  <c r="K772" i="33" s="1"/>
  <c r="J968" i="33"/>
  <c r="K968" i="33" s="1"/>
  <c r="J551" i="33"/>
  <c r="K551" i="33" s="1"/>
  <c r="J965" i="33"/>
  <c r="K965" i="33" s="1"/>
  <c r="J1017" i="33"/>
  <c r="K1017" i="33" s="1"/>
  <c r="J873" i="33"/>
  <c r="K873" i="33" s="1"/>
  <c r="J946" i="33"/>
  <c r="K946" i="33" s="1"/>
  <c r="J729" i="33"/>
  <c r="K729" i="33" s="1"/>
  <c r="J843" i="33"/>
  <c r="K843" i="33" s="1"/>
  <c r="J1016" i="33"/>
  <c r="K1016" i="33" s="1"/>
  <c r="J853" i="33"/>
  <c r="K853" i="33" s="1"/>
  <c r="J714" i="33"/>
  <c r="K714" i="33" s="1"/>
  <c r="J590" i="33"/>
  <c r="K590" i="33" s="1"/>
  <c r="J631" i="33"/>
  <c r="K631" i="33" s="1"/>
  <c r="J1018" i="33"/>
  <c r="K1018" i="33" s="1"/>
  <c r="J575" i="33"/>
  <c r="K575" i="33" s="1"/>
  <c r="J959" i="33"/>
  <c r="K959" i="33" s="1"/>
  <c r="J943" i="33"/>
  <c r="K943" i="33" s="1"/>
  <c r="J612" i="33"/>
  <c r="K612" i="33" s="1"/>
  <c r="J737" i="33"/>
  <c r="K737" i="33" s="1"/>
  <c r="J1041" i="33"/>
  <c r="K1041" i="33" s="1"/>
  <c r="J1011" i="33"/>
  <c r="K1011" i="33" s="1"/>
  <c r="J583" i="33"/>
  <c r="K583" i="33" s="1"/>
  <c r="J801" i="33"/>
  <c r="K801" i="33" s="1"/>
  <c r="J655" i="33"/>
  <c r="K655" i="33" s="1"/>
  <c r="J886" i="33"/>
  <c r="K886" i="33" s="1"/>
  <c r="J733" i="33"/>
  <c r="K733" i="33" s="1"/>
  <c r="J648" i="33"/>
  <c r="K648" i="33" s="1"/>
  <c r="J789" i="33"/>
  <c r="K789" i="33" s="1"/>
  <c r="J929" i="33"/>
  <c r="K929" i="33" s="1"/>
  <c r="J602" i="33"/>
  <c r="K602" i="33" s="1"/>
  <c r="J736" i="33"/>
  <c r="K736" i="33" s="1"/>
  <c r="J796" i="33"/>
  <c r="K796" i="33" s="1"/>
  <c r="J1022" i="33"/>
  <c r="K1022" i="33" s="1"/>
  <c r="J756" i="33"/>
  <c r="K756" i="33" s="1"/>
  <c r="J786" i="33"/>
  <c r="K786" i="33" s="1"/>
  <c r="J700" i="33"/>
  <c r="K700" i="33" s="1"/>
  <c r="J891" i="33"/>
  <c r="K891" i="33" s="1"/>
  <c r="J617" i="33"/>
  <c r="K617" i="33" s="1"/>
  <c r="J804" i="33"/>
  <c r="K804" i="33" s="1"/>
  <c r="J1040" i="33"/>
  <c r="K1040" i="33" s="1"/>
  <c r="J779" i="33"/>
  <c r="K779" i="33" s="1"/>
  <c r="J878" i="33"/>
  <c r="K878" i="33" s="1"/>
  <c r="J761" i="33"/>
  <c r="K761" i="33" s="1"/>
  <c r="J600" i="33"/>
  <c r="K600" i="33" s="1"/>
  <c r="J810" i="33"/>
  <c r="K810" i="33" s="1"/>
  <c r="J866" i="33"/>
  <c r="K866" i="33" s="1"/>
  <c r="J788" i="33"/>
  <c r="K788" i="33" s="1"/>
  <c r="J1030" i="33"/>
  <c r="K1030" i="33" s="1"/>
  <c r="J914" i="33"/>
  <c r="K914" i="33" s="1"/>
  <c r="J1010" i="33"/>
  <c r="K1010" i="33" s="1"/>
  <c r="J876" i="33"/>
  <c r="K876" i="33" s="1"/>
  <c r="J613" i="33"/>
  <c r="K613" i="33" s="1"/>
  <c r="J995" i="33"/>
  <c r="K995" i="33" s="1"/>
  <c r="J635" i="33"/>
  <c r="K635" i="33" s="1"/>
  <c r="J827" i="33"/>
  <c r="K827" i="33" s="1"/>
  <c r="J742" i="33"/>
  <c r="K742" i="33" s="1"/>
  <c r="J839" i="33"/>
  <c r="K839" i="33" s="1"/>
  <c r="J892" i="33"/>
  <c r="K892" i="33" s="1"/>
  <c r="J903" i="33"/>
  <c r="K903" i="33" s="1"/>
  <c r="J908" i="33"/>
  <c r="K908" i="33" s="1"/>
  <c r="J954" i="33"/>
  <c r="K954" i="33" s="1"/>
  <c r="J997" i="33"/>
  <c r="K997" i="33" s="1"/>
  <c r="J931" i="33"/>
  <c r="K931" i="33" s="1"/>
  <c r="J794" i="33"/>
  <c r="K794" i="33" s="1"/>
  <c r="J917" i="33"/>
  <c r="K917" i="33" s="1"/>
  <c r="J1047" i="33"/>
  <c r="K1047" i="33" s="1"/>
  <c r="J897" i="33"/>
  <c r="K897" i="33" s="1"/>
  <c r="J743" i="33"/>
  <c r="K743" i="33" s="1"/>
  <c r="J576" i="33"/>
  <c r="K576" i="33" s="1"/>
  <c r="J990" i="33"/>
  <c r="K990" i="33" s="1"/>
  <c r="J771" i="33"/>
  <c r="K771" i="33" s="1"/>
  <c r="J568" i="33"/>
  <c r="K568" i="33" s="1"/>
  <c r="J668" i="33"/>
  <c r="K668" i="33" s="1"/>
  <c r="J748" i="33"/>
  <c r="K748" i="33" s="1"/>
  <c r="J598" i="33"/>
  <c r="K598" i="33" s="1"/>
  <c r="J758" i="33"/>
  <c r="K758" i="33" s="1"/>
  <c r="J715" i="33"/>
  <c r="K715" i="33" s="1"/>
  <c r="J740" i="33"/>
  <c r="K740" i="33" s="1"/>
  <c r="J925" i="33"/>
  <c r="K925" i="33" s="1"/>
  <c r="J649" i="33"/>
  <c r="K649" i="33" s="1"/>
  <c r="J673" i="33"/>
  <c r="K673" i="33" s="1"/>
  <c r="J618" i="33"/>
  <c r="K618" i="33" s="1"/>
  <c r="J1025" i="33"/>
  <c r="K1025" i="33" s="1"/>
  <c r="J974" i="33"/>
  <c r="K974" i="33" s="1"/>
  <c r="J842" i="33"/>
  <c r="K842" i="33" s="1"/>
  <c r="J938" i="33"/>
  <c r="K938" i="33" s="1"/>
  <c r="J586" i="33"/>
  <c r="K586" i="33" s="1"/>
  <c r="J1012" i="33"/>
  <c r="K1012" i="33" s="1"/>
  <c r="J751" i="33"/>
  <c r="K751" i="33" s="1"/>
  <c r="J732" i="33"/>
  <c r="K732" i="33" s="1"/>
  <c r="J687" i="33"/>
  <c r="K687" i="33" s="1"/>
  <c r="J1039" i="33"/>
  <c r="K1039" i="33" s="1"/>
  <c r="J937" i="33"/>
  <c r="K937" i="33" s="1"/>
  <c r="J800" i="33"/>
  <c r="K800" i="33" s="1"/>
  <c r="J830" i="33"/>
  <c r="K830" i="33" s="1"/>
  <c r="J887" i="33"/>
  <c r="K887" i="33" s="1"/>
  <c r="J933" i="33"/>
  <c r="K933" i="33" s="1"/>
  <c r="J919" i="33"/>
  <c r="K919" i="33" s="1"/>
  <c r="J979" i="33"/>
  <c r="K979" i="33" s="1"/>
  <c r="J993" i="33"/>
  <c r="K993" i="33" s="1"/>
  <c r="J730" i="33"/>
  <c r="K730" i="33" s="1"/>
  <c r="J811" i="33"/>
  <c r="K811" i="33" s="1"/>
  <c r="J846" i="33"/>
  <c r="K846" i="33" s="1"/>
  <c r="J814" i="33"/>
  <c r="K814" i="33" s="1"/>
  <c r="J1014" i="33"/>
  <c r="K1014" i="33" s="1"/>
  <c r="J1001" i="33"/>
  <c r="K1001" i="33" s="1"/>
  <c r="J719" i="33"/>
  <c r="K719" i="33" s="1"/>
  <c r="J724" i="33"/>
  <c r="K724" i="33" s="1"/>
  <c r="J667" i="33"/>
  <c r="K667" i="33" s="1"/>
  <c r="J767" i="33"/>
  <c r="K767" i="33" s="1"/>
  <c r="J976" i="33"/>
  <c r="K976" i="33" s="1"/>
  <c r="J985" i="33"/>
  <c r="K985" i="33" s="1"/>
  <c r="J963" i="33"/>
  <c r="K963" i="33" s="1"/>
  <c r="J975" i="33"/>
  <c r="K975" i="33" s="1"/>
  <c r="J916" i="33"/>
  <c r="K916" i="33" s="1"/>
  <c r="J865" i="33"/>
  <c r="K865" i="33" s="1"/>
  <c r="J1000" i="33"/>
  <c r="K1000" i="33" s="1"/>
  <c r="J665" i="33"/>
  <c r="K665" i="33" s="1"/>
  <c r="J996" i="33"/>
  <c r="K996" i="33" s="1"/>
  <c r="J674" i="33"/>
  <c r="K674" i="33" s="1"/>
  <c r="J1033" i="33"/>
  <c r="K1033" i="33" s="1"/>
  <c r="J951" i="33"/>
  <c r="K951" i="33" s="1"/>
  <c r="J844" i="33"/>
  <c r="K844" i="33" s="1"/>
  <c r="J849" i="33"/>
  <c r="K849" i="33" s="1"/>
  <c r="J898" i="33"/>
  <c r="K898" i="33" s="1"/>
  <c r="J693" i="33"/>
  <c r="K693" i="33" s="1"/>
  <c r="J1061" i="33"/>
  <c r="K1061" i="33" s="1"/>
  <c r="J1026" i="33"/>
  <c r="K1026" i="33" s="1"/>
  <c r="J642" i="33"/>
  <c r="K642" i="33" s="1"/>
  <c r="J695" i="33"/>
  <c r="K695" i="33" s="1"/>
  <c r="J852" i="33"/>
  <c r="K852" i="33" s="1"/>
  <c r="J1024" i="33"/>
  <c r="K1024" i="33" s="1"/>
  <c r="J780" i="33"/>
  <c r="K780" i="33" s="1"/>
  <c r="J1009" i="33"/>
  <c r="K1009" i="33" s="1"/>
  <c r="J875" i="33"/>
  <c r="K875" i="33" s="1"/>
  <c r="J962" i="33"/>
  <c r="K962" i="33" s="1"/>
  <c r="J957" i="33"/>
  <c r="K957" i="33" s="1"/>
  <c r="J871" i="33"/>
  <c r="K871" i="33" s="1"/>
  <c r="J718" i="33"/>
  <c r="K718" i="33" s="1"/>
  <c r="J591" i="33"/>
  <c r="K591" i="33" s="1"/>
  <c r="J735" i="33"/>
  <c r="K735" i="33" s="1"/>
  <c r="J701" i="33"/>
  <c r="K701" i="33" s="1"/>
  <c r="J738" i="33"/>
  <c r="K738" i="33" s="1"/>
  <c r="J829" i="33"/>
  <c r="K829" i="33" s="1"/>
  <c r="J822" i="33"/>
  <c r="K822" i="33" s="1"/>
  <c r="J570" i="33"/>
  <c r="K570" i="33" s="1"/>
  <c r="J1004" i="33"/>
  <c r="K1004" i="33" s="1"/>
  <c r="J727" i="33"/>
  <c r="K727" i="33" s="1"/>
  <c r="J615" i="33"/>
  <c r="K615" i="33" s="1"/>
  <c r="J1042" i="33"/>
  <c r="K1042" i="33" s="1"/>
  <c r="J1062" i="33"/>
  <c r="K1062" i="33" s="1"/>
  <c r="J636" i="33"/>
  <c r="K636" i="33" s="1"/>
  <c r="J680" i="33"/>
  <c r="K680" i="33" s="1"/>
  <c r="J685" i="33"/>
  <c r="K685" i="33" s="1"/>
  <c r="J777" i="33"/>
  <c r="K777" i="33" s="1"/>
  <c r="J950" i="33"/>
  <c r="K950" i="33" s="1"/>
  <c r="J1049" i="33"/>
  <c r="K1049" i="33" s="1"/>
  <c r="J630" i="33"/>
  <c r="K630" i="33" s="1"/>
  <c r="J582" i="33"/>
  <c r="K582" i="33" s="1"/>
  <c r="J816" i="33"/>
  <c r="K816" i="33" s="1"/>
  <c r="J819" i="33"/>
  <c r="K819" i="33" s="1"/>
  <c r="J753" i="33"/>
  <c r="K753" i="33" s="1"/>
  <c r="J859" i="33"/>
  <c r="K859" i="33" s="1"/>
  <c r="J624" i="33"/>
  <c r="K624" i="33" s="1"/>
  <c r="J654" i="33"/>
  <c r="K654" i="33" s="1"/>
  <c r="J918" i="33"/>
  <c r="K918" i="33" s="1"/>
  <c r="J1051" i="33"/>
  <c r="K1051" i="33" s="1"/>
  <c r="J1015" i="33"/>
  <c r="K1015" i="33" s="1"/>
  <c r="J605" i="33"/>
  <c r="K605" i="33" s="1"/>
  <c r="J1003" i="33"/>
  <c r="K1003" i="33" s="1"/>
  <c r="J716" i="33"/>
  <c r="K716" i="33" s="1"/>
  <c r="J795" i="33"/>
  <c r="K795" i="33" s="1"/>
  <c r="J953" i="33"/>
  <c r="K953" i="33" s="1"/>
  <c r="J870" i="33"/>
  <c r="K870" i="33" s="1"/>
  <c r="J744" i="33"/>
  <c r="K744" i="33" s="1"/>
  <c r="J783" i="33"/>
  <c r="K783" i="33" s="1"/>
  <c r="J684" i="33"/>
  <c r="K684" i="33" s="1"/>
  <c r="J911" i="33"/>
  <c r="K911" i="33" s="1"/>
  <c r="J860" i="33"/>
  <c r="K860" i="33" s="1"/>
  <c r="J640" i="33"/>
  <c r="K640" i="33" s="1"/>
  <c r="J1059" i="33"/>
  <c r="K1059" i="33" s="1"/>
  <c r="J838" i="33"/>
  <c r="K838" i="33" s="1"/>
  <c r="J899" i="33"/>
  <c r="K899" i="33" s="1"/>
  <c r="J671" i="33"/>
  <c r="K671" i="33" s="1"/>
  <c r="J773" i="33"/>
  <c r="K773" i="33" s="1"/>
  <c r="J552" i="33"/>
  <c r="K552" i="33" s="1"/>
  <c r="J694" i="33"/>
  <c r="K694" i="33" s="1"/>
  <c r="J881" i="33"/>
  <c r="K881" i="33" s="1"/>
  <c r="J746" i="33"/>
  <c r="K746" i="33" s="1"/>
  <c r="J681" i="33"/>
  <c r="K681" i="33" s="1"/>
  <c r="J1044" i="33"/>
  <c r="K1044" i="33" s="1"/>
  <c r="J670" i="33"/>
  <c r="K670" i="33" s="1"/>
  <c r="J585" i="33"/>
  <c r="K585" i="33" s="1"/>
  <c r="J688" i="33"/>
  <c r="K688" i="33" s="1"/>
  <c r="J948" i="33"/>
  <c r="K948" i="33" s="1"/>
  <c r="J817" i="33"/>
  <c r="K817" i="33" s="1"/>
  <c r="J1046" i="33"/>
  <c r="K1046" i="33" s="1"/>
  <c r="J754" i="33"/>
  <c r="K754" i="33" s="1"/>
  <c r="J745" i="33"/>
  <c r="K745" i="33" s="1"/>
  <c r="J923" i="33"/>
  <c r="K923" i="33" s="1"/>
  <c r="J820" i="33"/>
  <c r="K820" i="33" s="1"/>
  <c r="J587" i="33"/>
  <c r="K587" i="33" s="1"/>
  <c r="J696" i="33"/>
  <c r="K696" i="33" s="1"/>
  <c r="J1021" i="33"/>
  <c r="K1021" i="33" s="1"/>
  <c r="J704" i="33"/>
  <c r="K704" i="33" s="1"/>
  <c r="J909" i="33"/>
  <c r="K909" i="33" s="1"/>
  <c r="J559" i="33"/>
  <c r="K559" i="33" s="1"/>
  <c r="J824" i="33"/>
  <c r="K824" i="33" s="1"/>
  <c r="J988" i="33"/>
  <c r="K988" i="33" s="1"/>
  <c r="J645" i="33"/>
  <c r="K645" i="33" s="1"/>
  <c r="J747" i="33"/>
  <c r="K747" i="33" s="1"/>
  <c r="J991" i="33"/>
  <c r="K991" i="33" s="1"/>
  <c r="J805" i="33"/>
  <c r="K805" i="33" s="1"/>
  <c r="J885" i="33"/>
  <c r="K885" i="33" s="1"/>
  <c r="J717" i="33"/>
  <c r="K717" i="33" s="1"/>
  <c r="J850" i="33"/>
  <c r="K850" i="33" s="1"/>
  <c r="J969" i="33"/>
  <c r="K969" i="33" s="1"/>
  <c r="J826" i="33"/>
  <c r="K826" i="33" s="1"/>
  <c r="J787" i="33"/>
  <c r="K787" i="33" s="1"/>
  <c r="J967" i="33"/>
  <c r="K967" i="33" s="1"/>
  <c r="J606" i="33"/>
  <c r="K606" i="33" s="1"/>
  <c r="J555" i="33"/>
  <c r="K555" i="33" s="1"/>
  <c r="J939" i="33"/>
  <c r="K939" i="33" s="1"/>
  <c r="J723" i="33"/>
  <c r="K723" i="33" s="1"/>
  <c r="J646" i="33"/>
  <c r="K646" i="33" s="1"/>
  <c r="J567" i="33"/>
  <c r="K567" i="33" s="1"/>
  <c r="J741" i="33"/>
  <c r="K741" i="33" s="1"/>
  <c r="J713" i="33"/>
  <c r="K713" i="33" s="1"/>
  <c r="J926" i="33"/>
  <c r="K926" i="33" s="1"/>
  <c r="J721" i="33"/>
  <c r="K721" i="33" s="1"/>
  <c r="J1055" i="33"/>
  <c r="K1055" i="33" s="1"/>
  <c r="J882" i="33"/>
  <c r="K882" i="33" s="1"/>
  <c r="J755" i="33"/>
  <c r="K755" i="33" s="1"/>
  <c r="J1027" i="33"/>
  <c r="K1027" i="33" s="1"/>
  <c r="J910" i="33"/>
  <c r="K910" i="33" s="1"/>
  <c r="J837" i="33"/>
  <c r="K837" i="33" s="1"/>
  <c r="J596" i="33"/>
  <c r="K596" i="33" s="1"/>
  <c r="J815" i="33"/>
  <c r="K815" i="33" s="1"/>
  <c r="J677" i="33"/>
  <c r="K677" i="33" s="1"/>
  <c r="J981" i="33"/>
  <c r="K981" i="33" s="1"/>
  <c r="J841" i="33"/>
  <c r="K841" i="33" s="1"/>
  <c r="J1037" i="33"/>
  <c r="K1037" i="33" s="1"/>
  <c r="J573" i="33"/>
  <c r="K573" i="33" s="1"/>
  <c r="J905" i="33"/>
  <c r="K905" i="33" s="1"/>
  <c r="J782" i="33"/>
  <c r="K782" i="33" s="1"/>
  <c r="J711" i="33"/>
  <c r="K711" i="33" s="1"/>
  <c r="J809" i="33"/>
  <c r="K809" i="33" s="1"/>
  <c r="J812" i="33"/>
  <c r="K812" i="33" s="1"/>
  <c r="J970" i="33"/>
  <c r="K970" i="33" s="1"/>
  <c r="J644" i="33"/>
  <c r="K644" i="33" s="1"/>
  <c r="J623" i="33"/>
  <c r="K623" i="33" s="1"/>
  <c r="J658" i="33"/>
  <c r="K658" i="33" s="1"/>
  <c r="J664" i="33"/>
  <c r="K664" i="33" s="1"/>
  <c r="J855" i="33"/>
  <c r="K855" i="33" s="1"/>
  <c r="J672" i="33"/>
  <c r="K672" i="33" s="1"/>
  <c r="J890" i="33"/>
  <c r="K890" i="33" s="1"/>
  <c r="J854" i="33"/>
  <c r="K854" i="33" s="1"/>
  <c r="J861" i="33"/>
  <c r="K861" i="33" s="1"/>
  <c r="J922" i="33"/>
  <c r="K922" i="33" s="1"/>
  <c r="J637" i="33"/>
  <c r="K637" i="33" s="1"/>
  <c r="J706" i="33"/>
  <c r="K706" i="33" s="1"/>
  <c r="J864" i="33"/>
  <c r="K864" i="33" s="1"/>
  <c r="J848" i="33"/>
  <c r="K848" i="33" s="1"/>
  <c r="B540" i="33"/>
  <c r="J879" i="33"/>
  <c r="K879" i="33" s="1"/>
  <c r="J944" i="33"/>
  <c r="K944" i="33" s="1"/>
  <c r="J983" i="33"/>
  <c r="K983" i="33" s="1"/>
  <c r="J731" i="33"/>
  <c r="K731" i="33" s="1"/>
  <c r="J578" i="33"/>
  <c r="K578" i="33" s="1"/>
  <c r="J813" i="33"/>
  <c r="K813" i="33" s="1"/>
  <c r="J901" i="33"/>
  <c r="K901" i="33" s="1"/>
  <c r="J847" i="33"/>
  <c r="K847" i="33" s="1"/>
  <c r="J734" i="33"/>
  <c r="K734" i="33" s="1"/>
  <c r="J863" i="33"/>
  <c r="K863" i="33" s="1"/>
  <c r="J601" i="33"/>
  <c r="K601" i="33" s="1"/>
  <c r="J1045" i="33"/>
  <c r="K1045" i="33" s="1"/>
  <c r="J722" i="33"/>
  <c r="K722" i="33" s="1"/>
  <c r="J960" i="33"/>
  <c r="K960" i="33" s="1"/>
  <c r="J595" i="33"/>
  <c r="K595" i="33" s="1"/>
  <c r="J703" i="33"/>
  <c r="K703" i="33" s="1"/>
  <c r="J725" i="33"/>
  <c r="K725" i="33" s="1"/>
  <c r="J972" i="33"/>
  <c r="K972" i="33" s="1"/>
  <c r="J1031" i="33"/>
  <c r="K1031" i="33" s="1"/>
  <c r="J840" i="33"/>
  <c r="K840" i="33" s="1"/>
  <c r="C80" i="23" l="1"/>
  <c r="C158" i="23"/>
  <c r="C160" i="23" s="1"/>
  <c r="C147" i="23"/>
  <c r="C155" i="23"/>
  <c r="C148" i="23"/>
  <c r="C144" i="23"/>
  <c r="C143" i="23"/>
  <c r="B137" i="23"/>
  <c r="B140" i="23" s="1"/>
  <c r="B158" i="23" s="1"/>
  <c r="B72" i="23"/>
  <c r="B76" i="23" s="1"/>
  <c r="B80" i="23" s="1"/>
  <c r="F57" i="34"/>
  <c r="G57" i="34"/>
  <c r="C97" i="23"/>
  <c r="C109" i="23"/>
  <c r="C101" i="23"/>
  <c r="C102" i="23"/>
  <c r="C98" i="23"/>
  <c r="F66" i="34"/>
  <c r="F65" i="34"/>
  <c r="G67" i="34"/>
  <c r="J69" i="34"/>
  <c r="K71" i="34"/>
  <c r="F70" i="34"/>
  <c r="I68" i="34"/>
  <c r="I67" i="34"/>
  <c r="H68" i="34"/>
  <c r="F72" i="34"/>
  <c r="F71" i="34"/>
  <c r="G65" i="34"/>
  <c r="H67" i="34"/>
  <c r="I70" i="34"/>
  <c r="G71" i="34"/>
  <c r="F68" i="34"/>
  <c r="G66" i="34"/>
  <c r="K72" i="34"/>
  <c r="I69" i="34"/>
  <c r="M72" i="34"/>
  <c r="H70" i="34"/>
  <c r="G68" i="34"/>
  <c r="G72" i="34"/>
  <c r="H69" i="34"/>
  <c r="H71" i="34"/>
  <c r="F64" i="34"/>
  <c r="I72" i="34"/>
  <c r="J68" i="34"/>
  <c r="L70" i="34"/>
  <c r="L71" i="34"/>
  <c r="N72" i="34"/>
  <c r="N74" i="34" s="1"/>
  <c r="K69" i="34"/>
  <c r="M71" i="34"/>
  <c r="K70" i="34"/>
  <c r="H72" i="34"/>
  <c r="G70" i="34"/>
  <c r="F67" i="34"/>
  <c r="H66" i="34"/>
  <c r="F69" i="34"/>
  <c r="J72" i="34"/>
  <c r="J71" i="34"/>
  <c r="I71" i="34"/>
  <c r="L72" i="34"/>
  <c r="G69" i="34"/>
  <c r="J70" i="34"/>
  <c r="F53" i="34"/>
  <c r="H50" i="34"/>
  <c r="G48" i="34"/>
  <c r="G51" i="34"/>
  <c r="I49" i="34"/>
  <c r="G54" i="34"/>
  <c r="J50" i="34"/>
  <c r="K53" i="34"/>
  <c r="K51" i="34"/>
  <c r="F49" i="34"/>
  <c r="G50" i="34"/>
  <c r="H53" i="34"/>
  <c r="L52" i="34"/>
  <c r="I52" i="34"/>
  <c r="F46" i="34"/>
  <c r="J53" i="34"/>
  <c r="K52" i="34"/>
  <c r="H54" i="34"/>
  <c r="J52" i="34"/>
  <c r="H48" i="34"/>
  <c r="F54" i="34"/>
  <c r="F48" i="34"/>
  <c r="I53" i="34"/>
  <c r="G53" i="34"/>
  <c r="N54" i="34"/>
  <c r="N56" i="34" s="1"/>
  <c r="F50" i="34"/>
  <c r="L53" i="34"/>
  <c r="M53" i="34"/>
  <c r="G49" i="34"/>
  <c r="K54" i="34"/>
  <c r="I51" i="34"/>
  <c r="L54" i="34"/>
  <c r="H49" i="34"/>
  <c r="I54" i="34"/>
  <c r="J54" i="34"/>
  <c r="F51" i="34"/>
  <c r="M54" i="34"/>
  <c r="F52" i="34"/>
  <c r="J51" i="34"/>
  <c r="I50" i="34"/>
  <c r="G52" i="34"/>
  <c r="H52" i="34"/>
  <c r="H51" i="34"/>
  <c r="F47" i="34"/>
  <c r="G47" i="34"/>
  <c r="K1064" i="33"/>
  <c r="K531" i="33"/>
  <c r="G9" i="34"/>
  <c r="J13" i="34"/>
  <c r="G11" i="34"/>
  <c r="F7" i="34"/>
  <c r="H8" i="34"/>
  <c r="G6" i="34"/>
  <c r="G8" i="34"/>
  <c r="K13" i="34"/>
  <c r="J10" i="34"/>
  <c r="F8" i="34"/>
  <c r="H12" i="34"/>
  <c r="K10" i="34"/>
  <c r="I11" i="34"/>
  <c r="I12" i="34"/>
  <c r="G7" i="34"/>
  <c r="G10" i="34"/>
  <c r="F11" i="34"/>
  <c r="N13" i="34"/>
  <c r="N15" i="34" s="1"/>
  <c r="K12" i="34"/>
  <c r="J11" i="34"/>
  <c r="M12" i="34"/>
  <c r="F9" i="34"/>
  <c r="J12" i="34"/>
  <c r="I8" i="34"/>
  <c r="F6" i="34"/>
  <c r="I9" i="34"/>
  <c r="M13" i="34"/>
  <c r="F13" i="34"/>
  <c r="L13" i="34"/>
  <c r="H9" i="34"/>
  <c r="G13" i="34"/>
  <c r="F5" i="34"/>
  <c r="L12" i="34"/>
  <c r="H11" i="34"/>
  <c r="G12" i="34"/>
  <c r="F10" i="34"/>
  <c r="L11" i="34"/>
  <c r="H10" i="34"/>
  <c r="F12" i="34"/>
  <c r="H13" i="34"/>
  <c r="I10" i="34"/>
  <c r="K11" i="34"/>
  <c r="H7" i="34"/>
  <c r="J9" i="34"/>
  <c r="I13" i="34"/>
  <c r="I30" i="34"/>
  <c r="G26" i="34"/>
  <c r="H26" i="34"/>
  <c r="F30" i="34"/>
  <c r="F26" i="34"/>
  <c r="K28" i="34"/>
  <c r="F24" i="34"/>
  <c r="G29" i="34"/>
  <c r="I25" i="34"/>
  <c r="F25" i="34"/>
  <c r="H30" i="34"/>
  <c r="M30" i="34"/>
  <c r="I26" i="34"/>
  <c r="L30" i="34"/>
  <c r="K29" i="34"/>
  <c r="F23" i="34"/>
  <c r="L28" i="34"/>
  <c r="I29" i="34"/>
  <c r="G25" i="34"/>
  <c r="H24" i="34"/>
  <c r="K30" i="34"/>
  <c r="F27" i="34"/>
  <c r="L29" i="34"/>
  <c r="N30" i="34"/>
  <c r="N32" i="34" s="1"/>
  <c r="F29" i="34"/>
  <c r="I28" i="34"/>
  <c r="H29" i="34"/>
  <c r="K27" i="34"/>
  <c r="J26" i="34"/>
  <c r="H25" i="34"/>
  <c r="G30" i="34"/>
  <c r="H27" i="34"/>
  <c r="H28" i="34"/>
  <c r="J28" i="34"/>
  <c r="J29" i="34"/>
  <c r="G23" i="34"/>
  <c r="G24" i="34"/>
  <c r="G28" i="34"/>
  <c r="G27" i="34"/>
  <c r="J27" i="34"/>
  <c r="I27" i="34"/>
  <c r="F28" i="34"/>
  <c r="J30" i="34"/>
  <c r="F22" i="34"/>
  <c r="M29" i="34"/>
  <c r="F16" i="34"/>
  <c r="G16" i="34"/>
  <c r="B96" i="23" l="1"/>
  <c r="B97" i="23" s="1"/>
  <c r="C171" i="23"/>
  <c r="C164" i="23"/>
  <c r="C163" i="23"/>
  <c r="B142" i="23"/>
  <c r="B148" i="23" s="1"/>
  <c r="C145" i="23"/>
  <c r="C153" i="23" s="1"/>
  <c r="C146" i="23"/>
  <c r="C159" i="23"/>
  <c r="C161" i="23" s="1"/>
  <c r="C169" i="23" s="1"/>
  <c r="C149" i="23"/>
  <c r="C154" i="23" s="1"/>
  <c r="C86" i="23"/>
  <c r="C85" i="23"/>
  <c r="C82" i="23"/>
  <c r="C81" i="23"/>
  <c r="C93" i="23"/>
  <c r="C150" i="23"/>
  <c r="M15" i="34"/>
  <c r="N17" i="34" s="1"/>
  <c r="J15" i="34"/>
  <c r="F15" i="34"/>
  <c r="F17" i="34" s="1"/>
  <c r="M32" i="34"/>
  <c r="L15" i="34"/>
  <c r="M56" i="34"/>
  <c r="N58" i="34" s="1"/>
  <c r="M74" i="34"/>
  <c r="I32" i="34"/>
  <c r="G15" i="34"/>
  <c r="K32" i="34"/>
  <c r="I56" i="34"/>
  <c r="H74" i="34"/>
  <c r="F74" i="34"/>
  <c r="L32" i="34"/>
  <c r="I15" i="34"/>
  <c r="K15" i="34"/>
  <c r="F56" i="34"/>
  <c r="G74" i="34"/>
  <c r="J32" i="34"/>
  <c r="B82" i="23"/>
  <c r="B85" i="23"/>
  <c r="B86" i="23"/>
  <c r="B93" i="23"/>
  <c r="B81" i="23"/>
  <c r="G32" i="34"/>
  <c r="L56" i="34"/>
  <c r="C104" i="23"/>
  <c r="C103" i="23"/>
  <c r="C108" i="23" s="1"/>
  <c r="H15" i="34"/>
  <c r="K74" i="34"/>
  <c r="I74" i="34"/>
  <c r="C100" i="23"/>
  <c r="C99" i="23"/>
  <c r="C107" i="23" s="1"/>
  <c r="F32" i="34"/>
  <c r="H32" i="34"/>
  <c r="G56" i="34"/>
  <c r="K56" i="34"/>
  <c r="H56" i="34"/>
  <c r="L74" i="34"/>
  <c r="J56" i="34"/>
  <c r="J74" i="34"/>
  <c r="B160" i="23"/>
  <c r="B171" i="23"/>
  <c r="B164" i="23"/>
  <c r="B163" i="23"/>
  <c r="B159" i="23"/>
  <c r="B109" i="23" l="1"/>
  <c r="B102" i="23"/>
  <c r="B101" i="23"/>
  <c r="B98" i="23"/>
  <c r="B100" i="23" s="1"/>
  <c r="C166" i="23"/>
  <c r="C165" i="23"/>
  <c r="C170" i="23" s="1"/>
  <c r="B155" i="23"/>
  <c r="B143" i="23"/>
  <c r="B144" i="23"/>
  <c r="B147" i="23"/>
  <c r="B149" i="23" s="1"/>
  <c r="C151" i="23"/>
  <c r="C162" i="23"/>
  <c r="C152" i="23"/>
  <c r="C156" i="23"/>
  <c r="C84" i="23"/>
  <c r="C83" i="23"/>
  <c r="C91" i="23" s="1"/>
  <c r="G17" i="34"/>
  <c r="F38" i="34" s="1"/>
  <c r="C88" i="23"/>
  <c r="C87" i="23"/>
  <c r="K17" i="34"/>
  <c r="M17" i="34"/>
  <c r="E38" i="34"/>
  <c r="K58" i="34"/>
  <c r="H17" i="34"/>
  <c r="H58" i="34"/>
  <c r="C110" i="23"/>
  <c r="C105" i="23"/>
  <c r="C106" i="23"/>
  <c r="G58" i="34"/>
  <c r="J58" i="34"/>
  <c r="I17" i="34"/>
  <c r="B162" i="23"/>
  <c r="B161" i="23"/>
  <c r="B169" i="23" s="1"/>
  <c r="B83" i="23"/>
  <c r="B91" i="23" s="1"/>
  <c r="B84" i="23"/>
  <c r="F75" i="34"/>
  <c r="C257" i="23" s="1"/>
  <c r="O74" i="34"/>
  <c r="L58" i="34"/>
  <c r="M58" i="34"/>
  <c r="H18" i="34"/>
  <c r="B256" i="23" s="1"/>
  <c r="B87" i="23"/>
  <c r="B88" i="23"/>
  <c r="I58" i="34"/>
  <c r="B166" i="23"/>
  <c r="B165" i="23"/>
  <c r="O32" i="34"/>
  <c r="F33" i="34"/>
  <c r="B257" i="23" s="1"/>
  <c r="O15" i="34"/>
  <c r="O56" i="34"/>
  <c r="F58" i="34"/>
  <c r="H59" i="34"/>
  <c r="C256" i="23" s="1"/>
  <c r="J17" i="34"/>
  <c r="L17" i="34"/>
  <c r="C168" i="23" l="1"/>
  <c r="B146" i="23"/>
  <c r="B104" i="23"/>
  <c r="B106" i="23" s="1"/>
  <c r="C167" i="23"/>
  <c r="B99" i="23"/>
  <c r="B107" i="23" s="1"/>
  <c r="B103" i="23"/>
  <c r="B145" i="23"/>
  <c r="B153" i="23" s="1"/>
  <c r="B150" i="23"/>
  <c r="C89" i="23"/>
  <c r="C92" i="23" s="1"/>
  <c r="C94" i="23" s="1"/>
  <c r="C35" i="24" s="1"/>
  <c r="C172" i="23"/>
  <c r="C254" i="23" s="1"/>
  <c r="C90" i="23"/>
  <c r="M38" i="34"/>
  <c r="G38" i="34"/>
  <c r="K38" i="34"/>
  <c r="B168" i="23"/>
  <c r="I38" i="34"/>
  <c r="E80" i="34"/>
  <c r="G80" i="34"/>
  <c r="O58" i="34"/>
  <c r="F80" i="34"/>
  <c r="J80" i="34"/>
  <c r="F59" i="34"/>
  <c r="L80" i="34"/>
  <c r="M80" i="34"/>
  <c r="K80" i="34"/>
  <c r="H80" i="34"/>
  <c r="J59" i="34"/>
  <c r="I80" i="34"/>
  <c r="B90" i="23"/>
  <c r="B154" i="23"/>
  <c r="B89" i="23"/>
  <c r="B92" i="23"/>
  <c r="B94" i="23" s="1"/>
  <c r="F18" i="34"/>
  <c r="J18" i="34"/>
  <c r="O17" i="34"/>
  <c r="H38" i="34"/>
  <c r="L38" i="34"/>
  <c r="B167" i="23"/>
  <c r="B170" i="23"/>
  <c r="B172" i="23" s="1"/>
  <c r="J38" i="34"/>
  <c r="B261" i="23"/>
  <c r="B105" i="23" l="1"/>
  <c r="B108" i="23"/>
  <c r="B110" i="23" s="1"/>
  <c r="B253" i="23" s="1"/>
  <c r="B260" i="23" s="1"/>
  <c r="B152" i="23"/>
  <c r="B151" i="23"/>
  <c r="B156" i="23"/>
  <c r="B35" i="24" s="1"/>
  <c r="C253" i="23"/>
  <c r="N38" i="34"/>
  <c r="R13" i="34"/>
  <c r="R14" i="34" s="1"/>
  <c r="R15" i="34" s="1"/>
  <c r="R16" i="34" s="1"/>
  <c r="R17" i="34" s="1"/>
  <c r="R18" i="34" s="1"/>
  <c r="R19" i="34" s="1"/>
  <c r="R20" i="34" s="1"/>
  <c r="R21" i="34" s="1"/>
  <c r="R22" i="34" s="1"/>
  <c r="R23" i="34" s="1"/>
  <c r="R24" i="34" s="1"/>
  <c r="R25" i="34" s="1"/>
  <c r="R26" i="34" s="1"/>
  <c r="R27" i="34" s="1"/>
  <c r="R28" i="34" s="1"/>
  <c r="R29" i="34" s="1"/>
  <c r="R30" i="34" s="1"/>
  <c r="R31" i="34" s="1"/>
  <c r="R32" i="34" s="1"/>
  <c r="R33" i="34" s="1"/>
  <c r="R34" i="34" s="1"/>
  <c r="R35" i="34" s="1"/>
  <c r="R36" i="34" s="1"/>
  <c r="R37" i="34" s="1"/>
  <c r="R38" i="34" s="1"/>
  <c r="R39" i="34" s="1"/>
  <c r="R40" i="34" s="1"/>
  <c r="R41" i="34" s="1"/>
  <c r="R42" i="34" s="1"/>
  <c r="R43" i="34" s="1"/>
  <c r="R44" i="34" s="1"/>
  <c r="R45" i="34" s="1"/>
  <c r="R46" i="34" s="1"/>
  <c r="R47" i="34" s="1"/>
  <c r="R48" i="34" s="1"/>
  <c r="R49" i="34" s="1"/>
  <c r="R50" i="34" s="1"/>
  <c r="R51" i="34" s="1"/>
  <c r="R52" i="34" s="1"/>
  <c r="R53" i="34" s="1"/>
  <c r="R54" i="34" s="1"/>
  <c r="R55" i="34" s="1"/>
  <c r="R56" i="34" s="1"/>
  <c r="R57" i="34" s="1"/>
  <c r="R58" i="34" s="1"/>
  <c r="R59" i="34" s="1"/>
  <c r="R60" i="34" s="1"/>
  <c r="R61" i="34" s="1"/>
  <c r="R62" i="34" s="1"/>
  <c r="R63" i="34" s="1"/>
  <c r="R64" i="34" s="1"/>
  <c r="R65" i="34" s="1"/>
  <c r="R66" i="34" s="1"/>
  <c r="R67" i="34" s="1"/>
  <c r="R68" i="34" s="1"/>
  <c r="R69" i="34" s="1"/>
  <c r="R70" i="34" s="1"/>
  <c r="R71" i="34" s="1"/>
  <c r="R72" i="34" s="1"/>
  <c r="R73" i="34" s="1"/>
  <c r="R74" i="34" s="1"/>
  <c r="R75" i="34" s="1"/>
  <c r="R76" i="34" s="1"/>
  <c r="R77" i="34" s="1"/>
  <c r="R78" i="34" s="1"/>
  <c r="R79" i="34" s="1"/>
  <c r="R80" i="34" s="1"/>
  <c r="R81" i="34" s="1"/>
  <c r="R82" i="34" s="1"/>
  <c r="R83" i="34" s="1"/>
  <c r="R84" i="34" s="1"/>
  <c r="R85" i="34" s="1"/>
  <c r="R86" i="34" s="1"/>
  <c r="R87" i="34" s="1"/>
  <c r="R88" i="34" s="1"/>
  <c r="R89" i="34" s="1"/>
  <c r="R90" i="34" s="1"/>
  <c r="R91" i="34" s="1"/>
  <c r="R92" i="34" s="1"/>
  <c r="R93" i="34" s="1"/>
  <c r="R94" i="34" s="1"/>
  <c r="R95" i="34" s="1"/>
  <c r="R96" i="34" s="1"/>
  <c r="R97" i="34" s="1"/>
  <c r="R98" i="34" s="1"/>
  <c r="R99" i="34" s="1"/>
  <c r="R100" i="34" s="1"/>
  <c r="R101" i="34" s="1"/>
  <c r="R102" i="34" s="1"/>
  <c r="R103" i="34" s="1"/>
  <c r="R104" i="34" s="1"/>
  <c r="R105" i="34" s="1"/>
  <c r="R106" i="34" s="1"/>
  <c r="R107" i="34" s="1"/>
  <c r="R108" i="34" s="1"/>
  <c r="R109" i="34" s="1"/>
  <c r="R110" i="34" s="1"/>
  <c r="R111" i="34" s="1"/>
  <c r="R112" i="34" s="1"/>
  <c r="E39" i="34"/>
  <c r="H230" i="23" s="1"/>
  <c r="B236" i="23" s="1"/>
  <c r="U13" i="34"/>
  <c r="U14" i="34" s="1"/>
  <c r="U15" i="34" s="1"/>
  <c r="U16" i="34" s="1"/>
  <c r="U17" i="34" s="1"/>
  <c r="U18" i="34" s="1"/>
  <c r="U19" i="34" s="1"/>
  <c r="U20" i="34" s="1"/>
  <c r="U21" i="34" s="1"/>
  <c r="U22" i="34" s="1"/>
  <c r="U23" i="34" s="1"/>
  <c r="U24" i="34" s="1"/>
  <c r="U25" i="34" s="1"/>
  <c r="U26" i="34" s="1"/>
  <c r="U27" i="34" s="1"/>
  <c r="U28" i="34" s="1"/>
  <c r="U29" i="34" s="1"/>
  <c r="U30" i="34" s="1"/>
  <c r="U31" i="34" s="1"/>
  <c r="U32" i="34" s="1"/>
  <c r="U33" i="34" s="1"/>
  <c r="U34" i="34" s="1"/>
  <c r="U35" i="34" s="1"/>
  <c r="U36" i="34" s="1"/>
  <c r="U37" i="34" s="1"/>
  <c r="U38" i="34" s="1"/>
  <c r="U39" i="34" s="1"/>
  <c r="U40" i="34" s="1"/>
  <c r="U41" i="34" s="1"/>
  <c r="U42" i="34" s="1"/>
  <c r="U43" i="34" s="1"/>
  <c r="U44" i="34" s="1"/>
  <c r="U45" i="34" s="1"/>
  <c r="U46" i="34" s="1"/>
  <c r="U47" i="34" s="1"/>
  <c r="U48" i="34" s="1"/>
  <c r="U49" i="34" s="1"/>
  <c r="U50" i="34" s="1"/>
  <c r="U51" i="34" s="1"/>
  <c r="U52" i="34" s="1"/>
  <c r="U53" i="34" s="1"/>
  <c r="U54" i="34" s="1"/>
  <c r="U55" i="34" s="1"/>
  <c r="U56" i="34" s="1"/>
  <c r="U57" i="34" s="1"/>
  <c r="U58" i="34" s="1"/>
  <c r="U59" i="34" s="1"/>
  <c r="U60" i="34" s="1"/>
  <c r="U61" i="34" s="1"/>
  <c r="U62" i="34" s="1"/>
  <c r="U63" i="34" s="1"/>
  <c r="U64" i="34" s="1"/>
  <c r="U65" i="34" s="1"/>
  <c r="U66" i="34" s="1"/>
  <c r="U67" i="34" s="1"/>
  <c r="U68" i="34" s="1"/>
  <c r="U69" i="34" s="1"/>
  <c r="U70" i="34" s="1"/>
  <c r="U71" i="34" s="1"/>
  <c r="U72" i="34" s="1"/>
  <c r="U73" i="34" s="1"/>
  <c r="U74" i="34" s="1"/>
  <c r="U75" i="34" s="1"/>
  <c r="U76" i="34" s="1"/>
  <c r="U77" i="34" s="1"/>
  <c r="U78" i="34" s="1"/>
  <c r="U79" i="34" s="1"/>
  <c r="U80" i="34" s="1"/>
  <c r="U81" i="34" s="1"/>
  <c r="U82" i="34" s="1"/>
  <c r="U83" i="34" s="1"/>
  <c r="U84" i="34" s="1"/>
  <c r="U85" i="34" s="1"/>
  <c r="U86" i="34" s="1"/>
  <c r="U87" i="34" s="1"/>
  <c r="U88" i="34" s="1"/>
  <c r="U89" i="34" s="1"/>
  <c r="U90" i="34" s="1"/>
  <c r="U91" i="34" s="1"/>
  <c r="U92" i="34" s="1"/>
  <c r="U93" i="34" s="1"/>
  <c r="U94" i="34" s="1"/>
  <c r="U95" i="34" s="1"/>
  <c r="U96" i="34" s="1"/>
  <c r="U97" i="34" s="1"/>
  <c r="U98" i="34" s="1"/>
  <c r="U99" i="34" s="1"/>
  <c r="U100" i="34" s="1"/>
  <c r="U101" i="34" s="1"/>
  <c r="U102" i="34" s="1"/>
  <c r="U103" i="34" s="1"/>
  <c r="U104" i="34" s="1"/>
  <c r="U105" i="34" s="1"/>
  <c r="U106" i="34" s="1"/>
  <c r="U107" i="34" s="1"/>
  <c r="U108" i="34" s="1"/>
  <c r="U109" i="34" s="1"/>
  <c r="U110" i="34" s="1"/>
  <c r="U111" i="34" s="1"/>
  <c r="U112" i="34" s="1"/>
  <c r="E81" i="34"/>
  <c r="I230" i="23" s="1"/>
  <c r="C236" i="23" s="1"/>
  <c r="N80" i="34"/>
  <c r="B254" i="23" l="1"/>
  <c r="B265" i="23" s="1"/>
  <c r="C260" i="23"/>
  <c r="C265" i="23" s="1"/>
  <c r="P991" i="33"/>
  <c r="P784" i="33"/>
  <c r="P768" i="33"/>
  <c r="N1050" i="33"/>
  <c r="O1050" i="33" s="1"/>
  <c r="P1053" i="33"/>
  <c r="P960" i="33"/>
  <c r="P1033" i="33"/>
  <c r="N997" i="33"/>
  <c r="O997" i="33" s="1"/>
  <c r="N803" i="33"/>
  <c r="O803" i="33" s="1"/>
  <c r="P934" i="33"/>
  <c r="Q1042" i="33"/>
  <c r="P1055" i="33"/>
  <c r="Q919" i="33"/>
  <c r="Q604" i="33"/>
  <c r="P924" i="33"/>
  <c r="N623" i="33"/>
  <c r="O623" i="33" s="1"/>
  <c r="P674" i="33"/>
  <c r="P583" i="33"/>
  <c r="N1059" i="33"/>
  <c r="O1059" i="33" s="1"/>
  <c r="Q985" i="33"/>
  <c r="P753" i="33"/>
  <c r="N795" i="33"/>
  <c r="O795" i="33" s="1"/>
  <c r="P1019" i="33"/>
  <c r="P556" i="33"/>
  <c r="N1000" i="33"/>
  <c r="O1000" i="33" s="1"/>
  <c r="N1045" i="33"/>
  <c r="O1045" i="33" s="1"/>
  <c r="P715" i="33"/>
  <c r="N633" i="33"/>
  <c r="O633" i="33" s="1"/>
  <c r="N974" i="33"/>
  <c r="O974" i="33" s="1"/>
  <c r="N552" i="33"/>
  <c r="O552" i="33" s="1"/>
  <c r="N758" i="33"/>
  <c r="O758" i="33" s="1"/>
  <c r="N692" i="33"/>
  <c r="O692" i="33" s="1"/>
  <c r="P895" i="33"/>
  <c r="P955" i="33"/>
  <c r="Q983" i="33"/>
  <c r="N616" i="33"/>
  <c r="O616" i="33" s="1"/>
  <c r="Q770" i="33"/>
  <c r="Q920" i="33"/>
  <c r="N970" i="33"/>
  <c r="O970" i="33" s="1"/>
  <c r="N578" i="33"/>
  <c r="O578" i="33" s="1"/>
  <c r="P724" i="33"/>
  <c r="N960" i="33"/>
  <c r="O960" i="33" s="1"/>
  <c r="N664" i="33"/>
  <c r="O664" i="33" s="1"/>
  <c r="N914" i="33"/>
  <c r="O914" i="33" s="1"/>
  <c r="P665" i="33"/>
  <c r="N850" i="33"/>
  <c r="O850" i="33" s="1"/>
  <c r="P754" i="33"/>
  <c r="P795" i="33"/>
  <c r="N753" i="33"/>
  <c r="O753" i="33" s="1"/>
  <c r="P745" i="33"/>
  <c r="N963" i="33"/>
  <c r="O963" i="33" s="1"/>
  <c r="N672" i="33"/>
  <c r="O672" i="33" s="1"/>
  <c r="Q717" i="33"/>
  <c r="P875" i="33"/>
  <c r="Q720" i="33"/>
  <c r="P693" i="33"/>
  <c r="P563" i="33"/>
  <c r="N693" i="33"/>
  <c r="O693" i="33" s="1"/>
  <c r="N714" i="33"/>
  <c r="O714" i="33" s="1"/>
  <c r="N1042" i="33"/>
  <c r="O1042" i="33" s="1"/>
  <c r="P950" i="33"/>
  <c r="P1014" i="33"/>
  <c r="P1023" i="33"/>
  <c r="Q818" i="33"/>
  <c r="N948" i="33"/>
  <c r="O948" i="33" s="1"/>
  <c r="Q938" i="33"/>
  <c r="N583" i="33"/>
  <c r="O583" i="33" s="1"/>
  <c r="N599" i="33"/>
  <c r="O599" i="33" s="1"/>
  <c r="N846" i="33"/>
  <c r="O846" i="33" s="1"/>
  <c r="N641" i="33"/>
  <c r="O641" i="33" s="1"/>
  <c r="Q645" i="33"/>
  <c r="P999" i="33"/>
  <c r="P660" i="33"/>
  <c r="N881" i="33"/>
  <c r="O881" i="33" s="1"/>
  <c r="N1033" i="33"/>
  <c r="O1033" i="33" s="1"/>
  <c r="Q1048" i="33"/>
  <c r="N576" i="33"/>
  <c r="O576" i="33" s="1"/>
  <c r="Q750" i="33"/>
  <c r="Q788" i="33"/>
  <c r="N872" i="33"/>
  <c r="O872" i="33" s="1"/>
  <c r="P820" i="33"/>
  <c r="Q959" i="33"/>
  <c r="Q1050" i="33"/>
  <c r="Q595" i="33"/>
  <c r="Q875" i="33"/>
  <c r="P802" i="33"/>
  <c r="P773" i="33"/>
  <c r="Q784" i="33"/>
  <c r="Q715" i="33"/>
  <c r="Q999" i="33"/>
  <c r="N884" i="33"/>
  <c r="O884" i="33" s="1"/>
  <c r="N766" i="33"/>
  <c r="O766" i="33" s="1"/>
  <c r="Q800" i="33"/>
  <c r="N718" i="33"/>
  <c r="O718" i="33" s="1"/>
  <c r="P706" i="33"/>
  <c r="N1062" i="33"/>
  <c r="O1062" i="33" s="1"/>
  <c r="Q1062" i="33"/>
  <c r="P595" i="33"/>
  <c r="N754" i="33"/>
  <c r="O754" i="33" s="1"/>
  <c r="Q924" i="33"/>
  <c r="Q979" i="33"/>
  <c r="Q1000" i="33"/>
  <c r="N626" i="33"/>
  <c r="O626" i="33" s="1"/>
  <c r="Q745" i="33"/>
  <c r="P985" i="33"/>
  <c r="R985" i="33" s="1"/>
  <c r="P1042" i="33"/>
  <c r="Q616" i="33"/>
  <c r="P919" i="33"/>
  <c r="N920" i="33"/>
  <c r="O920" i="33" s="1"/>
  <c r="P977" i="33"/>
  <c r="N983" i="33"/>
  <c r="O983" i="33" s="1"/>
  <c r="Q773" i="33"/>
  <c r="N934" i="33"/>
  <c r="O934" i="33" s="1"/>
  <c r="P959" i="33"/>
  <c r="N691" i="33"/>
  <c r="O691" i="33" s="1"/>
  <c r="Q631" i="33"/>
  <c r="Q706" i="33"/>
  <c r="N563" i="33"/>
  <c r="O563" i="33" s="1"/>
  <c r="Q633" i="33"/>
  <c r="N952" i="33"/>
  <c r="O952" i="33" s="1"/>
  <c r="Q721" i="33"/>
  <c r="P1003" i="33"/>
  <c r="P1032" i="33"/>
  <c r="N849" i="33"/>
  <c r="O849" i="33" s="1"/>
  <c r="Q781" i="33"/>
  <c r="Q761" i="33"/>
  <c r="N865" i="33"/>
  <c r="O865" i="33" s="1"/>
  <c r="P884" i="33"/>
  <c r="N643" i="33"/>
  <c r="O643" i="33" s="1"/>
  <c r="P641" i="33"/>
  <c r="Q1053" i="33"/>
  <c r="N720" i="33"/>
  <c r="O720" i="33" s="1"/>
  <c r="Q809" i="33"/>
  <c r="P939" i="33"/>
  <c r="N868" i="33"/>
  <c r="O868" i="33" s="1"/>
  <c r="Q795" i="33"/>
  <c r="N924" i="33"/>
  <c r="O924" i="33" s="1"/>
  <c r="P743" i="33"/>
  <c r="Q674" i="33"/>
  <c r="Q665" i="33"/>
  <c r="Q1055" i="33"/>
  <c r="Q671" i="33"/>
  <c r="Q899" i="33"/>
  <c r="P766" i="33"/>
  <c r="N595" i="33"/>
  <c r="O595" i="33" s="1"/>
  <c r="P644" i="33"/>
  <c r="Q1028" i="33"/>
  <c r="Q934" i="33"/>
  <c r="P983" i="33"/>
  <c r="Q884" i="33"/>
  <c r="N826" i="33"/>
  <c r="O826" i="33" s="1"/>
  <c r="N788" i="33"/>
  <c r="O788" i="33" s="1"/>
  <c r="Q644" i="33"/>
  <c r="Q812" i="33"/>
  <c r="Q863" i="33"/>
  <c r="Q759" i="33"/>
  <c r="N1061" i="33"/>
  <c r="O1061" i="33" s="1"/>
  <c r="Q753" i="33"/>
  <c r="Q584" i="33"/>
  <c r="N875" i="33"/>
  <c r="O875" i="33" s="1"/>
  <c r="Q844" i="33"/>
  <c r="Q709" i="33"/>
  <c r="Q1059" i="33"/>
  <c r="N715" i="33"/>
  <c r="O715" i="33" s="1"/>
  <c r="N845" i="33"/>
  <c r="O845" i="33" s="1"/>
  <c r="Q1045" i="33"/>
  <c r="Q850" i="33"/>
  <c r="N1053" i="33"/>
  <c r="O1053" i="33" s="1"/>
  <c r="N1055" i="33"/>
  <c r="O1055" i="33" s="1"/>
  <c r="Q754" i="33"/>
  <c r="Q872" i="33"/>
  <c r="N820" i="33"/>
  <c r="O820" i="33" s="1"/>
  <c r="N979" i="33"/>
  <c r="O979" i="33" s="1"/>
  <c r="P581" i="33"/>
  <c r="Q583" i="33"/>
  <c r="P664" i="33"/>
  <c r="P770" i="33"/>
  <c r="R770" i="33" s="1"/>
  <c r="N844" i="33"/>
  <c r="O844" i="33" s="1"/>
  <c r="P623" i="33"/>
  <c r="P718" i="33"/>
  <c r="N991" i="33"/>
  <c r="O991" i="33" s="1"/>
  <c r="P963" i="33"/>
  <c r="P920" i="33"/>
  <c r="R920" i="33" s="1"/>
  <c r="P1028" i="33"/>
  <c r="Q914" i="33"/>
  <c r="Q881" i="33"/>
  <c r="N555" i="33"/>
  <c r="O555" i="33" s="1"/>
  <c r="Q714" i="33"/>
  <c r="P881" i="33"/>
  <c r="N665" i="33"/>
  <c r="O665" i="33" s="1"/>
  <c r="N985" i="33"/>
  <c r="O985" i="33" s="1"/>
  <c r="P803" i="33"/>
  <c r="N899" i="33"/>
  <c r="O899" i="33" s="1"/>
  <c r="N743" i="33"/>
  <c r="O743" i="33" s="1"/>
  <c r="N800" i="33"/>
  <c r="O800" i="33" s="1"/>
  <c r="N556" i="33"/>
  <c r="O556" i="33" s="1"/>
  <c r="N1051" i="33"/>
  <c r="O1051" i="33" s="1"/>
  <c r="Q1051" i="33"/>
  <c r="Q672" i="33"/>
  <c r="P989" i="33"/>
  <c r="P760" i="33"/>
  <c r="Q695" i="33"/>
  <c r="Q896" i="33"/>
  <c r="P698" i="33"/>
  <c r="N1036" i="33"/>
  <c r="O1036" i="33" s="1"/>
  <c r="P933" i="33"/>
  <c r="P841" i="33"/>
  <c r="Q930" i="33"/>
  <c r="Q627" i="33"/>
  <c r="N612" i="33"/>
  <c r="O612" i="33" s="1"/>
  <c r="Q957" i="33"/>
  <c r="P804" i="33"/>
  <c r="N852" i="33"/>
  <c r="O852" i="33" s="1"/>
  <c r="Q808" i="33"/>
  <c r="P1054" i="33"/>
  <c r="P936" i="33"/>
  <c r="P746" i="33"/>
  <c r="N730" i="33"/>
  <c r="O730" i="33" s="1"/>
  <c r="N902" i="33"/>
  <c r="O902" i="33" s="1"/>
  <c r="P978" i="33"/>
  <c r="P854" i="33"/>
  <c r="N814" i="33"/>
  <c r="O814" i="33" s="1"/>
  <c r="Q735" i="33"/>
  <c r="Q630" i="33"/>
  <c r="Q945" i="33"/>
  <c r="Q804" i="33"/>
  <c r="P932" i="33"/>
  <c r="P579" i="33"/>
  <c r="N998" i="33"/>
  <c r="O998" i="33" s="1"/>
  <c r="N1047" i="33"/>
  <c r="O1047" i="33" s="1"/>
  <c r="P1037" i="33"/>
  <c r="Q760" i="33"/>
  <c r="Q860" i="33"/>
  <c r="N767" i="33"/>
  <c r="O767" i="33" s="1"/>
  <c r="Q567" i="33"/>
  <c r="Q669" i="33"/>
  <c r="N955" i="33"/>
  <c r="O955" i="33" s="1"/>
  <c r="P1039" i="33"/>
  <c r="Q1014" i="33"/>
  <c r="N759" i="33"/>
  <c r="O759" i="33" s="1"/>
  <c r="P696" i="33"/>
  <c r="Q848" i="33"/>
  <c r="P574" i="33"/>
  <c r="Q901" i="33"/>
  <c r="P981" i="33"/>
  <c r="N859" i="33"/>
  <c r="O859" i="33" s="1"/>
  <c r="N797" i="33"/>
  <c r="O797" i="33" s="1"/>
  <c r="P974" i="33"/>
  <c r="Q573" i="33"/>
  <c r="N1001" i="33"/>
  <c r="O1001" i="33" s="1"/>
  <c r="P923" i="33"/>
  <c r="Q713" i="33"/>
  <c r="N614" i="33"/>
  <c r="O614" i="33" s="1"/>
  <c r="N780" i="33"/>
  <c r="O780" i="33" s="1"/>
  <c r="Q785" i="33"/>
  <c r="P560" i="33"/>
  <c r="P608" i="33"/>
  <c r="P794" i="33"/>
  <c r="Q978" i="33"/>
  <c r="Q1058" i="33"/>
  <c r="N1022" i="33"/>
  <c r="O1022" i="33" s="1"/>
  <c r="Q1019" i="33"/>
  <c r="P844" i="33"/>
  <c r="P626" i="33"/>
  <c r="P578" i="33"/>
  <c r="Q581" i="33"/>
  <c r="Q664" i="33"/>
  <c r="Q704" i="33"/>
  <c r="P584" i="33"/>
  <c r="R584" i="33" s="1"/>
  <c r="P865" i="33"/>
  <c r="P675" i="33"/>
  <c r="P720" i="33"/>
  <c r="Q576" i="33"/>
  <c r="Q865" i="33"/>
  <c r="P1050" i="33"/>
  <c r="R1050" i="33" s="1"/>
  <c r="S1050" i="33" s="1"/>
  <c r="U1050" i="33" s="1"/>
  <c r="V1050" i="33" s="1"/>
  <c r="Q847" i="33"/>
  <c r="P697" i="33"/>
  <c r="P567" i="33"/>
  <c r="N856" i="33"/>
  <c r="O856" i="33" s="1"/>
  <c r="N593" i="33"/>
  <c r="O593" i="33" s="1"/>
  <c r="Q619" i="33"/>
  <c r="Q562" i="33"/>
  <c r="N661" i="33"/>
  <c r="O661" i="33" s="1"/>
  <c r="Q618" i="33"/>
  <c r="N741" i="33"/>
  <c r="O741" i="33" s="1"/>
  <c r="Q871" i="33"/>
  <c r="P806" i="33"/>
  <c r="N1020" i="33"/>
  <c r="O1020" i="33" s="1"/>
  <c r="N611" i="33"/>
  <c r="O611" i="33" s="1"/>
  <c r="N796" i="33"/>
  <c r="O796" i="33" s="1"/>
  <c r="N946" i="33"/>
  <c r="O946" i="33" s="1"/>
  <c r="P628" i="33"/>
  <c r="Q602" i="33"/>
  <c r="P716" i="33"/>
  <c r="N667" i="33"/>
  <c r="O667" i="33" s="1"/>
  <c r="Q971" i="33"/>
  <c r="P729" i="33"/>
  <c r="Q840" i="33"/>
  <c r="Q887" i="33"/>
  <c r="P905" i="33"/>
  <c r="N953" i="33"/>
  <c r="O953" i="33" s="1"/>
  <c r="P940" i="33"/>
  <c r="P1040" i="33"/>
  <c r="Q747" i="33"/>
  <c r="N925" i="33"/>
  <c r="O925" i="33" s="1"/>
  <c r="N1014" i="33"/>
  <c r="O1014" i="33" s="1"/>
  <c r="P847" i="33"/>
  <c r="Q608" i="33"/>
  <c r="P569" i="33"/>
  <c r="N634" i="33"/>
  <c r="O634" i="33" s="1"/>
  <c r="Q1004" i="33"/>
  <c r="Q771" i="33"/>
  <c r="N733" i="33"/>
  <c r="O733" i="33" s="1"/>
  <c r="P722" i="33"/>
  <c r="N695" i="33"/>
  <c r="O695" i="33" s="1"/>
  <c r="Q982" i="33"/>
  <c r="Q843" i="33"/>
  <c r="P707" i="33"/>
  <c r="P853" i="33"/>
  <c r="N1002" i="33"/>
  <c r="O1002" i="33" s="1"/>
  <c r="N789" i="33"/>
  <c r="O789" i="33" s="1"/>
  <c r="N557" i="33"/>
  <c r="O557" i="33" s="1"/>
  <c r="P734" i="33"/>
  <c r="N986" i="33"/>
  <c r="O986" i="33" s="1"/>
  <c r="Q937" i="33"/>
  <c r="N632" i="33"/>
  <c r="O632" i="33" s="1"/>
  <c r="P897" i="33"/>
  <c r="Q864" i="33"/>
  <c r="Q827" i="33"/>
  <c r="Q580" i="33"/>
  <c r="N716" i="33"/>
  <c r="O716" i="33" s="1"/>
  <c r="N630" i="33"/>
  <c r="O630" i="33" s="1"/>
  <c r="Q683" i="33"/>
  <c r="P667" i="33"/>
  <c r="Q729" i="33"/>
  <c r="Q782" i="33"/>
  <c r="P1015" i="33"/>
  <c r="N977" i="33"/>
  <c r="O977" i="33" s="1"/>
  <c r="P993" i="33"/>
  <c r="Q675" i="33"/>
  <c r="Q1033" i="33"/>
  <c r="P725" i="33"/>
  <c r="P791" i="33"/>
  <c r="P782" i="33"/>
  <c r="N675" i="33"/>
  <c r="O675" i="33" s="1"/>
  <c r="N585" i="33"/>
  <c r="O585" i="33" s="1"/>
  <c r="Q660" i="33"/>
  <c r="P717" i="33"/>
  <c r="R717" i="33" s="1"/>
  <c r="P636" i="33"/>
  <c r="Q984" i="33"/>
  <c r="N719" i="33"/>
  <c r="O719" i="33" s="1"/>
  <c r="N961" i="33"/>
  <c r="O961" i="33" s="1"/>
  <c r="N702" i="33"/>
  <c r="O702" i="33" s="1"/>
  <c r="Q733" i="33"/>
  <c r="N951" i="33"/>
  <c r="O951" i="33" s="1"/>
  <c r="N837" i="33"/>
  <c r="O837" i="33" s="1"/>
  <c r="N609" i="33"/>
  <c r="O609" i="33" s="1"/>
  <c r="P735" i="33"/>
  <c r="R735" i="33" s="1"/>
  <c r="Q946" i="33"/>
  <c r="Q728" i="33"/>
  <c r="P819" i="33"/>
  <c r="P982" i="33"/>
  <c r="P736" i="33"/>
  <c r="Q577" i="33"/>
  <c r="Q942" i="33"/>
  <c r="P1007" i="33"/>
  <c r="Q588" i="33"/>
  <c r="N1034" i="33"/>
  <c r="O1034" i="33" s="1"/>
  <c r="N1035" i="33"/>
  <c r="O1035" i="33" s="1"/>
  <c r="N684" i="33"/>
  <c r="O684" i="33" s="1"/>
  <c r="N1038" i="33"/>
  <c r="O1038" i="33" s="1"/>
  <c r="P577" i="33"/>
  <c r="N936" i="33"/>
  <c r="O936" i="33" s="1"/>
  <c r="Q975" i="33"/>
  <c r="Q828" i="33"/>
  <c r="N696" i="33"/>
  <c r="O696" i="33" s="1"/>
  <c r="Q907" i="33"/>
  <c r="N980" i="33"/>
  <c r="O980" i="33" s="1"/>
  <c r="P713" i="33"/>
  <c r="P986" i="33"/>
  <c r="N721" i="33"/>
  <c r="O721" i="33" s="1"/>
  <c r="P755" i="33"/>
  <c r="Q1032" i="33"/>
  <c r="Q961" i="33"/>
  <c r="N879" i="33"/>
  <c r="O879" i="33" s="1"/>
  <c r="N589" i="33"/>
  <c r="O589" i="33" s="1"/>
  <c r="P654" i="33"/>
  <c r="N1026" i="33"/>
  <c r="O1026" i="33" s="1"/>
  <c r="Q719" i="33"/>
  <c r="Q972" i="33"/>
  <c r="N562" i="33"/>
  <c r="O562" i="33" s="1"/>
  <c r="Q620" i="33"/>
  <c r="P780" i="33"/>
  <c r="Q988" i="33"/>
  <c r="Q597" i="33"/>
  <c r="N592" i="33"/>
  <c r="O592" i="33" s="1"/>
  <c r="N834" i="33"/>
  <c r="O834" i="33" s="1"/>
  <c r="P633" i="33"/>
  <c r="N809" i="33"/>
  <c r="O809" i="33" s="1"/>
  <c r="N802" i="33"/>
  <c r="O802" i="33" s="1"/>
  <c r="Q820" i="33"/>
  <c r="N645" i="33"/>
  <c r="O645" i="33" s="1"/>
  <c r="Q724" i="33"/>
  <c r="P576" i="33"/>
  <c r="P788" i="33"/>
  <c r="R788" i="33" s="1"/>
  <c r="S788" i="33" s="1"/>
  <c r="U788" i="33" s="1"/>
  <c r="V788" i="33" s="1"/>
  <c r="Q599" i="33"/>
  <c r="P691" i="33"/>
  <c r="P1048" i="33"/>
  <c r="R1048" i="33" s="1"/>
  <c r="N770" i="33"/>
  <c r="O770" i="33" s="1"/>
  <c r="N915" i="33"/>
  <c r="O915" i="33" s="1"/>
  <c r="N722" i="33"/>
  <c r="O722" i="33" s="1"/>
  <c r="P807" i="33"/>
  <c r="Q652" i="33"/>
  <c r="Q1001" i="33"/>
  <c r="P992" i="33"/>
  <c r="N573" i="33"/>
  <c r="O573" i="33" s="1"/>
  <c r="P648" i="33"/>
  <c r="P842" i="33"/>
  <c r="Q596" i="33"/>
  <c r="Q1054" i="33"/>
  <c r="N942" i="33"/>
  <c r="O942" i="33" s="1"/>
  <c r="Q746" i="33"/>
  <c r="N888" i="33"/>
  <c r="O888" i="33" s="1"/>
  <c r="Q1052" i="33"/>
  <c r="Q1026" i="33"/>
  <c r="N605" i="33"/>
  <c r="O605" i="33" s="1"/>
  <c r="P929" i="33"/>
  <c r="P617" i="33"/>
  <c r="N635" i="33"/>
  <c r="O635" i="33" s="1"/>
  <c r="P553" i="33"/>
  <c r="P998" i="33"/>
  <c r="N843" i="33"/>
  <c r="O843" i="33" s="1"/>
  <c r="Q1037" i="33"/>
  <c r="N621" i="33"/>
  <c r="O621" i="33" s="1"/>
  <c r="N777" i="33"/>
  <c r="O777" i="33" s="1"/>
  <c r="N746" i="33"/>
  <c r="O746" i="33" s="1"/>
  <c r="Q757" i="33"/>
  <c r="Q996" i="33"/>
  <c r="Q962" i="33"/>
  <c r="Q763" i="33"/>
  <c r="Q883" i="33"/>
  <c r="Q952" i="33"/>
  <c r="P840" i="33"/>
  <c r="P695" i="33"/>
  <c r="P1061" i="33"/>
  <c r="N921" i="33"/>
  <c r="O921" i="33" s="1"/>
  <c r="N698" i="33"/>
  <c r="O698" i="33" s="1"/>
  <c r="N916" i="33"/>
  <c r="O916" i="33" s="1"/>
  <c r="N624" i="33"/>
  <c r="O624" i="33" s="1"/>
  <c r="N866" i="33"/>
  <c r="O866" i="33" s="1"/>
  <c r="P961" i="33"/>
  <c r="Q1036" i="33"/>
  <c r="N713" i="33"/>
  <c r="O713" i="33" s="1"/>
  <c r="Q824" i="33"/>
  <c r="P827" i="33"/>
  <c r="P657" i="33"/>
  <c r="P1024" i="33"/>
  <c r="N935" i="33"/>
  <c r="O935" i="33" s="1"/>
  <c r="N994" i="33"/>
  <c r="O994" i="33" s="1"/>
  <c r="Q866" i="33"/>
  <c r="P893" i="33"/>
  <c r="N838" i="33"/>
  <c r="O838" i="33" s="1"/>
  <c r="P922" i="33"/>
  <c r="N787" i="33"/>
  <c r="O787" i="33" s="1"/>
  <c r="P1041" i="33"/>
  <c r="P568" i="33"/>
  <c r="N959" i="33"/>
  <c r="O959" i="33" s="1"/>
  <c r="P1062" i="33"/>
  <c r="R1062" i="33" s="1"/>
  <c r="S1062" i="33" s="1"/>
  <c r="U1062" i="33" s="1"/>
  <c r="V1062" i="33" s="1"/>
  <c r="Q639" i="33"/>
  <c r="P850" i="33"/>
  <c r="P997" i="33"/>
  <c r="P868" i="33"/>
  <c r="N625" i="33"/>
  <c r="O625" i="33" s="1"/>
  <c r="P915" i="33"/>
  <c r="N584" i="33"/>
  <c r="O584" i="33" s="1"/>
  <c r="Q725" i="33"/>
  <c r="P1045" i="33"/>
  <c r="Q643" i="33"/>
  <c r="P846" i="33"/>
  <c r="Q775" i="33"/>
  <c r="N947" i="33"/>
  <c r="O947" i="33" s="1"/>
  <c r="Q569" i="33"/>
  <c r="N944" i="33"/>
  <c r="O944" i="33" s="1"/>
  <c r="Q893" i="33"/>
  <c r="Q564" i="33"/>
  <c r="P650" i="33"/>
  <c r="P666" i="33"/>
  <c r="P611" i="33"/>
  <c r="P1011" i="33"/>
  <c r="Q929" i="33"/>
  <c r="Q628" i="33"/>
  <c r="P730" i="33"/>
  <c r="N967" i="33"/>
  <c r="O967" i="33" s="1"/>
  <c r="P1005" i="33"/>
  <c r="N1027" i="33"/>
  <c r="O1027" i="33" s="1"/>
  <c r="N839" i="33"/>
  <c r="O839" i="33" s="1"/>
  <c r="N711" i="33"/>
  <c r="O711" i="33" s="1"/>
  <c r="Q659" i="33"/>
  <c r="Q1040" i="33"/>
  <c r="N747" i="33"/>
  <c r="O747" i="33" s="1"/>
  <c r="P1047" i="33"/>
  <c r="Q752" i="33"/>
  <c r="P605" i="33"/>
  <c r="Q767" i="33"/>
  <c r="P786" i="33"/>
  <c r="P912" i="33"/>
  <c r="P769" i="33"/>
  <c r="N1039" i="33"/>
  <c r="O1039" i="33" s="1"/>
  <c r="P772" i="33"/>
  <c r="Q688" i="33"/>
  <c r="P601" i="33"/>
  <c r="N984" i="33"/>
  <c r="O984" i="33" s="1"/>
  <c r="N697" i="33"/>
  <c r="O697" i="33" s="1"/>
  <c r="N815" i="33"/>
  <c r="O815" i="33" s="1"/>
  <c r="P944" i="33"/>
  <c r="Q876" i="33"/>
  <c r="Q798" i="33"/>
  <c r="Q632" i="33"/>
  <c r="N847" i="33"/>
  <c r="O847" i="33" s="1"/>
  <c r="Q921" i="33"/>
  <c r="Q1046" i="33"/>
  <c r="Q842" i="33"/>
  <c r="P614" i="33"/>
  <c r="N551" i="33"/>
  <c r="O551" i="33" s="1"/>
  <c r="P640" i="33"/>
  <c r="P1025" i="33"/>
  <c r="Q859" i="33"/>
  <c r="Q692" i="33"/>
  <c r="Q563" i="33"/>
  <c r="Q1015" i="33"/>
  <c r="N773" i="33"/>
  <c r="O773" i="33" s="1"/>
  <c r="N639" i="33"/>
  <c r="O639" i="33" s="1"/>
  <c r="N725" i="33"/>
  <c r="O725" i="33" s="1"/>
  <c r="P671" i="33"/>
  <c r="N993" i="33"/>
  <c r="O993" i="33" s="1"/>
  <c r="N989" i="33"/>
  <c r="O989" i="33" s="1"/>
  <c r="Q846" i="33"/>
  <c r="P709" i="33"/>
  <c r="P914" i="33"/>
  <c r="R914" i="33" s="1"/>
  <c r="P625" i="33"/>
  <c r="N706" i="33"/>
  <c r="O706" i="33" s="1"/>
  <c r="Q986" i="33"/>
  <c r="N1010" i="33"/>
  <c r="O1010" i="33" s="1"/>
  <c r="N687" i="33"/>
  <c r="O687" i="33" s="1"/>
  <c r="N571" i="33"/>
  <c r="O571" i="33" s="1"/>
  <c r="P771" i="33"/>
  <c r="N923" i="33"/>
  <c r="O923" i="33" s="1"/>
  <c r="P737" i="33"/>
  <c r="N1058" i="33"/>
  <c r="O1058" i="33" s="1"/>
  <c r="P964" i="33"/>
  <c r="Q891" i="33"/>
  <c r="Q839" i="33"/>
  <c r="P918" i="33"/>
  <c r="P909" i="33"/>
  <c r="Q716" i="33"/>
  <c r="P587" i="33"/>
  <c r="N1021" i="33"/>
  <c r="O1021" i="33" s="1"/>
  <c r="N1009" i="33"/>
  <c r="O1009" i="33" s="1"/>
  <c r="N1049" i="33"/>
  <c r="O1049" i="33" s="1"/>
  <c r="N663" i="33"/>
  <c r="O663" i="33" s="1"/>
  <c r="P811" i="33"/>
  <c r="Q1018" i="33"/>
  <c r="P925" i="33"/>
  <c r="Q736" i="33"/>
  <c r="P607" i="33"/>
  <c r="Q851" i="33"/>
  <c r="N628" i="33"/>
  <c r="O628" i="33" s="1"/>
  <c r="N602" i="33"/>
  <c r="O602" i="33" s="1"/>
  <c r="P900" i="33"/>
  <c r="Q658" i="33"/>
  <c r="P913" i="33"/>
  <c r="Q810" i="33"/>
  <c r="P882" i="33"/>
  <c r="N807" i="33"/>
  <c r="O807" i="33" s="1"/>
  <c r="P1016" i="33"/>
  <c r="Q801" i="33"/>
  <c r="Q571" i="33"/>
  <c r="N1017" i="33"/>
  <c r="O1017" i="33" s="1"/>
  <c r="P761" i="33"/>
  <c r="P670" i="33"/>
  <c r="Q1011" i="33"/>
  <c r="P1049" i="33"/>
  <c r="Q654" i="33"/>
  <c r="N897" i="33"/>
  <c r="O897" i="33" s="1"/>
  <c r="P642" i="33"/>
  <c r="P764" i="33"/>
  <c r="P557" i="33"/>
  <c r="P580" i="33"/>
  <c r="N653" i="33"/>
  <c r="O653" i="33" s="1"/>
  <c r="Q634" i="33"/>
  <c r="N891" i="33"/>
  <c r="O891" i="33" s="1"/>
  <c r="P1034" i="33"/>
  <c r="Q737" i="33"/>
  <c r="N774" i="33"/>
  <c r="O774" i="33" s="1"/>
  <c r="P647" i="33"/>
  <c r="N651" i="33"/>
  <c r="O651" i="33" s="1"/>
  <c r="Q786" i="33"/>
  <c r="P952" i="33"/>
  <c r="R952" i="33" s="1"/>
  <c r="Q987" i="33"/>
  <c r="Q560" i="33"/>
  <c r="N913" i="33"/>
  <c r="O913" i="33" s="1"/>
  <c r="N1043" i="33"/>
  <c r="O1043" i="33" s="1"/>
  <c r="B536" i="33"/>
  <c r="N717" i="33"/>
  <c r="O717" i="33" s="1"/>
  <c r="P809" i="33"/>
  <c r="R809" i="33" s="1"/>
  <c r="S809" i="33" s="1"/>
  <c r="Q868" i="33"/>
  <c r="N745" i="33"/>
  <c r="O745" i="33" s="1"/>
  <c r="Q578" i="33"/>
  <c r="N791" i="33"/>
  <c r="O791" i="33" s="1"/>
  <c r="N709" i="33"/>
  <c r="O709" i="33" s="1"/>
  <c r="P826" i="33"/>
  <c r="N674" i="33"/>
  <c r="O674" i="33" s="1"/>
  <c r="N784" i="33"/>
  <c r="O784" i="33" s="1"/>
  <c r="P643" i="33"/>
  <c r="N999" i="33"/>
  <c r="O999" i="33" s="1"/>
  <c r="P899" i="33"/>
  <c r="N601" i="33"/>
  <c r="O601" i="33" s="1"/>
  <c r="Q568" i="33"/>
  <c r="Q815" i="33"/>
  <c r="N683" i="33"/>
  <c r="O683" i="33" s="1"/>
  <c r="N560" i="33"/>
  <c r="O560" i="33" s="1"/>
  <c r="P624" i="33"/>
  <c r="P880" i="33"/>
  <c r="Q1031" i="33"/>
  <c r="N736" i="33"/>
  <c r="O736" i="33" s="1"/>
  <c r="Q605" i="33"/>
  <c r="P834" i="33"/>
  <c r="P778" i="33"/>
  <c r="N588" i="33"/>
  <c r="O588" i="33" s="1"/>
  <c r="P1013" i="33"/>
  <c r="P867" i="33"/>
  <c r="Q783" i="33"/>
  <c r="N723" i="33"/>
  <c r="O723" i="33" s="1"/>
  <c r="N804" i="33"/>
  <c r="O804" i="33" s="1"/>
  <c r="P852" i="33"/>
  <c r="N808" i="33"/>
  <c r="O808" i="33" s="1"/>
  <c r="P980" i="33"/>
  <c r="P825" i="33"/>
  <c r="P1026" i="33"/>
  <c r="P1027" i="33"/>
  <c r="P561" i="33"/>
  <c r="Q649" i="33"/>
  <c r="N1004" i="33"/>
  <c r="O1004" i="33" s="1"/>
  <c r="P1052" i="33"/>
  <c r="P1046" i="33"/>
  <c r="P646" i="33"/>
  <c r="N910" i="33"/>
  <c r="O910" i="33" s="1"/>
  <c r="Q792" i="33"/>
  <c r="Q621" i="33"/>
  <c r="P887" i="33"/>
  <c r="P740" i="33"/>
  <c r="Q885" i="33"/>
  <c r="P591" i="33"/>
  <c r="N579" i="33"/>
  <c r="O579" i="33" s="1"/>
  <c r="N858" i="33"/>
  <c r="O858" i="33" s="1"/>
  <c r="N577" i="33"/>
  <c r="O577" i="33" s="1"/>
  <c r="P888" i="33"/>
  <c r="N926" i="33"/>
  <c r="O926" i="33" s="1"/>
  <c r="N823" i="33"/>
  <c r="O823" i="33" s="1"/>
  <c r="P878" i="33"/>
  <c r="N710" i="33"/>
  <c r="O710" i="33" s="1"/>
  <c r="P726" i="33"/>
  <c r="N673" i="33"/>
  <c r="O673" i="33" s="1"/>
  <c r="Q816" i="33"/>
  <c r="P1001" i="33"/>
  <c r="N818" i="33"/>
  <c r="O818" i="33" s="1"/>
  <c r="N811" i="33"/>
  <c r="O811" i="33" s="1"/>
  <c r="P971" i="33"/>
  <c r="R971" i="33" s="1"/>
  <c r="Q1043" i="33"/>
  <c r="P590" i="33"/>
  <c r="N917" i="33"/>
  <c r="O917" i="33" s="1"/>
  <c r="N567" i="33"/>
  <c r="O567" i="33" s="1"/>
  <c r="P812" i="33"/>
  <c r="N801" i="33"/>
  <c r="O801" i="33" s="1"/>
  <c r="P916" i="33"/>
  <c r="Q943" i="33"/>
  <c r="P855" i="33"/>
  <c r="Q641" i="33"/>
  <c r="P585" i="33"/>
  <c r="P845" i="33"/>
  <c r="N644" i="33"/>
  <c r="O644" i="33" s="1"/>
  <c r="N724" i="33"/>
  <c r="O724" i="33" s="1"/>
  <c r="Q625" i="33"/>
  <c r="Q915" i="33"/>
  <c r="P631" i="33"/>
  <c r="P604" i="33"/>
  <c r="R604" i="33" s="1"/>
  <c r="N581" i="33"/>
  <c r="O581" i="33" s="1"/>
  <c r="Q768" i="33"/>
  <c r="P1000" i="33"/>
  <c r="Q743" i="33"/>
  <c r="P800" i="33"/>
  <c r="Q882" i="33"/>
  <c r="N860" i="33"/>
  <c r="O860" i="33" s="1"/>
  <c r="P994" i="33"/>
  <c r="Q966" i="33"/>
  <c r="P589" i="33"/>
  <c r="P632" i="33"/>
  <c r="Q677" i="33"/>
  <c r="N1030" i="33"/>
  <c r="O1030" i="33" s="1"/>
  <c r="P680" i="33"/>
  <c r="Q1027" i="33"/>
  <c r="Q723" i="33"/>
  <c r="Q1007" i="33"/>
  <c r="P635" i="33"/>
  <c r="P829" i="33"/>
  <c r="N627" i="33"/>
  <c r="O627" i="33" s="1"/>
  <c r="N734" i="33"/>
  <c r="O734" i="33" s="1"/>
  <c r="N945" i="33"/>
  <c r="O945" i="33" s="1"/>
  <c r="Q953" i="33"/>
  <c r="N996" i="33"/>
  <c r="O996" i="33" s="1"/>
  <c r="P962" i="33"/>
  <c r="N703" i="33"/>
  <c r="O703" i="33" s="1"/>
  <c r="Q594" i="33"/>
  <c r="Q1005" i="33"/>
  <c r="P686" i="33"/>
  <c r="N929" i="33"/>
  <c r="O929" i="33" s="1"/>
  <c r="N1007" i="33"/>
  <c r="O1007" i="33" s="1"/>
  <c r="P879" i="33"/>
  <c r="P1051" i="33"/>
  <c r="Q989" i="33"/>
  <c r="Q691" i="33"/>
  <c r="Q845" i="33"/>
  <c r="N919" i="33"/>
  <c r="O919" i="33" s="1"/>
  <c r="Q993" i="33"/>
  <c r="Q826" i="33"/>
  <c r="Q803" i="33"/>
  <c r="P704" i="33"/>
  <c r="R704" i="33" s="1"/>
  <c r="P599" i="33"/>
  <c r="P833" i="33"/>
  <c r="N768" i="33"/>
  <c r="O768" i="33" s="1"/>
  <c r="N704" i="33"/>
  <c r="O704" i="33" s="1"/>
  <c r="Q802" i="33"/>
  <c r="N931" i="33"/>
  <c r="O931" i="33" s="1"/>
  <c r="P637" i="33"/>
  <c r="Q740" i="33"/>
  <c r="P669" i="33"/>
  <c r="N798" i="33"/>
  <c r="O798" i="33" s="1"/>
  <c r="Q670" i="33"/>
  <c r="N701" i="33"/>
  <c r="O701" i="33" s="1"/>
  <c r="N973" i="33"/>
  <c r="O973" i="33" s="1"/>
  <c r="N1005" i="33"/>
  <c r="O1005" i="33" s="1"/>
  <c r="Q1021" i="33"/>
  <c r="P945" i="33"/>
  <c r="Q617" i="33"/>
  <c r="P659" i="33"/>
  <c r="N1040" i="33"/>
  <c r="O1040" i="33" s="1"/>
  <c r="N805" i="33"/>
  <c r="O805" i="33" s="1"/>
  <c r="P612" i="33"/>
  <c r="N871" i="33"/>
  <c r="O871" i="33" s="1"/>
  <c r="Q819" i="33"/>
  <c r="N982" i="33"/>
  <c r="O982" i="33" s="1"/>
  <c r="N658" i="33"/>
  <c r="O658" i="33" s="1"/>
  <c r="Q913" i="33"/>
  <c r="P688" i="33"/>
  <c r="Q867" i="33"/>
  <c r="N755" i="33"/>
  <c r="O755" i="33" s="1"/>
  <c r="P1009" i="33"/>
  <c r="N617" i="33"/>
  <c r="O617" i="33" s="1"/>
  <c r="Q635" i="33"/>
  <c r="Q1013" i="33"/>
  <c r="Q667" i="33"/>
  <c r="Q684" i="33"/>
  <c r="N922" i="33"/>
  <c r="O922" i="33" s="1"/>
  <c r="N1023" i="33"/>
  <c r="O1023" i="33" s="1"/>
  <c r="N568" i="33"/>
  <c r="O568" i="33" s="1"/>
  <c r="Q678" i="33"/>
  <c r="N786" i="33"/>
  <c r="O786" i="33" s="1"/>
  <c r="P966" i="33"/>
  <c r="Q992" i="33"/>
  <c r="P1036" i="33"/>
  <c r="P838" i="33"/>
  <c r="P818" i="33"/>
  <c r="R818" i="33" s="1"/>
  <c r="Q799" i="33"/>
  <c r="Q646" i="33"/>
  <c r="Q774" i="33"/>
  <c r="N647" i="33"/>
  <c r="O647" i="33" s="1"/>
  <c r="Q712" i="33"/>
  <c r="Q738" i="33"/>
  <c r="Q1060" i="33"/>
  <c r="Q611" i="33"/>
  <c r="N761" i="33"/>
  <c r="O761" i="33" s="1"/>
  <c r="N1032" i="33"/>
  <c r="O1032" i="33" s="1"/>
  <c r="P573" i="33"/>
  <c r="Q925" i="33"/>
  <c r="N620" i="33"/>
  <c r="O620" i="33" s="1"/>
  <c r="P870" i="33"/>
  <c r="N988" i="33"/>
  <c r="O988" i="33" s="1"/>
  <c r="N992" i="33"/>
  <c r="O992" i="33" s="1"/>
  <c r="Q693" i="33"/>
  <c r="N660" i="33"/>
  <c r="O660" i="33" s="1"/>
  <c r="P714" i="33"/>
  <c r="R714" i="33" s="1"/>
  <c r="S714" i="33" s="1"/>
  <c r="U714" i="33" s="1"/>
  <c r="V714" i="33" s="1"/>
  <c r="Q950" i="33"/>
  <c r="P801" i="33"/>
  <c r="P848" i="33"/>
  <c r="R848" i="33" s="1"/>
  <c r="P987" i="33"/>
  <c r="P618" i="33"/>
  <c r="Q769" i="33"/>
  <c r="N587" i="33"/>
  <c r="O587" i="33" s="1"/>
  <c r="N876" i="33"/>
  <c r="O876" i="33" s="1"/>
  <c r="Q911" i="33"/>
  <c r="Q607" i="33"/>
  <c r="P757" i="33"/>
  <c r="N619" i="33"/>
  <c r="O619" i="33" s="1"/>
  <c r="Q980" i="33"/>
  <c r="P673" i="33"/>
  <c r="N636" i="33"/>
  <c r="O636" i="33" s="1"/>
  <c r="N799" i="33"/>
  <c r="O799" i="33" s="1"/>
  <c r="Q910" i="33"/>
  <c r="P566" i="33"/>
  <c r="Q776" i="33"/>
  <c r="P692" i="33"/>
  <c r="P1035" i="33"/>
  <c r="Q762" i="33"/>
  <c r="N870" i="33"/>
  <c r="O870" i="33" s="1"/>
  <c r="N731" i="33"/>
  <c r="O731" i="33" s="1"/>
  <c r="P742" i="33"/>
  <c r="N863" i="33"/>
  <c r="O863" i="33" s="1"/>
  <c r="N740" i="33"/>
  <c r="O740" i="33" s="1"/>
  <c r="Q835" i="33"/>
  <c r="Q662" i="33"/>
  <c r="Q565" i="33"/>
  <c r="Q990" i="33"/>
  <c r="N898" i="33"/>
  <c r="O898" i="33" s="1"/>
  <c r="Q744" i="33"/>
  <c r="N652" i="33"/>
  <c r="O652" i="33" s="1"/>
  <c r="P596" i="33"/>
  <c r="N938" i="33"/>
  <c r="O938" i="33" s="1"/>
  <c r="N829" i="33"/>
  <c r="O829" i="33" s="1"/>
  <c r="P941" i="33"/>
  <c r="P620" i="33"/>
  <c r="Q832" i="33"/>
  <c r="P988" i="33"/>
  <c r="N1024" i="33"/>
  <c r="O1024" i="33" s="1"/>
  <c r="Q622" i="33"/>
  <c r="N744" i="33"/>
  <c r="O744" i="33" s="1"/>
  <c r="P837" i="33"/>
  <c r="N764" i="33"/>
  <c r="O764" i="33" s="1"/>
  <c r="Q967" i="33"/>
  <c r="Q898" i="33"/>
  <c r="Q661" i="33"/>
  <c r="P738" i="33"/>
  <c r="P864" i="33"/>
  <c r="R864" i="33" s="1"/>
  <c r="Q648" i="33"/>
  <c r="N927" i="33"/>
  <c r="O927" i="33" s="1"/>
  <c r="P996" i="33"/>
  <c r="P554" i="33"/>
  <c r="N678" i="33"/>
  <c r="O678" i="33" s="1"/>
  <c r="P700" i="33"/>
  <c r="Q694" i="33"/>
  <c r="P739" i="33"/>
  <c r="P662" i="33"/>
  <c r="P565" i="33"/>
  <c r="P572" i="33"/>
  <c r="P1018" i="33"/>
  <c r="N821" i="33"/>
  <c r="O821" i="33" s="1"/>
  <c r="Q650" i="33"/>
  <c r="Q655" i="33"/>
  <c r="N810" i="33"/>
  <c r="O810" i="33" s="1"/>
  <c r="N1016" i="33"/>
  <c r="O1016" i="33" s="1"/>
  <c r="N752" i="33"/>
  <c r="O752" i="33" s="1"/>
  <c r="N854" i="33"/>
  <c r="O854" i="33" s="1"/>
  <c r="Q994" i="33"/>
  <c r="P708" i="33"/>
  <c r="P661" i="33"/>
  <c r="R661" i="33" s="1"/>
  <c r="S661" i="33" s="1"/>
  <c r="U661" i="33" s="1"/>
  <c r="V661" i="33" s="1"/>
  <c r="P843" i="33"/>
  <c r="R843" i="33" s="1"/>
  <c r="P651" i="33"/>
  <c r="N607" i="33"/>
  <c r="O607" i="33" s="1"/>
  <c r="P672" i="33"/>
  <c r="R672" i="33" s="1"/>
  <c r="S672" i="33" s="1"/>
  <c r="N671" i="33"/>
  <c r="O671" i="33" s="1"/>
  <c r="P872" i="33"/>
  <c r="R872" i="33" s="1"/>
  <c r="S872" i="33" s="1"/>
  <c r="T872" i="33" s="1"/>
  <c r="P639" i="33"/>
  <c r="R639" i="33" s="1"/>
  <c r="S639" i="33" s="1"/>
  <c r="P869" i="33"/>
  <c r="N662" i="33"/>
  <c r="O662" i="33" s="1"/>
  <c r="P699" i="33"/>
  <c r="N735" i="33"/>
  <c r="O735" i="33" s="1"/>
  <c r="N1052" i="33"/>
  <c r="O1052" i="33" s="1"/>
  <c r="N618" i="33"/>
  <c r="O618" i="33" s="1"/>
  <c r="Q1017" i="33"/>
  <c r="P813" i="33"/>
  <c r="Q686" i="33"/>
  <c r="Q613" i="33"/>
  <c r="N763" i="33"/>
  <c r="O763" i="33" s="1"/>
  <c r="N880" i="33"/>
  <c r="O880" i="33" s="1"/>
  <c r="Q1006" i="33"/>
  <c r="N812" i="33"/>
  <c r="O812" i="33" s="1"/>
  <c r="Q702" i="33"/>
  <c r="P823" i="33"/>
  <c r="Q764" i="33"/>
  <c r="Q765" i="33"/>
  <c r="P896" i="33"/>
  <c r="Q998" i="33"/>
  <c r="Q700" i="33"/>
  <c r="Q679" i="33"/>
  <c r="N558" i="33"/>
  <c r="O558" i="33" s="1"/>
  <c r="Q689" i="33"/>
  <c r="N903" i="33"/>
  <c r="O903" i="33" s="1"/>
  <c r="N728" i="33"/>
  <c r="O728" i="33" s="1"/>
  <c r="Q579" i="33"/>
  <c r="N825" i="33"/>
  <c r="O825" i="33" s="1"/>
  <c r="P762" i="33"/>
  <c r="Q656" i="33"/>
  <c r="Q969" i="33"/>
  <c r="P609" i="33"/>
  <c r="Q561" i="33"/>
  <c r="P874" i="33"/>
  <c r="N918" i="33"/>
  <c r="O918" i="33" s="1"/>
  <c r="N972" i="33"/>
  <c r="O972" i="33" s="1"/>
  <c r="Q572" i="33"/>
  <c r="N749" i="33"/>
  <c r="O749" i="33" s="1"/>
  <c r="Q780" i="33"/>
  <c r="Q554" i="33"/>
  <c r="N1025" i="33"/>
  <c r="O1025" i="33" s="1"/>
  <c r="Q889" i="33"/>
  <c r="P821" i="33"/>
  <c r="Q1030" i="33"/>
  <c r="Q673" i="33"/>
  <c r="N681" i="33"/>
  <c r="O681" i="33" s="1"/>
  <c r="Q789" i="33"/>
  <c r="Q614" i="33"/>
  <c r="P859" i="33"/>
  <c r="N657" i="33"/>
  <c r="O657" i="33" s="1"/>
  <c r="Q854" i="33"/>
  <c r="P917" i="33"/>
  <c r="P835" i="33"/>
  <c r="R835" i="33" s="1"/>
  <c r="Q849" i="33"/>
  <c r="P815" i="33"/>
  <c r="P638" i="33"/>
  <c r="N580" i="33"/>
  <c r="O580" i="33" s="1"/>
  <c r="Q708" i="33"/>
  <c r="Q586" i="33"/>
  <c r="P1057" i="33"/>
  <c r="N832" i="33"/>
  <c r="O832" i="33" s="1"/>
  <c r="N940" i="33"/>
  <c r="O940" i="33" s="1"/>
  <c r="N727" i="33"/>
  <c r="O727" i="33" s="1"/>
  <c r="Q606" i="33"/>
  <c r="Q1056" i="33"/>
  <c r="P562" i="33"/>
  <c r="Q699" i="33"/>
  <c r="P968" i="33"/>
  <c r="P597" i="33"/>
  <c r="P817" i="33"/>
  <c r="P836" i="33"/>
  <c r="Q766" i="33"/>
  <c r="Q556" i="33"/>
  <c r="P555" i="33"/>
  <c r="P1059" i="33"/>
  <c r="R1059" i="33" s="1"/>
  <c r="S1059" i="33" s="1"/>
  <c r="U1059" i="33" s="1"/>
  <c r="V1059" i="33" s="1"/>
  <c r="P634" i="33"/>
  <c r="R634" i="33" s="1"/>
  <c r="P606" i="33"/>
  <c r="Q1029" i="33"/>
  <c r="P891" i="33"/>
  <c r="N1013" i="33"/>
  <c r="O1013" i="33" s="1"/>
  <c r="Q796" i="33"/>
  <c r="Q663" i="33"/>
  <c r="N572" i="33"/>
  <c r="O572" i="33" s="1"/>
  <c r="Q1003" i="33"/>
  <c r="N937" i="33"/>
  <c r="O937" i="33" s="1"/>
  <c r="N882" i="33"/>
  <c r="O882" i="33" s="1"/>
  <c r="N941" i="33"/>
  <c r="O941" i="33" s="1"/>
  <c r="Q790" i="33"/>
  <c r="N851" i="33"/>
  <c r="O851" i="33" s="1"/>
  <c r="Q900" i="33"/>
  <c r="N1037" i="33"/>
  <c r="O1037" i="33" s="1"/>
  <c r="P928" i="33"/>
  <c r="Q636" i="33"/>
  <c r="P649" i="33"/>
  <c r="N1018" i="33"/>
  <c r="O1018" i="33" s="1"/>
  <c r="N889" i="33"/>
  <c r="O889" i="33" s="1"/>
  <c r="N656" i="33"/>
  <c r="O656" i="33" s="1"/>
  <c r="N756" i="33"/>
  <c r="O756" i="33" s="1"/>
  <c r="N785" i="33"/>
  <c r="O785" i="33" s="1"/>
  <c r="N1003" i="33"/>
  <c r="O1003" i="33" s="1"/>
  <c r="N869" i="33"/>
  <c r="O869" i="33" s="1"/>
  <c r="N907" i="33"/>
  <c r="O907" i="33" s="1"/>
  <c r="P883" i="33"/>
  <c r="N700" i="33"/>
  <c r="O700" i="33" s="1"/>
  <c r="Q949" i="33"/>
  <c r="N906" i="33"/>
  <c r="O906" i="33" s="1"/>
  <c r="N964" i="33"/>
  <c r="O964" i="33" s="1"/>
  <c r="Q1061" i="33"/>
  <c r="Q1023" i="33"/>
  <c r="Q944" i="33"/>
  <c r="N892" i="33"/>
  <c r="O892" i="33" s="1"/>
  <c r="P594" i="33"/>
  <c r="N824" i="33"/>
  <c r="O824" i="33" s="1"/>
  <c r="N956" i="33"/>
  <c r="O956" i="33" s="1"/>
  <c r="Q640" i="33"/>
  <c r="N909" i="33"/>
  <c r="O909" i="33" s="1"/>
  <c r="Q861" i="33"/>
  <c r="P558" i="33"/>
  <c r="P622" i="33"/>
  <c r="R622" i="33" s="1"/>
  <c r="N1012" i="33"/>
  <c r="O1012" i="33" s="1"/>
  <c r="P908" i="33"/>
  <c r="N680" i="33"/>
  <c r="O680" i="33" s="1"/>
  <c r="Q600" i="33"/>
  <c r="P744" i="33"/>
  <c r="Q705" i="33"/>
  <c r="N594" i="33"/>
  <c r="O594" i="33" s="1"/>
  <c r="N981" i="33"/>
  <c r="O981" i="33" s="1"/>
  <c r="Q892" i="33"/>
  <c r="P798" i="33"/>
  <c r="Q610" i="33"/>
  <c r="P890" i="33"/>
  <c r="Q749" i="33"/>
  <c r="P990" i="33"/>
  <c r="P676" i="33"/>
  <c r="Q855" i="33"/>
  <c r="Q951" i="33"/>
  <c r="N895" i="33"/>
  <c r="O895" i="33" s="1"/>
  <c r="Q566" i="33"/>
  <c r="P892" i="33"/>
  <c r="N679" i="33"/>
  <c r="O679" i="33" s="1"/>
  <c r="Q687" i="33"/>
  <c r="P894" i="33"/>
  <c r="N833" i="33"/>
  <c r="O833" i="33" s="1"/>
  <c r="Q939" i="33"/>
  <c r="Q977" i="33"/>
  <c r="Q555" i="33"/>
  <c r="N613" i="33"/>
  <c r="O613" i="33" s="1"/>
  <c r="Q873" i="33"/>
  <c r="N794" i="33"/>
  <c r="O794" i="33" s="1"/>
  <c r="P630" i="33"/>
  <c r="P776" i="33"/>
  <c r="P1021" i="33"/>
  <c r="P902" i="33"/>
  <c r="Q814" i="33"/>
  <c r="P758" i="33"/>
  <c r="Q932" i="33"/>
  <c r="Q1010" i="33"/>
  <c r="Q922" i="33"/>
  <c r="Q904" i="33"/>
  <c r="P885" i="33"/>
  <c r="R885" i="33" s="1"/>
  <c r="P593" i="33"/>
  <c r="N855" i="33"/>
  <c r="O855" i="33" s="1"/>
  <c r="P712" i="33"/>
  <c r="P775" i="33"/>
  <c r="Q778" i="33"/>
  <c r="P703" i="33"/>
  <c r="N864" i="33"/>
  <c r="O864" i="33" s="1"/>
  <c r="P949" i="33"/>
  <c r="N1060" i="33"/>
  <c r="O1060" i="33" s="1"/>
  <c r="P1044" i="33"/>
  <c r="Q697" i="33"/>
  <c r="N896" i="33"/>
  <c r="O896" i="33" s="1"/>
  <c r="N962" i="33"/>
  <c r="O962" i="33" s="1"/>
  <c r="Q837" i="33"/>
  <c r="P889" i="33"/>
  <c r="Q598" i="33"/>
  <c r="P793" i="33"/>
  <c r="Q680" i="33"/>
  <c r="N699" i="33"/>
  <c r="O699" i="33" s="1"/>
  <c r="N1011" i="33"/>
  <c r="O1011" i="33" s="1"/>
  <c r="P953" i="33"/>
  <c r="P822" i="33"/>
  <c r="N842" i="33"/>
  <c r="O842" i="33" s="1"/>
  <c r="Q836" i="33"/>
  <c r="Q551" i="33"/>
  <c r="Q557" i="33"/>
  <c r="N905" i="33"/>
  <c r="O905" i="33" s="1"/>
  <c r="P1006" i="33"/>
  <c r="P947" i="33"/>
  <c r="N762" i="33"/>
  <c r="O762" i="33" s="1"/>
  <c r="P731" i="33"/>
  <c r="N737" i="33"/>
  <c r="O737" i="33" s="1"/>
  <c r="P862" i="33"/>
  <c r="Q878" i="33"/>
  <c r="P910" i="33"/>
  <c r="R910" i="33" s="1"/>
  <c r="P689" i="33"/>
  <c r="Q682" i="33"/>
  <c r="N554" i="33"/>
  <c r="O554" i="33" s="1"/>
  <c r="Q822" i="33"/>
  <c r="N933" i="33"/>
  <c r="O933" i="33" s="1"/>
  <c r="Q933" i="33"/>
  <c r="Q685" i="33"/>
  <c r="N638" i="33"/>
  <c r="O638" i="33" s="1"/>
  <c r="N598" i="33"/>
  <c r="O598" i="33" s="1"/>
  <c r="P668" i="33"/>
  <c r="N874" i="33"/>
  <c r="O874" i="33" s="1"/>
  <c r="Q703" i="33"/>
  <c r="Q870" i="33"/>
  <c r="P759" i="33"/>
  <c r="R759" i="33" s="1"/>
  <c r="S759" i="33" s="1"/>
  <c r="T759" i="33" s="1"/>
  <c r="P1008" i="33"/>
  <c r="P790" i="33"/>
  <c r="Q626" i="33"/>
  <c r="P747" i="33"/>
  <c r="R747" i="33" s="1"/>
  <c r="N831" i="33"/>
  <c r="O831" i="33" s="1"/>
  <c r="N694" i="33"/>
  <c r="O694" i="33" s="1"/>
  <c r="Q823" i="33"/>
  <c r="Q615" i="33"/>
  <c r="N950" i="33"/>
  <c r="O950" i="33" s="1"/>
  <c r="N631" i="33"/>
  <c r="O631" i="33" s="1"/>
  <c r="N1028" i="33"/>
  <c r="O1028" i="33" s="1"/>
  <c r="Q791" i="33"/>
  <c r="P937" i="33"/>
  <c r="R937" i="33" s="1"/>
  <c r="N682" i="33"/>
  <c r="O682" i="33" s="1"/>
  <c r="Q1049" i="33"/>
  <c r="N968" i="33"/>
  <c r="O968" i="33" s="1"/>
  <c r="N822" i="33"/>
  <c r="O822" i="33" s="1"/>
  <c r="Q734" i="33"/>
  <c r="Q916" i="33"/>
  <c r="N729" i="33"/>
  <c r="O729" i="33" s="1"/>
  <c r="P948" i="33"/>
  <c r="Q940" i="33"/>
  <c r="Q552" i="33"/>
  <c r="N877" i="33"/>
  <c r="O877" i="33" s="1"/>
  <c r="Q592" i="33"/>
  <c r="P1004" i="33"/>
  <c r="P765" i="33"/>
  <c r="Q965" i="33"/>
  <c r="Q731" i="33"/>
  <c r="N575" i="33"/>
  <c r="O575" i="33" s="1"/>
  <c r="N757" i="33"/>
  <c r="O757" i="33" s="1"/>
  <c r="Q1047" i="33"/>
  <c r="P582" i="33"/>
  <c r="N566" i="33"/>
  <c r="O566" i="33" s="1"/>
  <c r="N969" i="33"/>
  <c r="O969" i="33" s="1"/>
  <c r="N816" i="33"/>
  <c r="O816" i="33" s="1"/>
  <c r="Q612" i="33"/>
  <c r="Q794" i="33"/>
  <c r="Q1039" i="33"/>
  <c r="Q666" i="33"/>
  <c r="P1022" i="33"/>
  <c r="Q668" i="33"/>
  <c r="Q1057" i="33"/>
  <c r="Q805" i="33"/>
  <c r="P957" i="33"/>
  <c r="R957" i="33" s="1"/>
  <c r="Q947" i="33"/>
  <c r="Q888" i="33"/>
  <c r="P681" i="33"/>
  <c r="N1031" i="33"/>
  <c r="O1031" i="33" s="1"/>
  <c r="N642" i="33"/>
  <c r="O642" i="33" s="1"/>
  <c r="P710" i="33"/>
  <c r="N690" i="33"/>
  <c r="O690" i="33" s="1"/>
  <c r="N912" i="33"/>
  <c r="O912" i="33" s="1"/>
  <c r="P1060" i="33"/>
  <c r="P958" i="33"/>
  <c r="P749" i="33"/>
  <c r="N559" i="33"/>
  <c r="O559" i="33" s="1"/>
  <c r="P652" i="33"/>
  <c r="R652" i="33" s="1"/>
  <c r="P732" i="33"/>
  <c r="P904" i="33"/>
  <c r="P701" i="33"/>
  <c r="P586" i="33"/>
  <c r="Q968" i="33"/>
  <c r="N885" i="33"/>
  <c r="O885" i="33" s="1"/>
  <c r="Q779" i="33"/>
  <c r="Q748" i="33"/>
  <c r="P559" i="33"/>
  <c r="P551" i="33"/>
  <c r="N1044" i="33"/>
  <c r="O1044" i="33" s="1"/>
  <c r="N1015" i="33"/>
  <c r="O1015" i="33" s="1"/>
  <c r="Q623" i="33"/>
  <c r="Q718" i="33"/>
  <c r="P616" i="33"/>
  <c r="N591" i="33"/>
  <c r="O591" i="33" s="1"/>
  <c r="N565" i="33"/>
  <c r="O565" i="33" s="1"/>
  <c r="P828" i="33"/>
  <c r="R828" i="33" s="1"/>
  <c r="P851" i="33"/>
  <c r="R851" i="33" s="1"/>
  <c r="P926" i="33"/>
  <c r="P678" i="33"/>
  <c r="Q1034" i="33"/>
  <c r="Q1038" i="33"/>
  <c r="Q777" i="33"/>
  <c r="Q696" i="33"/>
  <c r="N686" i="33"/>
  <c r="O686" i="33" s="1"/>
  <c r="Q857" i="33"/>
  <c r="Q935" i="33"/>
  <c r="P751" i="33"/>
  <c r="N564" i="33"/>
  <c r="O564" i="33" s="1"/>
  <c r="P824" i="33"/>
  <c r="N726" i="33"/>
  <c r="O726" i="33" s="1"/>
  <c r="N760" i="33"/>
  <c r="O760" i="33" s="1"/>
  <c r="Q879" i="33"/>
  <c r="N841" i="33"/>
  <c r="O841" i="33" s="1"/>
  <c r="N676" i="33"/>
  <c r="O676" i="33" s="1"/>
  <c r="P598" i="33"/>
  <c r="R598" i="33" s="1"/>
  <c r="P797" i="33"/>
  <c r="P694" i="33"/>
  <c r="Q948" i="33"/>
  <c r="P571" i="33"/>
  <c r="P733" i="33"/>
  <c r="P1058" i="33"/>
  <c r="R1058" i="33" s="1"/>
  <c r="N582" i="33"/>
  <c r="O582" i="33" s="1"/>
  <c r="Q629" i="33"/>
  <c r="P705" i="33"/>
  <c r="P721" i="33"/>
  <c r="R721" i="33" s="1"/>
  <c r="S721" i="33" s="1"/>
  <c r="U721" i="33" s="1"/>
  <c r="V721" i="33" s="1"/>
  <c r="P1029" i="33"/>
  <c r="P552" i="33"/>
  <c r="R552" i="33" s="1"/>
  <c r="P613" i="33"/>
  <c r="P655" i="33"/>
  <c r="P1056" i="33"/>
  <c r="P600" i="33"/>
  <c r="Q928" i="33"/>
  <c r="N904" i="33"/>
  <c r="O904" i="33" s="1"/>
  <c r="N769" i="33"/>
  <c r="O769" i="33" s="1"/>
  <c r="Q831" i="33"/>
  <c r="N957" i="33"/>
  <c r="O957" i="33" s="1"/>
  <c r="N836" i="33"/>
  <c r="O836" i="33" s="1"/>
  <c r="P898" i="33"/>
  <c r="N688" i="33"/>
  <c r="O688" i="33" s="1"/>
  <c r="Q918" i="33"/>
  <c r="N990" i="33"/>
  <c r="O990" i="33" s="1"/>
  <c r="N853" i="33"/>
  <c r="O853" i="33" s="1"/>
  <c r="P687" i="33"/>
  <c r="N857" i="33"/>
  <c r="O857" i="33" s="1"/>
  <c r="Q742" i="33"/>
  <c r="Q995" i="33"/>
  <c r="P677" i="33"/>
  <c r="R677" i="33" s="1"/>
  <c r="N677" i="33"/>
  <c r="O677" i="33" s="1"/>
  <c r="N827" i="33"/>
  <c r="O827" i="33" s="1"/>
  <c r="N949" i="33"/>
  <c r="O949" i="33" s="1"/>
  <c r="Q1008" i="33"/>
  <c r="Q756" i="33"/>
  <c r="P861" i="33"/>
  <c r="P935" i="33"/>
  <c r="R935" i="33" s="1"/>
  <c r="S935" i="33" s="1"/>
  <c r="U935" i="33" s="1"/>
  <c r="V935" i="33" s="1"/>
  <c r="N748" i="33"/>
  <c r="O748" i="33" s="1"/>
  <c r="Q726" i="33"/>
  <c r="P979" i="33"/>
  <c r="R979" i="33" s="1"/>
  <c r="S979" i="33" s="1"/>
  <c r="N603" i="33"/>
  <c r="O603" i="33" s="1"/>
  <c r="P658" i="33"/>
  <c r="P684" i="33"/>
  <c r="Q902" i="33"/>
  <c r="P752" i="33"/>
  <c r="R752" i="33" s="1"/>
  <c r="N830" i="33"/>
  <c r="O830" i="33" s="1"/>
  <c r="P970" i="33"/>
  <c r="Q963" i="33"/>
  <c r="Q585" i="33"/>
  <c r="N792" i="33"/>
  <c r="O792" i="33" s="1"/>
  <c r="N835" i="33"/>
  <c r="O835" i="33" s="1"/>
  <c r="Q874" i="33"/>
  <c r="P799" i="33"/>
  <c r="Q905" i="33"/>
  <c r="N772" i="33"/>
  <c r="O772" i="33" s="1"/>
  <c r="P839" i="33"/>
  <c r="Q811" i="33"/>
  <c r="Q722" i="33"/>
  <c r="N561" i="33"/>
  <c r="O561" i="33" s="1"/>
  <c r="N900" i="33"/>
  <c r="O900" i="33" s="1"/>
  <c r="Q758" i="33"/>
  <c r="N965" i="33"/>
  <c r="O965" i="33" s="1"/>
  <c r="P653" i="33"/>
  <c r="P792" i="33"/>
  <c r="N908" i="33"/>
  <c r="O908" i="33" s="1"/>
  <c r="N878" i="33"/>
  <c r="O878" i="33" s="1"/>
  <c r="N867" i="33"/>
  <c r="O867" i="33" s="1"/>
  <c r="N840" i="33"/>
  <c r="O840" i="33" s="1"/>
  <c r="P588" i="33"/>
  <c r="R588" i="33" s="1"/>
  <c r="N606" i="33"/>
  <c r="O606" i="33" s="1"/>
  <c r="Q727" i="33"/>
  <c r="Q1041" i="33"/>
  <c r="P906" i="33"/>
  <c r="P779" i="33"/>
  <c r="Q936" i="33"/>
  <c r="P683" i="33"/>
  <c r="Q624" i="33"/>
  <c r="P1030" i="33"/>
  <c r="R1030" i="33" s="1"/>
  <c r="S1030" i="33" s="1"/>
  <c r="Q638" i="33"/>
  <c r="P615" i="33"/>
  <c r="Q976" i="33"/>
  <c r="P863" i="33"/>
  <c r="R863" i="33" s="1"/>
  <c r="P728" i="33"/>
  <c r="R728" i="33" s="1"/>
  <c r="P860" i="33"/>
  <c r="R860" i="33" s="1"/>
  <c r="P602" i="33"/>
  <c r="R602" i="33" s="1"/>
  <c r="S602" i="33" s="1"/>
  <c r="T602" i="33" s="1"/>
  <c r="N995" i="33"/>
  <c r="O995" i="33" s="1"/>
  <c r="Q877" i="33"/>
  <c r="N739" i="33"/>
  <c r="O739" i="33" s="1"/>
  <c r="Q821" i="33"/>
  <c r="P592" i="33"/>
  <c r="P564" i="33"/>
  <c r="R564" i="33" s="1"/>
  <c r="Q1024" i="33"/>
  <c r="P975" i="33"/>
  <c r="R975" i="33" s="1"/>
  <c r="Q1022" i="33"/>
  <c r="Q797" i="33"/>
  <c r="N1056" i="33"/>
  <c r="O1056" i="33" s="1"/>
  <c r="Q806" i="33"/>
  <c r="Q710" i="33"/>
  <c r="Q956" i="33"/>
  <c r="N1029" i="33"/>
  <c r="O1029" i="33" s="1"/>
  <c r="Q582" i="33"/>
  <c r="Q609" i="33"/>
  <c r="N971" i="33"/>
  <c r="O971" i="33" s="1"/>
  <c r="P814" i="33"/>
  <c r="Q701" i="33"/>
  <c r="N629" i="33"/>
  <c r="O629" i="33" s="1"/>
  <c r="Q559" i="33"/>
  <c r="Q886" i="33"/>
  <c r="Q931" i="33"/>
  <c r="Q941" i="33"/>
  <c r="N668" i="33"/>
  <c r="O668" i="33" s="1"/>
  <c r="P1012" i="33"/>
  <c r="N1006" i="33"/>
  <c r="O1006" i="33" s="1"/>
  <c r="P1043" i="33"/>
  <c r="P956" i="33"/>
  <c r="P1010" i="33"/>
  <c r="P930" i="33"/>
  <c r="R930" i="33" s="1"/>
  <c r="N708" i="33"/>
  <c r="O708" i="33" s="1"/>
  <c r="N586" i="33"/>
  <c r="O586" i="33" s="1"/>
  <c r="Q732" i="33"/>
  <c r="Q574" i="33"/>
  <c r="Q997" i="33"/>
  <c r="N1048" i="33"/>
  <c r="O1048" i="33" s="1"/>
  <c r="N604" i="33"/>
  <c r="O604" i="33" s="1"/>
  <c r="Q575" i="33"/>
  <c r="N751" i="33"/>
  <c r="O751" i="33" s="1"/>
  <c r="P866" i="33"/>
  <c r="R866" i="33" s="1"/>
  <c r="P663" i="33"/>
  <c r="N975" i="33"/>
  <c r="O975" i="33" s="1"/>
  <c r="N646" i="33"/>
  <c r="O646" i="33" s="1"/>
  <c r="P723" i="33"/>
  <c r="N978" i="33"/>
  <c r="O978" i="33" s="1"/>
  <c r="P931" i="33"/>
  <c r="R931" i="33" s="1"/>
  <c r="P938" i="33"/>
  <c r="Q751" i="33"/>
  <c r="Q730" i="33"/>
  <c r="P830" i="33"/>
  <c r="Q981" i="33"/>
  <c r="Q587" i="33"/>
  <c r="Q858" i="33"/>
  <c r="Q676" i="33"/>
  <c r="N1054" i="33"/>
  <c r="O1054" i="33" s="1"/>
  <c r="Q903" i="33"/>
  <c r="Q1020" i="33"/>
  <c r="P810" i="33"/>
  <c r="R810" i="33" s="1"/>
  <c r="Q890" i="33"/>
  <c r="P629" i="33"/>
  <c r="N793" i="33"/>
  <c r="O793" i="33" s="1"/>
  <c r="N775" i="33"/>
  <c r="O775" i="33" s="1"/>
  <c r="P767" i="33"/>
  <c r="P876" i="33"/>
  <c r="N670" i="33"/>
  <c r="O670" i="33" s="1"/>
  <c r="Q973" i="33"/>
  <c r="P727" i="33"/>
  <c r="P927" i="33"/>
  <c r="P831" i="33"/>
  <c r="Q807" i="33"/>
  <c r="N806" i="33"/>
  <c r="O806" i="33" s="1"/>
  <c r="Q637" i="33"/>
  <c r="P856" i="33"/>
  <c r="Q772" i="33"/>
  <c r="P774" i="33"/>
  <c r="R774" i="33" s="1"/>
  <c r="Q830" i="33"/>
  <c r="N712" i="33"/>
  <c r="O712" i="33" s="1"/>
  <c r="N738" i="33"/>
  <c r="O738" i="33" s="1"/>
  <c r="P951" i="33"/>
  <c r="R951" i="33" s="1"/>
  <c r="S951" i="33" s="1"/>
  <c r="Q711" i="33"/>
  <c r="P967" i="33"/>
  <c r="Q739" i="33"/>
  <c r="Q793" i="33"/>
  <c r="P973" i="33"/>
  <c r="Q681" i="33"/>
  <c r="N615" i="33"/>
  <c r="O615" i="33" s="1"/>
  <c r="Q906" i="33"/>
  <c r="N781" i="33"/>
  <c r="O781" i="33" s="1"/>
  <c r="N590" i="33"/>
  <c r="O590" i="33" s="1"/>
  <c r="N911" i="33"/>
  <c r="O911" i="33" s="1"/>
  <c r="N901" i="33"/>
  <c r="O901" i="33" s="1"/>
  <c r="N640" i="33"/>
  <c r="O640" i="33" s="1"/>
  <c r="N742" i="33"/>
  <c r="O742" i="33" s="1"/>
  <c r="P787" i="33"/>
  <c r="Q923" i="33"/>
  <c r="Q755" i="33"/>
  <c r="N1057" i="33"/>
  <c r="O1057" i="33" s="1"/>
  <c r="N1019" i="33"/>
  <c r="O1019" i="33" s="1"/>
  <c r="Q909" i="33"/>
  <c r="N928" i="33"/>
  <c r="O928" i="33" s="1"/>
  <c r="Q834" i="33"/>
  <c r="Q589" i="33"/>
  <c r="N659" i="33"/>
  <c r="O659" i="33" s="1"/>
  <c r="P976" i="33"/>
  <c r="P995" i="33"/>
  <c r="Q955" i="33"/>
  <c r="N939" i="33"/>
  <c r="O939" i="33" s="1"/>
  <c r="Q991" i="33"/>
  <c r="P750" i="33"/>
  <c r="N954" i="33"/>
  <c r="O954" i="33" s="1"/>
  <c r="N765" i="33"/>
  <c r="O765" i="33" s="1"/>
  <c r="P805" i="33"/>
  <c r="R805" i="33" s="1"/>
  <c r="S805" i="33" s="1"/>
  <c r="U805" i="33" s="1"/>
  <c r="V805" i="33" s="1"/>
  <c r="P610" i="33"/>
  <c r="N778" i="33"/>
  <c r="O778" i="33" s="1"/>
  <c r="P911" i="33"/>
  <c r="P871" i="33"/>
  <c r="N654" i="33"/>
  <c r="O654" i="33" s="1"/>
  <c r="Q974" i="33"/>
  <c r="Q869" i="33"/>
  <c r="P907" i="33"/>
  <c r="R907" i="33" s="1"/>
  <c r="N669" i="33"/>
  <c r="O669" i="33" s="1"/>
  <c r="Q787" i="33"/>
  <c r="P756" i="33"/>
  <c r="P796" i="33"/>
  <c r="N648" i="33"/>
  <c r="O648" i="33" s="1"/>
  <c r="N890" i="33"/>
  <c r="O890" i="33" s="1"/>
  <c r="Q741" i="33"/>
  <c r="Q1016" i="33"/>
  <c r="N553" i="33"/>
  <c r="O553" i="33" s="1"/>
  <c r="P873" i="33"/>
  <c r="Q958" i="33"/>
  <c r="Q651" i="33"/>
  <c r="Q894" i="33"/>
  <c r="Q964" i="33"/>
  <c r="P942" i="33"/>
  <c r="R942" i="33" s="1"/>
  <c r="S942" i="33" s="1"/>
  <c r="Q591" i="33"/>
  <c r="P603" i="33"/>
  <c r="N817" i="33"/>
  <c r="O817" i="33" s="1"/>
  <c r="P621" i="33"/>
  <c r="P857" i="33"/>
  <c r="P984" i="33"/>
  <c r="R984" i="33" s="1"/>
  <c r="Q838" i="33"/>
  <c r="N790" i="33"/>
  <c r="O790" i="33" s="1"/>
  <c r="P645" i="33"/>
  <c r="N782" i="33"/>
  <c r="O782" i="33" s="1"/>
  <c r="Q960" i="33"/>
  <c r="N608" i="33"/>
  <c r="O608" i="33" s="1"/>
  <c r="Q908" i="33"/>
  <c r="P903" i="33"/>
  <c r="Q553" i="33"/>
  <c r="N828" i="33"/>
  <c r="O828" i="33" s="1"/>
  <c r="N883" i="33"/>
  <c r="O883" i="33" s="1"/>
  <c r="P921" i="33"/>
  <c r="R921" i="33" s="1"/>
  <c r="S921" i="33" s="1"/>
  <c r="T921" i="33" s="1"/>
  <c r="Q926" i="33"/>
  <c r="P575" i="33"/>
  <c r="N649" i="33"/>
  <c r="O649" i="33" s="1"/>
  <c r="Q593" i="33"/>
  <c r="P702" i="33"/>
  <c r="Q590" i="33"/>
  <c r="Q657" i="33"/>
  <c r="P741" i="33"/>
  <c r="N943" i="33"/>
  <c r="O943" i="33" s="1"/>
  <c r="P685" i="33"/>
  <c r="N819" i="33"/>
  <c r="O819" i="33" s="1"/>
  <c r="P946" i="33"/>
  <c r="P808" i="33"/>
  <c r="P1038" i="33"/>
  <c r="N886" i="33"/>
  <c r="O886" i="33" s="1"/>
  <c r="Q927" i="33"/>
  <c r="N705" i="33"/>
  <c r="O705" i="33" s="1"/>
  <c r="Q601" i="33"/>
  <c r="Q1009" i="33"/>
  <c r="P1020" i="33"/>
  <c r="P619" i="33"/>
  <c r="R619" i="33" s="1"/>
  <c r="N622" i="33"/>
  <c r="O622" i="33" s="1"/>
  <c r="N958" i="33"/>
  <c r="O958" i="33" s="1"/>
  <c r="P748" i="33"/>
  <c r="N689" i="33"/>
  <c r="O689" i="33" s="1"/>
  <c r="P783" i="33"/>
  <c r="P781" i="33"/>
  <c r="R781" i="33" s="1"/>
  <c r="Q862" i="33"/>
  <c r="Q852" i="33"/>
  <c r="Q880" i="33"/>
  <c r="N574" i="33"/>
  <c r="O574" i="33" s="1"/>
  <c r="Q647" i="33"/>
  <c r="P570" i="33"/>
  <c r="N1008" i="33"/>
  <c r="O1008" i="33" s="1"/>
  <c r="Q841" i="33"/>
  <c r="Q1012" i="33"/>
  <c r="N650" i="33"/>
  <c r="O650" i="33" s="1"/>
  <c r="N861" i="33"/>
  <c r="O861" i="33" s="1"/>
  <c r="P816" i="33"/>
  <c r="R816" i="33" s="1"/>
  <c r="Q707" i="33"/>
  <c r="N873" i="33"/>
  <c r="O873" i="33" s="1"/>
  <c r="Q570" i="33"/>
  <c r="N932" i="33"/>
  <c r="O932" i="33" s="1"/>
  <c r="Q1035" i="33"/>
  <c r="P656" i="33"/>
  <c r="N637" i="33"/>
  <c r="O637" i="33" s="1"/>
  <c r="Q817" i="33"/>
  <c r="P1002" i="33"/>
  <c r="P1031" i="33"/>
  <c r="Q690" i="33"/>
  <c r="P785" i="33"/>
  <c r="R785" i="33" s="1"/>
  <c r="Q653" i="33"/>
  <c r="Q895" i="33"/>
  <c r="Q954" i="33"/>
  <c r="P965" i="33"/>
  <c r="Q856" i="33"/>
  <c r="Q970" i="33"/>
  <c r="N750" i="33"/>
  <c r="O750" i="33" s="1"/>
  <c r="Q833" i="33"/>
  <c r="N862" i="33"/>
  <c r="O862" i="33" s="1"/>
  <c r="P858" i="33"/>
  <c r="N783" i="33"/>
  <c r="O783" i="33" s="1"/>
  <c r="P972" i="33"/>
  <c r="Q912" i="33"/>
  <c r="Q897" i="33"/>
  <c r="P711" i="33"/>
  <c r="Q603" i="33"/>
  <c r="P954" i="33"/>
  <c r="P849" i="33"/>
  <c r="N1046" i="33"/>
  <c r="O1046" i="33" s="1"/>
  <c r="Q829" i="33"/>
  <c r="P832" i="33"/>
  <c r="R832" i="33" s="1"/>
  <c r="N894" i="33"/>
  <c r="O894" i="33" s="1"/>
  <c r="P719" i="33"/>
  <c r="R719" i="33" s="1"/>
  <c r="S719" i="33" s="1"/>
  <c r="T719" i="33" s="1"/>
  <c r="Q813" i="33"/>
  <c r="Q853" i="33"/>
  <c r="Q698" i="33"/>
  <c r="N569" i="33"/>
  <c r="O569" i="33" s="1"/>
  <c r="N776" i="33"/>
  <c r="O776" i="33" s="1"/>
  <c r="P682" i="33"/>
  <c r="N685" i="33"/>
  <c r="O685" i="33" s="1"/>
  <c r="Q917" i="33"/>
  <c r="N976" i="33"/>
  <c r="O976" i="33" s="1"/>
  <c r="P627" i="33"/>
  <c r="R627" i="33" s="1"/>
  <c r="N987" i="33"/>
  <c r="O987" i="33" s="1"/>
  <c r="N610" i="33"/>
  <c r="O610" i="33" s="1"/>
  <c r="P763" i="33"/>
  <c r="R763" i="33" s="1"/>
  <c r="N732" i="33"/>
  <c r="O732" i="33" s="1"/>
  <c r="P886" i="33"/>
  <c r="Q558" i="33"/>
  <c r="Q1044" i="33"/>
  <c r="N887" i="33"/>
  <c r="O887" i="33" s="1"/>
  <c r="P1017" i="33"/>
  <c r="R1017" i="33" s="1"/>
  <c r="S1017" i="33" s="1"/>
  <c r="T1017" i="33" s="1"/>
  <c r="P777" i="33"/>
  <c r="N771" i="33"/>
  <c r="O771" i="33" s="1"/>
  <c r="N848" i="33"/>
  <c r="O848" i="33" s="1"/>
  <c r="N707" i="33"/>
  <c r="O707" i="33" s="1"/>
  <c r="P901" i="33"/>
  <c r="R901" i="33" s="1"/>
  <c r="Q1002" i="33"/>
  <c r="P789" i="33"/>
  <c r="N666" i="33"/>
  <c r="O666" i="33" s="1"/>
  <c r="N570" i="33"/>
  <c r="O570" i="33" s="1"/>
  <c r="N813" i="33"/>
  <c r="O813" i="33" s="1"/>
  <c r="P679" i="33"/>
  <c r="R679" i="33" s="1"/>
  <c r="S679" i="33" s="1"/>
  <c r="T679" i="33" s="1"/>
  <c r="N779" i="33"/>
  <c r="O779" i="33" s="1"/>
  <c r="N600" i="33"/>
  <c r="O600" i="33" s="1"/>
  <c r="P877" i="33"/>
  <c r="P969" i="33"/>
  <c r="R969" i="33" s="1"/>
  <c r="P943" i="33"/>
  <c r="R943" i="33" s="1"/>
  <c r="N655" i="33"/>
  <c r="O655" i="33" s="1"/>
  <c r="N1041" i="33"/>
  <c r="O1041" i="33" s="1"/>
  <c r="N966" i="33"/>
  <c r="O966" i="33" s="1"/>
  <c r="Q642" i="33"/>
  <c r="P690" i="33"/>
  <c r="N930" i="33"/>
  <c r="O930" i="33" s="1"/>
  <c r="N597" i="33"/>
  <c r="O597" i="33" s="1"/>
  <c r="Q1025" i="33"/>
  <c r="N596" i="33"/>
  <c r="O596" i="33" s="1"/>
  <c r="N893" i="33"/>
  <c r="O893" i="33" s="1"/>
  <c r="Q825" i="33"/>
  <c r="P313" i="33"/>
  <c r="P225" i="33"/>
  <c r="Q470" i="33"/>
  <c r="P285" i="33"/>
  <c r="P156" i="33"/>
  <c r="P340" i="33"/>
  <c r="Q363" i="33"/>
  <c r="N274" i="33"/>
  <c r="O274" i="33" s="1"/>
  <c r="P309" i="33"/>
  <c r="Q362" i="33"/>
  <c r="P151" i="33"/>
  <c r="P308" i="33"/>
  <c r="Q155" i="33"/>
  <c r="P60" i="33"/>
  <c r="N450" i="33"/>
  <c r="O450" i="33" s="1"/>
  <c r="P383" i="33"/>
  <c r="Q236" i="33"/>
  <c r="Q370" i="33"/>
  <c r="N202" i="33"/>
  <c r="O202" i="33" s="1"/>
  <c r="P158" i="33"/>
  <c r="N424" i="33"/>
  <c r="O424" i="33" s="1"/>
  <c r="P283" i="33"/>
  <c r="N204" i="33"/>
  <c r="O204" i="33" s="1"/>
  <c r="P364" i="33"/>
  <c r="Q351" i="33"/>
  <c r="P374" i="33"/>
  <c r="Q248" i="33"/>
  <c r="P488" i="33"/>
  <c r="P390" i="33"/>
  <c r="P366" i="33"/>
  <c r="N240" i="33"/>
  <c r="O240" i="33" s="1"/>
  <c r="Q504" i="33"/>
  <c r="P122" i="33"/>
  <c r="N172" i="33"/>
  <c r="O172" i="33" s="1"/>
  <c r="P171" i="33"/>
  <c r="N461" i="33"/>
  <c r="O461" i="33" s="1"/>
  <c r="N478" i="33"/>
  <c r="O478" i="33" s="1"/>
  <c r="Q506" i="33"/>
  <c r="P379" i="33"/>
  <c r="P339" i="33"/>
  <c r="P352" i="33"/>
  <c r="N438" i="33"/>
  <c r="O438" i="33" s="1"/>
  <c r="P479" i="33"/>
  <c r="N83" i="33"/>
  <c r="O83" i="33" s="1"/>
  <c r="P495" i="33"/>
  <c r="N489" i="33"/>
  <c r="O489" i="33" s="1"/>
  <c r="P131" i="33"/>
  <c r="Q34" i="33"/>
  <c r="Q402" i="33"/>
  <c r="N136" i="33"/>
  <c r="O136" i="33" s="1"/>
  <c r="P524" i="33"/>
  <c r="Q266" i="33"/>
  <c r="N243" i="33"/>
  <c r="O243" i="33" s="1"/>
  <c r="P347" i="33"/>
  <c r="N471" i="33"/>
  <c r="O471" i="33" s="1"/>
  <c r="P386" i="33"/>
  <c r="P274" i="33"/>
  <c r="P430" i="33"/>
  <c r="Q511" i="33"/>
  <c r="P462" i="33"/>
  <c r="Q284" i="33"/>
  <c r="Q414" i="33"/>
  <c r="N250" i="33"/>
  <c r="O250" i="33" s="1"/>
  <c r="Q130" i="33"/>
  <c r="P42" i="33"/>
  <c r="N131" i="33"/>
  <c r="O131" i="33" s="1"/>
  <c r="P399" i="33"/>
  <c r="N217" i="33"/>
  <c r="O217" i="33" s="1"/>
  <c r="N409" i="33"/>
  <c r="O409" i="33" s="1"/>
  <c r="N458" i="33"/>
  <c r="O458" i="33" s="1"/>
  <c r="N154" i="33"/>
  <c r="O154" i="33" s="1"/>
  <c r="Q391" i="33"/>
  <c r="N263" i="33"/>
  <c r="O263" i="33" s="1"/>
  <c r="Q92" i="33"/>
  <c r="Q509" i="33"/>
  <c r="N71" i="33"/>
  <c r="O71" i="33" s="1"/>
  <c r="N285" i="33"/>
  <c r="O285" i="33" s="1"/>
  <c r="P209" i="33"/>
  <c r="P521" i="33"/>
  <c r="N441" i="33"/>
  <c r="O441" i="33" s="1"/>
  <c r="N495" i="33"/>
  <c r="O495" i="33" s="1"/>
  <c r="P276" i="33"/>
  <c r="P411" i="33"/>
  <c r="P271" i="33"/>
  <c r="N142" i="33"/>
  <c r="O142" i="33" s="1"/>
  <c r="P138" i="33"/>
  <c r="P439" i="33"/>
  <c r="N216" i="33"/>
  <c r="O216" i="33" s="1"/>
  <c r="N205" i="33"/>
  <c r="O205" i="33" s="1"/>
  <c r="Q61" i="33"/>
  <c r="N67" i="33"/>
  <c r="O67" i="33" s="1"/>
  <c r="N335" i="33"/>
  <c r="O335" i="33" s="1"/>
  <c r="Q136" i="33"/>
  <c r="N457" i="33"/>
  <c r="O457" i="33" s="1"/>
  <c r="Q400" i="33"/>
  <c r="P44" i="33"/>
  <c r="Q361" i="33"/>
  <c r="N45" i="33"/>
  <c r="O45" i="33" s="1"/>
  <c r="P289" i="33"/>
  <c r="N228" i="33"/>
  <c r="O228" i="33" s="1"/>
  <c r="N348" i="33"/>
  <c r="O348" i="33" s="1"/>
  <c r="P217" i="33"/>
  <c r="Q434" i="33"/>
  <c r="N405" i="33"/>
  <c r="O405" i="33" s="1"/>
  <c r="N129" i="33"/>
  <c r="O129" i="33" s="1"/>
  <c r="N238" i="33"/>
  <c r="O238" i="33" s="1"/>
  <c r="N87" i="33"/>
  <c r="O87" i="33" s="1"/>
  <c r="N297" i="33"/>
  <c r="O297" i="33" s="1"/>
  <c r="P450" i="33"/>
  <c r="Q383" i="33"/>
  <c r="P236" i="33"/>
  <c r="N523" i="33"/>
  <c r="O523" i="33" s="1"/>
  <c r="P349" i="33"/>
  <c r="Q218" i="33"/>
  <c r="P78" i="33"/>
  <c r="N187" i="33"/>
  <c r="O187" i="33" s="1"/>
  <c r="P111" i="33"/>
  <c r="N329" i="33"/>
  <c r="O329" i="33" s="1"/>
  <c r="P403" i="33"/>
  <c r="P51" i="33"/>
  <c r="Q247" i="33"/>
  <c r="N383" i="33"/>
  <c r="O383" i="33" s="1"/>
  <c r="N22" i="33"/>
  <c r="O22" i="33" s="1"/>
  <c r="Q396" i="33"/>
  <c r="P259" i="33"/>
  <c r="P286" i="33"/>
  <c r="P69" i="33"/>
  <c r="Q430" i="33"/>
  <c r="N195" i="33"/>
  <c r="O195" i="33" s="1"/>
  <c r="Q503" i="33"/>
  <c r="P203" i="33"/>
  <c r="P449" i="33"/>
  <c r="P337" i="33"/>
  <c r="N505" i="33"/>
  <c r="O505" i="33" s="1"/>
  <c r="Q23" i="33"/>
  <c r="Q376" i="33"/>
  <c r="N163" i="33"/>
  <c r="O163" i="33" s="1"/>
  <c r="P265" i="33"/>
  <c r="N361" i="33"/>
  <c r="O361" i="33" s="1"/>
  <c r="Q49" i="33"/>
  <c r="Q217" i="33"/>
  <c r="N248" i="33"/>
  <c r="O248" i="33" s="1"/>
  <c r="Q309" i="33"/>
  <c r="Q76" i="33"/>
  <c r="Q211" i="33"/>
  <c r="P146" i="33"/>
  <c r="Q472" i="33"/>
  <c r="N426" i="33"/>
  <c r="O426" i="33" s="1"/>
  <c r="N56" i="33"/>
  <c r="O56" i="33" s="1"/>
  <c r="P515" i="33"/>
  <c r="P494" i="33"/>
  <c r="N300" i="33"/>
  <c r="O300" i="33" s="1"/>
  <c r="Q176" i="33"/>
  <c r="N434" i="33"/>
  <c r="O434" i="33" s="1"/>
  <c r="P320" i="33"/>
  <c r="P163" i="33"/>
  <c r="N308" i="33"/>
  <c r="O308" i="33" s="1"/>
  <c r="Q446" i="33"/>
  <c r="Q529" i="33"/>
  <c r="P484" i="33"/>
  <c r="B3" i="33"/>
  <c r="Q354" i="33"/>
  <c r="P269" i="33"/>
  <c r="P470" i="33"/>
  <c r="P28" i="33"/>
  <c r="N80" i="33"/>
  <c r="O80" i="33" s="1"/>
  <c r="Q409" i="33"/>
  <c r="P493" i="33"/>
  <c r="N419" i="33"/>
  <c r="O419" i="33" s="1"/>
  <c r="P427" i="33"/>
  <c r="Q497" i="33"/>
  <c r="Q496" i="33"/>
  <c r="P296" i="33"/>
  <c r="Q464" i="33"/>
  <c r="Q68" i="33"/>
  <c r="P471" i="33"/>
  <c r="Q433" i="33"/>
  <c r="Q150" i="33"/>
  <c r="Q346" i="33"/>
  <c r="N321" i="33"/>
  <c r="O321" i="33" s="1"/>
  <c r="N395" i="33"/>
  <c r="O395" i="33" s="1"/>
  <c r="P167" i="33"/>
  <c r="Q438" i="33"/>
  <c r="P290" i="33"/>
  <c r="Q281" i="33"/>
  <c r="Q22" i="33"/>
  <c r="Q405" i="33"/>
  <c r="N120" i="33"/>
  <c r="O120" i="33" s="1"/>
  <c r="P257" i="33"/>
  <c r="Q521" i="33"/>
  <c r="N443" i="33"/>
  <c r="O443" i="33" s="1"/>
  <c r="N273" i="33"/>
  <c r="O273" i="33" s="1"/>
  <c r="N499" i="33"/>
  <c r="O499" i="33" s="1"/>
  <c r="N477" i="33"/>
  <c r="O477" i="33" s="1"/>
  <c r="Q237" i="33"/>
  <c r="P348" i="33"/>
  <c r="N246" i="33"/>
  <c r="O246" i="33" s="1"/>
  <c r="Q140" i="33"/>
  <c r="N527" i="33"/>
  <c r="O527" i="33" s="1"/>
  <c r="N488" i="33"/>
  <c r="O488" i="33" s="1"/>
  <c r="Q310" i="33"/>
  <c r="Q283" i="33"/>
  <c r="N519" i="33"/>
  <c r="O519" i="33" s="1"/>
  <c r="Q215" i="33"/>
  <c r="P287" i="33"/>
  <c r="P267" i="33"/>
  <c r="P384" i="33"/>
  <c r="N156" i="33"/>
  <c r="O156" i="33" s="1"/>
  <c r="Q18" i="33"/>
  <c r="N180" i="33"/>
  <c r="O180" i="33" s="1"/>
  <c r="Q274" i="33"/>
  <c r="P400" i="33"/>
  <c r="N375" i="33"/>
  <c r="O375" i="33" s="1"/>
  <c r="N76" i="33"/>
  <c r="O76" i="33" s="1"/>
  <c r="N453" i="33"/>
  <c r="O453" i="33" s="1"/>
  <c r="P80" i="33"/>
  <c r="Q379" i="33"/>
  <c r="Q427" i="33"/>
  <c r="Q195" i="33"/>
  <c r="Q477" i="33"/>
  <c r="N145" i="33"/>
  <c r="O145" i="33" s="1"/>
  <c r="N92" i="33"/>
  <c r="O92" i="33" s="1"/>
  <c r="Q185" i="33"/>
  <c r="N91" i="33"/>
  <c r="O91" i="33" s="1"/>
  <c r="P250" i="33"/>
  <c r="Q489" i="33"/>
  <c r="Q207" i="33"/>
  <c r="N343" i="33"/>
  <c r="O343" i="33" s="1"/>
  <c r="Q71" i="33"/>
  <c r="P182" i="33"/>
  <c r="P485" i="33"/>
  <c r="Q45" i="33"/>
  <c r="Q358" i="33"/>
  <c r="P393" i="33"/>
  <c r="P244" i="33"/>
  <c r="Q318" i="33"/>
  <c r="Q482" i="33"/>
  <c r="Q156" i="33"/>
  <c r="P376" i="33"/>
  <c r="P179" i="33"/>
  <c r="Q331" i="33"/>
  <c r="Q88" i="33"/>
  <c r="P200" i="33"/>
  <c r="N108" i="33"/>
  <c r="O108" i="33" s="1"/>
  <c r="N408" i="33"/>
  <c r="O408" i="33" s="1"/>
  <c r="N470" i="33"/>
  <c r="O470" i="33" s="1"/>
  <c r="N269" i="33"/>
  <c r="O269" i="33" s="1"/>
  <c r="P223" i="33"/>
  <c r="P24" i="33"/>
  <c r="N398" i="33"/>
  <c r="O398" i="33" s="1"/>
  <c r="P505" i="33"/>
  <c r="P23" i="33"/>
  <c r="Q197" i="33"/>
  <c r="N526" i="33"/>
  <c r="O526" i="33" s="1"/>
  <c r="Q485" i="33"/>
  <c r="N97" i="33"/>
  <c r="O97" i="33" s="1"/>
  <c r="P37" i="33"/>
  <c r="N423" i="33"/>
  <c r="O423" i="33" s="1"/>
  <c r="Q208" i="33"/>
  <c r="P341" i="33"/>
  <c r="Q364" i="33"/>
  <c r="P231" i="33"/>
  <c r="P71" i="33"/>
  <c r="N39" i="33"/>
  <c r="O39" i="33" s="1"/>
  <c r="Q118" i="33"/>
  <c r="Q89" i="33"/>
  <c r="Q522" i="33"/>
  <c r="N452" i="33"/>
  <c r="O452" i="33" s="1"/>
  <c r="Q106" i="33"/>
  <c r="Q65" i="33"/>
  <c r="N140" i="33"/>
  <c r="O140" i="33" s="1"/>
  <c r="Q128" i="33"/>
  <c r="P512" i="33"/>
  <c r="Q238" i="33"/>
  <c r="Q352" i="33"/>
  <c r="Q416" i="33"/>
  <c r="N186" i="33"/>
  <c r="O186" i="33" s="1"/>
  <c r="N252" i="33"/>
  <c r="O252" i="33" s="1"/>
  <c r="Q448" i="33"/>
  <c r="N299" i="33"/>
  <c r="O299" i="33" s="1"/>
  <c r="N181" i="33"/>
  <c r="O181" i="33" s="1"/>
  <c r="N174" i="33"/>
  <c r="O174" i="33" s="1"/>
  <c r="N170" i="33"/>
  <c r="O170" i="33" s="1"/>
  <c r="N528" i="33"/>
  <c r="O528" i="33" s="1"/>
  <c r="N35" i="33"/>
  <c r="O35" i="33" s="1"/>
  <c r="P105" i="33"/>
  <c r="Q189" i="33"/>
  <c r="P474" i="33"/>
  <c r="N312" i="33"/>
  <c r="O312" i="33" s="1"/>
  <c r="N211" i="33"/>
  <c r="O211" i="33" s="1"/>
  <c r="Q127" i="33"/>
  <c r="P181" i="33"/>
  <c r="Q234" i="33"/>
  <c r="N201" i="33"/>
  <c r="O201" i="33" s="1"/>
  <c r="N379" i="33"/>
  <c r="O379" i="33" s="1"/>
  <c r="P249" i="33"/>
  <c r="N58" i="33"/>
  <c r="O58" i="33" s="1"/>
  <c r="Q253" i="33"/>
  <c r="Q258" i="33"/>
  <c r="N341" i="33"/>
  <c r="O341" i="33" s="1"/>
  <c r="P183" i="33"/>
  <c r="N313" i="33"/>
  <c r="O313" i="33" s="1"/>
  <c r="Q165" i="33"/>
  <c r="P165" i="33"/>
  <c r="P343" i="33"/>
  <c r="Q492" i="33"/>
  <c r="P333" i="33"/>
  <c r="P180" i="33"/>
  <c r="N376" i="33"/>
  <c r="O376" i="33" s="1"/>
  <c r="Q213" i="33"/>
  <c r="N266" i="33"/>
  <c r="O266" i="33" s="1"/>
  <c r="N99" i="33"/>
  <c r="O99" i="33" s="1"/>
  <c r="Q347" i="33"/>
  <c r="Q275" i="33"/>
  <c r="Q483" i="33"/>
  <c r="Q444" i="33"/>
  <c r="P392" i="33"/>
  <c r="N516" i="33"/>
  <c r="O516" i="33" s="1"/>
  <c r="N374" i="33"/>
  <c r="O374" i="33" s="1"/>
  <c r="P248" i="33"/>
  <c r="Q381" i="33"/>
  <c r="Q159" i="33"/>
  <c r="N69" i="33"/>
  <c r="O69" i="33" s="1"/>
  <c r="Q341" i="33"/>
  <c r="N196" i="33"/>
  <c r="O196" i="33" s="1"/>
  <c r="N20" i="33"/>
  <c r="O20" i="33" s="1"/>
  <c r="Q170" i="33"/>
  <c r="Q48" i="33"/>
  <c r="P321" i="33"/>
  <c r="N89" i="33"/>
  <c r="O89" i="33" s="1"/>
  <c r="P149" i="33"/>
  <c r="P325" i="33"/>
  <c r="Q55" i="33"/>
  <c r="P437" i="33"/>
  <c r="P307" i="33"/>
  <c r="P489" i="33"/>
  <c r="N420" i="33"/>
  <c r="O420" i="33" s="1"/>
  <c r="Q231" i="33"/>
  <c r="Q374" i="33"/>
  <c r="Q32" i="33"/>
  <c r="Q212" i="33"/>
  <c r="N521" i="33"/>
  <c r="O521" i="33" s="1"/>
  <c r="Q260" i="33"/>
  <c r="N301" i="33"/>
  <c r="O301" i="33" s="1"/>
  <c r="P101" i="33"/>
  <c r="Q178" i="33"/>
  <c r="N176" i="33"/>
  <c r="O176" i="33" s="1"/>
  <c r="Q473" i="33"/>
  <c r="P478" i="33"/>
  <c r="Q386" i="33"/>
  <c r="N320" i="33"/>
  <c r="O320" i="33" s="1"/>
  <c r="N469" i="33"/>
  <c r="O469" i="33" s="1"/>
  <c r="Q82" i="33"/>
  <c r="P359" i="33"/>
  <c r="Q29" i="33"/>
  <c r="N168" i="33"/>
  <c r="O168" i="33" s="1"/>
  <c r="Q21" i="33"/>
  <c r="P118" i="33"/>
  <c r="P260" i="33"/>
  <c r="Q101" i="33"/>
  <c r="Q172" i="33"/>
  <c r="N304" i="33"/>
  <c r="O304" i="33" s="1"/>
  <c r="Q317" i="33"/>
  <c r="Q520" i="33"/>
  <c r="P355" i="33"/>
  <c r="N177" i="33"/>
  <c r="O177" i="33" s="1"/>
  <c r="Q420" i="33"/>
  <c r="P522" i="33"/>
  <c r="Q392" i="33"/>
  <c r="N302" i="33"/>
  <c r="O302" i="33" s="1"/>
  <c r="P451" i="33"/>
  <c r="Q70" i="33"/>
  <c r="Q500" i="33"/>
  <c r="Q228" i="33"/>
  <c r="P472" i="33"/>
  <c r="R472" i="33" s="1"/>
  <c r="Q223" i="33"/>
  <c r="Q205" i="33"/>
  <c r="P234" i="33"/>
  <c r="P380" i="33"/>
  <c r="Q378" i="33"/>
  <c r="Q265" i="33"/>
  <c r="N124" i="33"/>
  <c r="O124" i="33" s="1"/>
  <c r="Q110" i="33"/>
  <c r="Q196" i="33"/>
  <c r="N95" i="33"/>
  <c r="O95" i="33" s="1"/>
  <c r="N32" i="33"/>
  <c r="O32" i="33" s="1"/>
  <c r="P85" i="33"/>
  <c r="P413" i="33"/>
  <c r="P420" i="33"/>
  <c r="P150" i="33"/>
  <c r="P93" i="33"/>
  <c r="Q152" i="33"/>
  <c r="P157" i="33"/>
  <c r="P334" i="33"/>
  <c r="P373" i="33"/>
  <c r="P465" i="33"/>
  <c r="P300" i="33"/>
  <c r="N41" i="33"/>
  <c r="O41" i="33" s="1"/>
  <c r="P455" i="33"/>
  <c r="Q186" i="33"/>
  <c r="Q404" i="33"/>
  <c r="Q369" i="33"/>
  <c r="P148" i="33"/>
  <c r="N435" i="33"/>
  <c r="O435" i="33" s="1"/>
  <c r="Q233" i="33"/>
  <c r="N229" i="33"/>
  <c r="O229" i="33" s="1"/>
  <c r="N290" i="33"/>
  <c r="O290" i="33" s="1"/>
  <c r="Q120" i="33"/>
  <c r="Q243" i="33"/>
  <c r="N319" i="33"/>
  <c r="O319" i="33" s="1"/>
  <c r="N38" i="33"/>
  <c r="O38" i="33" s="1"/>
  <c r="Q33" i="33"/>
  <c r="N318" i="33"/>
  <c r="O318" i="33" s="1"/>
  <c r="Q343" i="33"/>
  <c r="P99" i="33"/>
  <c r="N183" i="33"/>
  <c r="O183" i="33" s="1"/>
  <c r="P89" i="33"/>
  <c r="P511" i="33"/>
  <c r="Q418" i="33"/>
  <c r="Q169" i="33"/>
  <c r="N433" i="33"/>
  <c r="O433" i="33" s="1"/>
  <c r="N70" i="33"/>
  <c r="O70" i="33" s="1"/>
  <c r="P396" i="33"/>
  <c r="N256" i="33"/>
  <c r="O256" i="33" s="1"/>
  <c r="N503" i="33"/>
  <c r="O503" i="33" s="1"/>
  <c r="N357" i="33"/>
  <c r="O357" i="33" s="1"/>
  <c r="Q121" i="33"/>
  <c r="P90" i="33"/>
  <c r="N193" i="33"/>
  <c r="O193" i="33" s="1"/>
  <c r="P351" i="33"/>
  <c r="P419" i="33"/>
  <c r="Q479" i="33"/>
  <c r="P275" i="33"/>
  <c r="P357" i="33"/>
  <c r="N137" i="33"/>
  <c r="O137" i="33" s="1"/>
  <c r="P254" i="33"/>
  <c r="Q19" i="33"/>
  <c r="P328" i="33"/>
  <c r="P132" i="33"/>
  <c r="N394" i="33"/>
  <c r="O394" i="33" s="1"/>
  <c r="P112" i="33"/>
  <c r="Q527" i="33"/>
  <c r="P213" i="33"/>
  <c r="Q31" i="33"/>
  <c r="P211" i="33"/>
  <c r="R211" i="33" s="1"/>
  <c r="Q26" i="33"/>
  <c r="N472" i="33"/>
  <c r="O472" i="33" s="1"/>
  <c r="N169" i="33"/>
  <c r="O169" i="33" s="1"/>
  <c r="N52" i="33"/>
  <c r="O52" i="33" s="1"/>
  <c r="P311" i="33"/>
  <c r="Q83" i="33"/>
  <c r="Q466" i="33"/>
  <c r="P147" i="33"/>
  <c r="N151" i="33"/>
  <c r="O151" i="33" s="1"/>
  <c r="N200" i="33"/>
  <c r="O200" i="33" s="1"/>
  <c r="P68" i="33"/>
  <c r="P314" i="33"/>
  <c r="Q324" i="33"/>
  <c r="N289" i="33"/>
  <c r="O289" i="33" s="1"/>
  <c r="Q411" i="33"/>
  <c r="N138" i="33"/>
  <c r="O138" i="33" s="1"/>
  <c r="P127" i="33"/>
  <c r="N75" i="33"/>
  <c r="O75" i="33" s="1"/>
  <c r="Q435" i="33"/>
  <c r="N524" i="33"/>
  <c r="O524" i="33" s="1"/>
  <c r="Q375" i="33"/>
  <c r="N49" i="33"/>
  <c r="O49" i="33" s="1"/>
  <c r="P358" i="33"/>
  <c r="P460" i="33"/>
  <c r="P280" i="33"/>
  <c r="Q349" i="33"/>
  <c r="N286" i="33"/>
  <c r="O286" i="33" s="1"/>
  <c r="N416" i="33"/>
  <c r="O416" i="33" s="1"/>
  <c r="Q461" i="33"/>
  <c r="Q300" i="33"/>
  <c r="P279" i="33"/>
  <c r="N105" i="33"/>
  <c r="O105" i="33" s="1"/>
  <c r="N430" i="33"/>
  <c r="O430" i="33" s="1"/>
  <c r="P454" i="33"/>
  <c r="Q452" i="33"/>
  <c r="Q131" i="33"/>
  <c r="Q209" i="33"/>
  <c r="Q62" i="33"/>
  <c r="Q58" i="33"/>
  <c r="N258" i="33"/>
  <c r="O258" i="33" s="1"/>
  <c r="N403" i="33"/>
  <c r="O403" i="33" s="1"/>
  <c r="Q315" i="33"/>
  <c r="Q80" i="33"/>
  <c r="Q100" i="33"/>
  <c r="Q230" i="33"/>
  <c r="N214" i="33"/>
  <c r="O214" i="33" s="1"/>
  <c r="N239" i="33"/>
  <c r="O239" i="33" s="1"/>
  <c r="P100" i="33"/>
  <c r="P229" i="33"/>
  <c r="Q507" i="33"/>
  <c r="Q50" i="33"/>
  <c r="Q515" i="33"/>
  <c r="P81" i="33"/>
  <c r="P315" i="33"/>
  <c r="R315" i="33" s="1"/>
  <c r="P154" i="33"/>
  <c r="N18" i="33"/>
  <c r="O18" i="33" s="1"/>
  <c r="N152" i="33"/>
  <c r="O152" i="33" s="1"/>
  <c r="N122" i="33"/>
  <c r="O122" i="33" s="1"/>
  <c r="N314" i="33"/>
  <c r="O314" i="33" s="1"/>
  <c r="N43" i="33"/>
  <c r="O43" i="33" s="1"/>
  <c r="P22" i="33"/>
  <c r="Q365" i="33"/>
  <c r="Q397" i="33"/>
  <c r="N188" i="33"/>
  <c r="O188" i="33" s="1"/>
  <c r="P423" i="33"/>
  <c r="N418" i="33"/>
  <c r="O418" i="33" s="1"/>
  <c r="Q235" i="33"/>
  <c r="P57" i="33"/>
  <c r="N481" i="33"/>
  <c r="O481" i="33" s="1"/>
  <c r="P34" i="33"/>
  <c r="Q526" i="33"/>
  <c r="P258" i="33"/>
  <c r="Q166" i="33"/>
  <c r="P432" i="33"/>
  <c r="Q272" i="33"/>
  <c r="P40" i="33"/>
  <c r="Q96" i="33"/>
  <c r="P193" i="33"/>
  <c r="N148" i="33"/>
  <c r="O148" i="33" s="1"/>
  <c r="Q85" i="33"/>
  <c r="N412" i="33"/>
  <c r="O412" i="33" s="1"/>
  <c r="Q27" i="33"/>
  <c r="N119" i="33"/>
  <c r="O119" i="33" s="1"/>
  <c r="P186" i="33"/>
  <c r="N155" i="33"/>
  <c r="O155" i="33" s="1"/>
  <c r="Q146" i="33"/>
  <c r="Q268" i="33"/>
  <c r="P103" i="33"/>
  <c r="P116" i="33"/>
  <c r="Q494" i="33"/>
  <c r="N331" i="33"/>
  <c r="O331" i="33" s="1"/>
  <c r="N103" i="33"/>
  <c r="O103" i="33" s="1"/>
  <c r="N222" i="33"/>
  <c r="O222" i="33" s="1"/>
  <c r="Q513" i="33"/>
  <c r="N223" i="33"/>
  <c r="O223" i="33" s="1"/>
  <c r="N384" i="33"/>
  <c r="O384" i="33" s="1"/>
  <c r="P113" i="33"/>
  <c r="N182" i="33"/>
  <c r="O182" i="33" s="1"/>
  <c r="Q163" i="33"/>
  <c r="N342" i="33"/>
  <c r="O342" i="33" s="1"/>
  <c r="N387" i="33"/>
  <c r="O387" i="33" s="1"/>
  <c r="P518" i="33"/>
  <c r="P246" i="33"/>
  <c r="Q183" i="33"/>
  <c r="Q512" i="33"/>
  <c r="Q336" i="33"/>
  <c r="P299" i="33"/>
  <c r="Q174" i="33"/>
  <c r="N502" i="33"/>
  <c r="O502" i="33" s="1"/>
  <c r="P35" i="33"/>
  <c r="N167" i="33"/>
  <c r="O167" i="33" s="1"/>
  <c r="Q474" i="33"/>
  <c r="N404" i="33"/>
  <c r="O404" i="33" s="1"/>
  <c r="P53" i="33"/>
  <c r="N281" i="33"/>
  <c r="O281" i="33" s="1"/>
  <c r="P405" i="33"/>
  <c r="P238" i="33"/>
  <c r="R238" i="33" s="1"/>
  <c r="S238" i="33" s="1"/>
  <c r="U238" i="33" s="1"/>
  <c r="V238" i="33" s="1"/>
  <c r="Q443" i="33"/>
  <c r="Q389" i="33"/>
  <c r="Q490" i="33"/>
  <c r="Q465" i="33"/>
  <c r="N340" i="33"/>
  <c r="O340" i="33" s="1"/>
  <c r="P62" i="33"/>
  <c r="Q399" i="33"/>
  <c r="N37" i="33"/>
  <c r="O37" i="33" s="1"/>
  <c r="P95" i="33"/>
  <c r="N257" i="33"/>
  <c r="O257" i="33" s="1"/>
  <c r="N347" i="33"/>
  <c r="O347" i="33" s="1"/>
  <c r="Q60" i="33"/>
  <c r="N109" i="33"/>
  <c r="O109" i="33" s="1"/>
  <c r="N245" i="33"/>
  <c r="O245" i="33" s="1"/>
  <c r="P447" i="33"/>
  <c r="Q398" i="33"/>
  <c r="Q449" i="33"/>
  <c r="P498" i="33"/>
  <c r="Q187" i="33"/>
  <c r="P477" i="33"/>
  <c r="Q38" i="33"/>
  <c r="P520" i="33"/>
  <c r="N346" i="33"/>
  <c r="O346" i="33" s="1"/>
  <c r="Q28" i="33"/>
  <c r="P482" i="33"/>
  <c r="Q154" i="33"/>
  <c r="Q436" i="33"/>
  <c r="Q345" i="33"/>
  <c r="Q254" i="33"/>
  <c r="P194" i="33"/>
  <c r="N24" i="33"/>
  <c r="O24" i="33" s="1"/>
  <c r="P335" i="33"/>
  <c r="P305" i="33"/>
  <c r="Q499" i="33"/>
  <c r="N203" i="33"/>
  <c r="O203" i="33" s="1"/>
  <c r="P385" i="33"/>
  <c r="Q134" i="33"/>
  <c r="N199" i="33"/>
  <c r="O199" i="33" s="1"/>
  <c r="P262" i="33"/>
  <c r="N59" i="33"/>
  <c r="O59" i="33" s="1"/>
  <c r="N128" i="33"/>
  <c r="O128" i="33" s="1"/>
  <c r="N149" i="33"/>
  <c r="O149" i="33" s="1"/>
  <c r="Q478" i="33"/>
  <c r="N349" i="33"/>
  <c r="O349" i="33" s="1"/>
  <c r="N413" i="33"/>
  <c r="O413" i="33" s="1"/>
  <c r="P513" i="33"/>
  <c r="N448" i="33"/>
  <c r="O448" i="33" s="1"/>
  <c r="P205" i="33"/>
  <c r="N486" i="33"/>
  <c r="O486" i="33" s="1"/>
  <c r="Q371" i="33"/>
  <c r="Q201" i="33"/>
  <c r="N407" i="33"/>
  <c r="O407" i="33" s="1"/>
  <c r="N230" i="33"/>
  <c r="O230" i="33" s="1"/>
  <c r="P206" i="33"/>
  <c r="Q487" i="33"/>
  <c r="P104" i="33"/>
  <c r="P281" i="33"/>
  <c r="P502" i="33"/>
  <c r="Q35" i="33"/>
  <c r="P251" i="33"/>
  <c r="Q53" i="33"/>
  <c r="N231" i="33"/>
  <c r="O231" i="33" s="1"/>
  <c r="N396" i="33"/>
  <c r="O396" i="33" s="1"/>
  <c r="N381" i="33"/>
  <c r="O381" i="33" s="1"/>
  <c r="Q69" i="33"/>
  <c r="N479" i="33"/>
  <c r="O479" i="33" s="1"/>
  <c r="P178" i="33"/>
  <c r="P102" i="33"/>
  <c r="N351" i="33"/>
  <c r="O351" i="33" s="1"/>
  <c r="N48" i="33"/>
  <c r="O48" i="33" s="1"/>
  <c r="Q395" i="33"/>
  <c r="Q325" i="33"/>
  <c r="P499" i="33"/>
  <c r="N117" i="33"/>
  <c r="O117" i="33" s="1"/>
  <c r="P398" i="33"/>
  <c r="Q335" i="33"/>
  <c r="N417" i="33"/>
  <c r="O417" i="33" s="1"/>
  <c r="P153" i="33"/>
  <c r="N298" i="33"/>
  <c r="O298" i="33" s="1"/>
  <c r="N333" i="33"/>
  <c r="O333" i="33" s="1"/>
  <c r="Q424" i="33"/>
  <c r="P124" i="33"/>
  <c r="P26" i="33"/>
  <c r="N476" i="33"/>
  <c r="O476" i="33" s="1"/>
  <c r="Q52" i="33"/>
  <c r="P56" i="33"/>
  <c r="N421" i="33"/>
  <c r="O421" i="33" s="1"/>
  <c r="P239" i="33"/>
  <c r="N363" i="33"/>
  <c r="O363" i="33" s="1"/>
  <c r="P375" i="33"/>
  <c r="N507" i="33"/>
  <c r="O507" i="33" s="1"/>
  <c r="N141" i="33"/>
  <c r="O141" i="33" s="1"/>
  <c r="N194" i="33"/>
  <c r="O194" i="33" s="1"/>
  <c r="P397" i="33"/>
  <c r="P525" i="33"/>
  <c r="Q457" i="33"/>
  <c r="P72" i="33"/>
  <c r="P446" i="33"/>
  <c r="P36" i="33"/>
  <c r="Q491" i="33"/>
  <c r="N360" i="33"/>
  <c r="O360" i="33" s="1"/>
  <c r="N475" i="33"/>
  <c r="O475" i="33" s="1"/>
  <c r="Q493" i="33"/>
  <c r="Q188" i="33"/>
  <c r="P83" i="33"/>
  <c r="R83" i="33" s="1"/>
  <c r="P483" i="33"/>
  <c r="P345" i="33"/>
  <c r="P121" i="33"/>
  <c r="Q30" i="33"/>
  <c r="Q510" i="33"/>
  <c r="Q475" i="33"/>
  <c r="P129" i="33"/>
  <c r="Q204" i="33"/>
  <c r="P501" i="33"/>
  <c r="N118" i="33"/>
  <c r="O118" i="33" s="1"/>
  <c r="Q297" i="33"/>
  <c r="Q329" i="33"/>
  <c r="N255" i="33"/>
  <c r="O255" i="33" s="1"/>
  <c r="N219" i="33"/>
  <c r="O219" i="33" s="1"/>
  <c r="N317" i="33"/>
  <c r="O317" i="33" s="1"/>
  <c r="Q232" i="33"/>
  <c r="N367" i="33"/>
  <c r="O367" i="33" s="1"/>
  <c r="Q192" i="33"/>
  <c r="N518" i="33"/>
  <c r="O518" i="33" s="1"/>
  <c r="N242" i="33"/>
  <c r="O242" i="33" s="1"/>
  <c r="P222" i="33"/>
  <c r="P155" i="33"/>
  <c r="P52" i="33"/>
  <c r="P49" i="33"/>
  <c r="Q91" i="33"/>
  <c r="Q308" i="33"/>
  <c r="P529" i="33"/>
  <c r="Q191" i="33"/>
  <c r="P354" i="33"/>
  <c r="Q216" i="33"/>
  <c r="N112" i="33"/>
  <c r="O112" i="33" s="1"/>
  <c r="Q303" i="33"/>
  <c r="N482" i="33"/>
  <c r="O482" i="33" s="1"/>
  <c r="N326" i="33"/>
  <c r="O326" i="33" s="1"/>
  <c r="P214" i="33"/>
  <c r="P166" i="33"/>
  <c r="Q299" i="33"/>
  <c r="P65" i="33"/>
  <c r="P523" i="33"/>
  <c r="N218" i="33"/>
  <c r="O218" i="33" s="1"/>
  <c r="N305" i="33"/>
  <c r="O305" i="33" s="1"/>
  <c r="Q171" i="33"/>
  <c r="P516" i="33"/>
  <c r="P39" i="33"/>
  <c r="Q451" i="33"/>
  <c r="Q143" i="33"/>
  <c r="P139" i="33"/>
  <c r="P350" i="33"/>
  <c r="N449" i="33"/>
  <c r="O449" i="33" s="1"/>
  <c r="Q294" i="33"/>
  <c r="N498" i="33"/>
  <c r="O498" i="33" s="1"/>
  <c r="Q390" i="33"/>
  <c r="N359" i="33"/>
  <c r="O359" i="33" s="1"/>
  <c r="Q252" i="33"/>
  <c r="Q462" i="33"/>
  <c r="N291" i="33"/>
  <c r="O291" i="33" s="1"/>
  <c r="P527" i="33"/>
  <c r="Q458" i="33"/>
  <c r="Q44" i="33"/>
  <c r="Q221" i="33"/>
  <c r="Q302" i="33"/>
  <c r="P119" i="33"/>
  <c r="P252" i="33"/>
  <c r="Q263" i="33"/>
  <c r="N484" i="33"/>
  <c r="O484" i="33" s="1"/>
  <c r="Q177" i="33"/>
  <c r="P91" i="33"/>
  <c r="P370" i="33"/>
  <c r="N456" i="33"/>
  <c r="O456" i="33" s="1"/>
  <c r="N512" i="33"/>
  <c r="O512" i="33" s="1"/>
  <c r="Q99" i="33"/>
  <c r="N144" i="33"/>
  <c r="O144" i="33" s="1"/>
  <c r="P268" i="33"/>
  <c r="P332" i="33"/>
  <c r="P363" i="33"/>
  <c r="P421" i="33"/>
  <c r="Q419" i="33"/>
  <c r="Q312" i="33"/>
  <c r="N483" i="33"/>
  <c r="O483" i="33" s="1"/>
  <c r="P514" i="33"/>
  <c r="P406" i="33"/>
  <c r="Q332" i="33"/>
  <c r="Q181" i="33"/>
  <c r="N62" i="33"/>
  <c r="O62" i="33" s="1"/>
  <c r="P497" i="33"/>
  <c r="Q173" i="33"/>
  <c r="N210" i="33"/>
  <c r="O210" i="33" s="1"/>
  <c r="Q79" i="33"/>
  <c r="N133" i="33"/>
  <c r="O133" i="33" s="1"/>
  <c r="N271" i="33"/>
  <c r="O271" i="33" s="1"/>
  <c r="Q306" i="33"/>
  <c r="N371" i="33"/>
  <c r="O371" i="33" s="1"/>
  <c r="P136" i="33"/>
  <c r="Q450" i="33"/>
  <c r="N113" i="33"/>
  <c r="O113" i="33" s="1"/>
  <c r="P381" i="33"/>
  <c r="N325" i="33"/>
  <c r="O325" i="33" s="1"/>
  <c r="N334" i="33"/>
  <c r="O334" i="33" s="1"/>
  <c r="P172" i="33"/>
  <c r="P284" i="33"/>
  <c r="Q484" i="33"/>
  <c r="N520" i="33"/>
  <c r="O520" i="33" s="1"/>
  <c r="N355" i="33"/>
  <c r="O355" i="33" s="1"/>
  <c r="N497" i="33"/>
  <c r="O497" i="33" s="1"/>
  <c r="Q220" i="33"/>
  <c r="Q357" i="33"/>
  <c r="Q112" i="33"/>
  <c r="N350" i="33"/>
  <c r="O350" i="33" s="1"/>
  <c r="N354" i="33"/>
  <c r="O354" i="33" s="1"/>
  <c r="P486" i="33"/>
  <c r="Q456" i="33"/>
  <c r="N386" i="33"/>
  <c r="O386" i="33" s="1"/>
  <c r="P417" i="33"/>
  <c r="Q256" i="33"/>
  <c r="P76" i="33"/>
  <c r="N463" i="33"/>
  <c r="O463" i="33" s="1"/>
  <c r="N53" i="33"/>
  <c r="O53" i="33" s="1"/>
  <c r="P20" i="33"/>
  <c r="N21" i="33"/>
  <c r="O21" i="33" s="1"/>
  <c r="N451" i="33"/>
  <c r="O451" i="33" s="1"/>
  <c r="Q366" i="33"/>
  <c r="N102" i="33"/>
  <c r="O102" i="33" s="1"/>
  <c r="P294" i="33"/>
  <c r="P27" i="33"/>
  <c r="R27" i="33" s="1"/>
  <c r="Q339" i="33"/>
  <c r="N283" i="33"/>
  <c r="O283" i="33" s="1"/>
  <c r="N513" i="33"/>
  <c r="O513" i="33" s="1"/>
  <c r="N490" i="33"/>
  <c r="O490" i="33" s="1"/>
  <c r="N315" i="33"/>
  <c r="O315" i="33" s="1"/>
  <c r="N34" i="33"/>
  <c r="O34" i="33" s="1"/>
  <c r="N161" i="33"/>
  <c r="O161" i="33" s="1"/>
  <c r="P152" i="33"/>
  <c r="Q240" i="33"/>
  <c r="N353" i="33"/>
  <c r="O353" i="33" s="1"/>
  <c r="N237" i="33"/>
  <c r="O237" i="33" s="1"/>
  <c r="Q277" i="33"/>
  <c r="N224" i="33"/>
  <c r="O224" i="33" s="1"/>
  <c r="N378" i="33"/>
  <c r="O378" i="33" s="1"/>
  <c r="N179" i="33"/>
  <c r="O179" i="33" s="1"/>
  <c r="Q124" i="33"/>
  <c r="Q64" i="33"/>
  <c r="N82" i="33"/>
  <c r="O82" i="33" s="1"/>
  <c r="Q122" i="33"/>
  <c r="Q314" i="33"/>
  <c r="N377" i="33"/>
  <c r="O377" i="33" s="1"/>
  <c r="Q282" i="33"/>
  <c r="Q429" i="33"/>
  <c r="Q321" i="33"/>
  <c r="P433" i="33"/>
  <c r="Q488" i="33"/>
  <c r="Q94" i="33"/>
  <c r="Q264" i="33"/>
  <c r="N480" i="33"/>
  <c r="O480" i="33" s="1"/>
  <c r="P382" i="33"/>
  <c r="P457" i="33"/>
  <c r="N236" i="33"/>
  <c r="O236" i="33" s="1"/>
  <c r="Q293" i="33"/>
  <c r="Q316" i="33"/>
  <c r="P264" i="33"/>
  <c r="Q137" i="33"/>
  <c r="Q138" i="33"/>
  <c r="P216" i="33"/>
  <c r="R216" i="33" s="1"/>
  <c r="P277" i="33"/>
  <c r="Q224" i="33"/>
  <c r="Q249" i="33"/>
  <c r="N153" i="33"/>
  <c r="O153" i="33" s="1"/>
  <c r="P29" i="33"/>
  <c r="P507" i="33"/>
  <c r="Q290" i="33"/>
  <c r="Q160" i="33"/>
  <c r="P128" i="33"/>
  <c r="N339" i="33"/>
  <c r="O339" i="33" s="1"/>
  <c r="P187" i="33"/>
  <c r="Q348" i="33"/>
  <c r="P162" i="33"/>
  <c r="P161" i="33"/>
  <c r="Q286" i="33"/>
  <c r="N260" i="33"/>
  <c r="O260" i="33" s="1"/>
  <c r="N215" i="33"/>
  <c r="O215" i="33" s="1"/>
  <c r="P117" i="33"/>
  <c r="N364" i="33"/>
  <c r="O364" i="33" s="1"/>
  <c r="Q148" i="33"/>
  <c r="Q320" i="33"/>
  <c r="Q87" i="33"/>
  <c r="Q229" i="33"/>
  <c r="N288" i="33"/>
  <c r="O288" i="33" s="1"/>
  <c r="Q59" i="33"/>
  <c r="P75" i="33"/>
  <c r="Q498" i="33"/>
  <c r="N293" i="33"/>
  <c r="O293" i="33" s="1"/>
  <c r="P342" i="33"/>
  <c r="P45" i="33"/>
  <c r="Q528" i="33"/>
  <c r="P443" i="33"/>
  <c r="P500" i="33"/>
  <c r="N529" i="33"/>
  <c r="O529" i="33" s="1"/>
  <c r="P169" i="33"/>
  <c r="R169" i="33" s="1"/>
  <c r="N429" i="33"/>
  <c r="O429" i="33" s="1"/>
  <c r="P130" i="33"/>
  <c r="Q251" i="33"/>
  <c r="Q95" i="33"/>
  <c r="N212" i="33"/>
  <c r="O212" i="33" s="1"/>
  <c r="Q441" i="33"/>
  <c r="N88" i="33"/>
  <c r="O88" i="33" s="1"/>
  <c r="N411" i="33"/>
  <c r="O411" i="33" s="1"/>
  <c r="Q81" i="33"/>
  <c r="Q326" i="33"/>
  <c r="Q505" i="33"/>
  <c r="Q305" i="33"/>
  <c r="N173" i="33"/>
  <c r="O173" i="33" s="1"/>
  <c r="Q401" i="33"/>
  <c r="Q338" i="33"/>
  <c r="Q114" i="33"/>
  <c r="P459" i="33"/>
  <c r="N65" i="33"/>
  <c r="O65" i="33" s="1"/>
  <c r="Q394" i="33"/>
  <c r="N474" i="33"/>
  <c r="O474" i="33" s="1"/>
  <c r="Q387" i="33"/>
  <c r="Q147" i="33"/>
  <c r="Q200" i="33"/>
  <c r="P466" i="33"/>
  <c r="N57" i="33"/>
  <c r="O57" i="33" s="1"/>
  <c r="P242" i="33"/>
  <c r="Q75" i="33"/>
  <c r="Q158" i="33"/>
  <c r="Q471" i="33"/>
  <c r="N303" i="33"/>
  <c r="O303" i="33" s="1"/>
  <c r="P159" i="33"/>
  <c r="N46" i="33"/>
  <c r="O46" i="33" s="1"/>
  <c r="N296" i="33"/>
  <c r="O296" i="33" s="1"/>
  <c r="N439" i="33"/>
  <c r="O439" i="33" s="1"/>
  <c r="N100" i="33"/>
  <c r="O100" i="33" s="1"/>
  <c r="N422" i="33"/>
  <c r="O422" i="33" s="1"/>
  <c r="Q239" i="33"/>
  <c r="Q41" i="33"/>
  <c r="N460" i="33"/>
  <c r="O460" i="33" s="1"/>
  <c r="P41" i="33"/>
  <c r="N389" i="33"/>
  <c r="O389" i="33" s="1"/>
  <c r="N278" i="33"/>
  <c r="O278" i="33" s="1"/>
  <c r="P458" i="33"/>
  <c r="Q54" i="33"/>
  <c r="P442" i="33"/>
  <c r="P368" i="33"/>
  <c r="Q259" i="33"/>
  <c r="N98" i="33"/>
  <c r="O98" i="33" s="1"/>
  <c r="Q431" i="33"/>
  <c r="P444" i="33"/>
  <c r="Q72" i="33"/>
  <c r="Q406" i="33"/>
  <c r="N492" i="33"/>
  <c r="O492" i="33" s="1"/>
  <c r="Q353" i="33"/>
  <c r="N466" i="33"/>
  <c r="O466" i="33" s="1"/>
  <c r="N127" i="33"/>
  <c r="O127" i="33" s="1"/>
  <c r="N352" i="33"/>
  <c r="O352" i="33" s="1"/>
  <c r="P410" i="33"/>
  <c r="P338" i="33"/>
  <c r="Q222" i="33"/>
  <c r="Q340" i="33"/>
  <c r="N277" i="33"/>
  <c r="O277" i="33" s="1"/>
  <c r="P143" i="33"/>
  <c r="P319" i="33"/>
  <c r="P141" i="33"/>
  <c r="P185" i="33"/>
  <c r="N130" i="33"/>
  <c r="O130" i="33" s="1"/>
  <c r="N436" i="33"/>
  <c r="O436" i="33" s="1"/>
  <c r="P191" i="33"/>
  <c r="P288" i="33"/>
  <c r="N63" i="33"/>
  <c r="O63" i="33" s="1"/>
  <c r="N446" i="33"/>
  <c r="O446" i="33" s="1"/>
  <c r="Q524" i="33"/>
  <c r="P401" i="33"/>
  <c r="R401" i="33" s="1"/>
  <c r="P517" i="33"/>
  <c r="N284" i="33"/>
  <c r="O284" i="33" s="1"/>
  <c r="Q214" i="33"/>
  <c r="Q123" i="33"/>
  <c r="Q194" i="33"/>
  <c r="P487" i="33"/>
  <c r="N332" i="33"/>
  <c r="O332" i="33" s="1"/>
  <c r="Q355" i="33"/>
  <c r="Q73" i="33"/>
  <c r="N30" i="33"/>
  <c r="O30" i="33" s="1"/>
  <c r="N306" i="33"/>
  <c r="O306" i="33" s="1"/>
  <c r="Q267" i="33"/>
  <c r="P59" i="33"/>
  <c r="N445" i="33"/>
  <c r="O445" i="33" s="1"/>
  <c r="Q298" i="33"/>
  <c r="P412" i="33"/>
  <c r="Q190" i="33"/>
  <c r="Q278" i="33"/>
  <c r="P356" i="33"/>
  <c r="P312" i="33"/>
  <c r="Q337" i="33"/>
  <c r="N336" i="33"/>
  <c r="O336" i="33" s="1"/>
  <c r="P436" i="33"/>
  <c r="R436" i="33" s="1"/>
  <c r="P303" i="33"/>
  <c r="Q206" i="33"/>
  <c r="P407" i="33"/>
  <c r="Q323" i="33"/>
  <c r="N494" i="33"/>
  <c r="O494" i="33" s="1"/>
  <c r="P106" i="33"/>
  <c r="P316" i="33"/>
  <c r="N33" i="33"/>
  <c r="O33" i="33" s="1"/>
  <c r="P140" i="33"/>
  <c r="N275" i="33"/>
  <c r="O275" i="33" s="1"/>
  <c r="Q40" i="33"/>
  <c r="Q285" i="33"/>
  <c r="Q455" i="33"/>
  <c r="Q117" i="33"/>
  <c r="P467" i="33"/>
  <c r="Q360" i="33"/>
  <c r="P48" i="33"/>
  <c r="N160" i="33"/>
  <c r="O160" i="33" s="1"/>
  <c r="N265" i="33"/>
  <c r="O265" i="33" s="1"/>
  <c r="N464" i="33"/>
  <c r="O464" i="33" s="1"/>
  <c r="N292" i="33"/>
  <c r="O292" i="33" s="1"/>
  <c r="N330" i="33"/>
  <c r="O330" i="33" s="1"/>
  <c r="Q372" i="33"/>
  <c r="Q373" i="33"/>
  <c r="Q367" i="33"/>
  <c r="N425" i="33"/>
  <c r="O425" i="33" s="1"/>
  <c r="P142" i="33"/>
  <c r="P210" i="33"/>
  <c r="P230" i="33"/>
  <c r="P145" i="33"/>
  <c r="P241" i="33"/>
  <c r="P137" i="33"/>
  <c r="P387" i="33"/>
  <c r="Q36" i="33"/>
  <c r="P282" i="33"/>
  <c r="P490" i="33"/>
  <c r="R490" i="33" s="1"/>
  <c r="N372" i="33"/>
  <c r="O372" i="33" s="1"/>
  <c r="N233" i="33"/>
  <c r="O233" i="33" s="1"/>
  <c r="N220" i="33"/>
  <c r="O220" i="33" s="1"/>
  <c r="Q57" i="33"/>
  <c r="Q129" i="33"/>
  <c r="Q514" i="33"/>
  <c r="Q291" i="33"/>
  <c r="P293" i="33"/>
  <c r="Q425" i="33"/>
  <c r="N162" i="33"/>
  <c r="O162" i="33" s="1"/>
  <c r="Q78" i="33"/>
  <c r="P160" i="33"/>
  <c r="P336" i="33"/>
  <c r="P126" i="33"/>
  <c r="Q442" i="33"/>
  <c r="N399" i="33"/>
  <c r="O399" i="33" s="1"/>
  <c r="Q24" i="33"/>
  <c r="Q182" i="33"/>
  <c r="P195" i="33"/>
  <c r="Q359" i="33"/>
  <c r="N268" i="33"/>
  <c r="O268" i="33" s="1"/>
  <c r="P431" i="33"/>
  <c r="N175" i="33"/>
  <c r="O175" i="33" s="1"/>
  <c r="Q350" i="33"/>
  <c r="N337" i="33"/>
  <c r="O337" i="33" s="1"/>
  <c r="P207" i="33"/>
  <c r="N73" i="33"/>
  <c r="O73" i="33" s="1"/>
  <c r="N47" i="33"/>
  <c r="O47" i="33" s="1"/>
  <c r="P25" i="33"/>
  <c r="Q273" i="33"/>
  <c r="P77" i="33"/>
  <c r="P226" i="33"/>
  <c r="N115" i="33"/>
  <c r="O115" i="33" s="1"/>
  <c r="Q135" i="33"/>
  <c r="N64" i="33"/>
  <c r="O64" i="33" s="1"/>
  <c r="N111" i="33"/>
  <c r="O111" i="33" s="1"/>
  <c r="N60" i="33"/>
  <c r="O60" i="33" s="1"/>
  <c r="Q480" i="33"/>
  <c r="P245" i="33"/>
  <c r="Q502" i="33"/>
  <c r="P109" i="33"/>
  <c r="N491" i="33"/>
  <c r="O491" i="33" s="1"/>
  <c r="N146" i="33"/>
  <c r="O146" i="33" s="1"/>
  <c r="N465" i="33"/>
  <c r="O465" i="33" s="1"/>
  <c r="N272" i="33"/>
  <c r="O272" i="33" s="1"/>
  <c r="Q111" i="33"/>
  <c r="N123" i="33"/>
  <c r="O123" i="33" s="1"/>
  <c r="N327" i="33"/>
  <c r="O327" i="33" s="1"/>
  <c r="N81" i="33"/>
  <c r="O81" i="33" s="1"/>
  <c r="P208" i="33"/>
  <c r="R208" i="33" s="1"/>
  <c r="Q133" i="33"/>
  <c r="P372" i="33"/>
  <c r="N432" i="33"/>
  <c r="O432" i="33" s="1"/>
  <c r="Q39" i="33"/>
  <c r="P440" i="33"/>
  <c r="P415" i="33"/>
  <c r="N262" i="33"/>
  <c r="O262" i="33" s="1"/>
  <c r="N40" i="33"/>
  <c r="O40" i="33" s="1"/>
  <c r="N114" i="33"/>
  <c r="O114" i="33" s="1"/>
  <c r="N225" i="33"/>
  <c r="O225" i="33" s="1"/>
  <c r="N132" i="33"/>
  <c r="O132" i="33" s="1"/>
  <c r="P233" i="33"/>
  <c r="P255" i="33"/>
  <c r="P170" i="33"/>
  <c r="N143" i="33"/>
  <c r="O143" i="33" s="1"/>
  <c r="N209" i="33"/>
  <c r="O209" i="33" s="1"/>
  <c r="N455" i="33"/>
  <c r="O455" i="33" s="1"/>
  <c r="N267" i="33"/>
  <c r="O267" i="33" s="1"/>
  <c r="P175" i="33"/>
  <c r="Q46" i="33"/>
  <c r="N365" i="33"/>
  <c r="O365" i="33" s="1"/>
  <c r="P212" i="33"/>
  <c r="N171" i="33"/>
  <c r="O171" i="33" s="1"/>
  <c r="Q37" i="33"/>
  <c r="N244" i="33"/>
  <c r="O244" i="33" s="1"/>
  <c r="P196" i="33"/>
  <c r="Q202" i="33"/>
  <c r="N401" i="33"/>
  <c r="O401" i="33" s="1"/>
  <c r="P201" i="33"/>
  <c r="N251" i="33"/>
  <c r="O251" i="33" s="1"/>
  <c r="Q508" i="33"/>
  <c r="N96" i="33"/>
  <c r="O96" i="33" s="1"/>
  <c r="N150" i="33"/>
  <c r="O150" i="33" s="1"/>
  <c r="P215" i="33"/>
  <c r="P184" i="33"/>
  <c r="P491" i="33"/>
  <c r="R491" i="33" s="1"/>
  <c r="N68" i="33"/>
  <c r="O68" i="33" s="1"/>
  <c r="P526" i="33"/>
  <c r="Q161" i="33"/>
  <c r="N139" i="33"/>
  <c r="O139" i="33" s="1"/>
  <c r="P220" i="33"/>
  <c r="Q66" i="33"/>
  <c r="P177" i="33"/>
  <c r="Q151" i="33"/>
  <c r="N406" i="33"/>
  <c r="O406" i="33" s="1"/>
  <c r="Q67" i="33"/>
  <c r="N125" i="33"/>
  <c r="O125" i="33" s="1"/>
  <c r="P97" i="33"/>
  <c r="Q408" i="33"/>
  <c r="P173" i="33"/>
  <c r="P261" i="33"/>
  <c r="N345" i="33"/>
  <c r="O345" i="33" s="1"/>
  <c r="Q132" i="33"/>
  <c r="N264" i="33"/>
  <c r="O264" i="33" s="1"/>
  <c r="N270" i="33"/>
  <c r="O270" i="33" s="1"/>
  <c r="Q481" i="33"/>
  <c r="P38" i="33"/>
  <c r="Q440" i="33"/>
  <c r="P496" i="33"/>
  <c r="P322" i="33"/>
  <c r="P306" i="33"/>
  <c r="R306" i="33" s="1"/>
  <c r="P47" i="33"/>
  <c r="P510" i="33"/>
  <c r="Q225" i="33"/>
  <c r="Q501" i="33"/>
  <c r="P188" i="33"/>
  <c r="P98" i="33"/>
  <c r="P506" i="33"/>
  <c r="R506" i="33" s="1"/>
  <c r="P189" i="33"/>
  <c r="N506" i="33"/>
  <c r="O506" i="33" s="1"/>
  <c r="N189" i="33"/>
  <c r="O189" i="33" s="1"/>
  <c r="P176" i="33"/>
  <c r="N402" i="33"/>
  <c r="O402" i="33" s="1"/>
  <c r="P273" i="33"/>
  <c r="P61" i="33"/>
  <c r="R61" i="33" s="1"/>
  <c r="N213" i="33"/>
  <c r="O213" i="33" s="1"/>
  <c r="P278" i="33"/>
  <c r="R278" i="33" s="1"/>
  <c r="P221" i="33"/>
  <c r="P43" i="33"/>
  <c r="N392" i="33"/>
  <c r="O392" i="33" s="1"/>
  <c r="Q407" i="33"/>
  <c r="Q276" i="33"/>
  <c r="P224" i="33"/>
  <c r="N522" i="33"/>
  <c r="O522" i="33" s="1"/>
  <c r="Q385" i="33"/>
  <c r="Q262" i="33"/>
  <c r="Q180" i="33"/>
  <c r="P453" i="33"/>
  <c r="P428" i="33"/>
  <c r="P107" i="33"/>
  <c r="Q384" i="33"/>
  <c r="P452" i="33"/>
  <c r="N279" i="33"/>
  <c r="O279" i="33" s="1"/>
  <c r="P389" i="33"/>
  <c r="Q145" i="33"/>
  <c r="Q388" i="33"/>
  <c r="Q63" i="33"/>
  <c r="N55" i="33"/>
  <c r="O55" i="33" s="1"/>
  <c r="P30" i="33"/>
  <c r="N85" i="33"/>
  <c r="O85" i="33" s="1"/>
  <c r="P272" i="33"/>
  <c r="N206" i="33"/>
  <c r="O206" i="33" s="1"/>
  <c r="Q115" i="33"/>
  <c r="P503" i="33"/>
  <c r="R503" i="33" s="1"/>
  <c r="N134" i="33"/>
  <c r="O134" i="33" s="1"/>
  <c r="P232" i="33"/>
  <c r="P445" i="33"/>
  <c r="N147" i="33"/>
  <c r="O147" i="33" s="1"/>
  <c r="Q330" i="33"/>
  <c r="P402" i="33"/>
  <c r="N50" i="33"/>
  <c r="O50" i="33" s="1"/>
  <c r="P361" i="33"/>
  <c r="N72" i="33"/>
  <c r="O72" i="33" s="1"/>
  <c r="N66" i="33"/>
  <c r="O66" i="33" s="1"/>
  <c r="N459" i="33"/>
  <c r="O459" i="33" s="1"/>
  <c r="Q328" i="33"/>
  <c r="P318" i="33"/>
  <c r="Q269" i="33"/>
  <c r="P18" i="33"/>
  <c r="P192" i="33"/>
  <c r="N26" i="33"/>
  <c r="O26" i="33" s="1"/>
  <c r="P302" i="33"/>
  <c r="Q51" i="33"/>
  <c r="Q175" i="33"/>
  <c r="P438" i="33"/>
  <c r="R438" i="33" s="1"/>
  <c r="P204" i="33"/>
  <c r="Q93" i="33"/>
  <c r="Q139" i="33"/>
  <c r="P456" i="33"/>
  <c r="N309" i="33"/>
  <c r="O309" i="33" s="1"/>
  <c r="P291" i="33"/>
  <c r="N54" i="33"/>
  <c r="O54" i="33" s="1"/>
  <c r="N232" i="33"/>
  <c r="O232" i="33" s="1"/>
  <c r="P174" i="33"/>
  <c r="Q417" i="33"/>
  <c r="P304" i="33"/>
  <c r="N295" i="33"/>
  <c r="O295" i="33" s="1"/>
  <c r="P70" i="33"/>
  <c r="N79" i="33"/>
  <c r="O79" i="33" s="1"/>
  <c r="N382" i="33"/>
  <c r="O382" i="33" s="1"/>
  <c r="N158" i="33"/>
  <c r="O158" i="33" s="1"/>
  <c r="P353" i="33"/>
  <c r="N36" i="33"/>
  <c r="O36" i="33" s="1"/>
  <c r="Q47" i="33"/>
  <c r="P473" i="33"/>
  <c r="N369" i="33"/>
  <c r="O369" i="33" s="1"/>
  <c r="P218" i="33"/>
  <c r="R218" i="33" s="1"/>
  <c r="Q164" i="33"/>
  <c r="P323" i="33"/>
  <c r="P377" i="33"/>
  <c r="N282" i="33"/>
  <c r="O282" i="33" s="1"/>
  <c r="N29" i="33"/>
  <c r="O29" i="33" s="1"/>
  <c r="P96" i="33"/>
  <c r="N400" i="33"/>
  <c r="O400" i="33" s="1"/>
  <c r="N121" i="33"/>
  <c r="O121" i="33" s="1"/>
  <c r="P329" i="33"/>
  <c r="P330" i="33"/>
  <c r="R330" i="33" s="1"/>
  <c r="N126" i="33"/>
  <c r="O126" i="33" s="1"/>
  <c r="N226" i="33"/>
  <c r="O226" i="33" s="1"/>
  <c r="N86" i="33"/>
  <c r="O86" i="33" s="1"/>
  <c r="N190" i="33"/>
  <c r="O190" i="33" s="1"/>
  <c r="P418" i="33"/>
  <c r="N107" i="33"/>
  <c r="O107" i="33" s="1"/>
  <c r="N197" i="33"/>
  <c r="O197" i="33" s="1"/>
  <c r="N74" i="33"/>
  <c r="O74" i="33" s="1"/>
  <c r="N344" i="33"/>
  <c r="O344" i="33" s="1"/>
  <c r="N454" i="33"/>
  <c r="O454" i="33" s="1"/>
  <c r="P414" i="33"/>
  <c r="R414" i="33" s="1"/>
  <c r="P228" i="33"/>
  <c r="R228" i="33" s="1"/>
  <c r="S228" i="33" s="1"/>
  <c r="T228" i="33" s="1"/>
  <c r="Q43" i="33"/>
  <c r="P468" i="33"/>
  <c r="N165" i="33"/>
  <c r="O165" i="33" s="1"/>
  <c r="N397" i="33"/>
  <c r="O397" i="33" s="1"/>
  <c r="Q368" i="33"/>
  <c r="Q102" i="33"/>
  <c r="N93" i="33"/>
  <c r="O93" i="33" s="1"/>
  <c r="N444" i="33"/>
  <c r="O444" i="33" s="1"/>
  <c r="P202" i="33"/>
  <c r="P519" i="33"/>
  <c r="P365" i="33"/>
  <c r="R365" i="33" s="1"/>
  <c r="N356" i="33"/>
  <c r="O356" i="33" s="1"/>
  <c r="N221" i="33"/>
  <c r="O221" i="33" s="1"/>
  <c r="P67" i="33"/>
  <c r="P256" i="33"/>
  <c r="P409" i="33"/>
  <c r="Q255" i="33"/>
  <c r="Q447" i="33"/>
  <c r="N485" i="33"/>
  <c r="O485" i="33" s="1"/>
  <c r="N427" i="33"/>
  <c r="O427" i="33" s="1"/>
  <c r="P476" i="33"/>
  <c r="Q460" i="33"/>
  <c r="N94" i="33"/>
  <c r="O94" i="33" s="1"/>
  <c r="N467" i="33"/>
  <c r="O467" i="33" s="1"/>
  <c r="P115" i="33"/>
  <c r="P469" i="33"/>
  <c r="N287" i="33"/>
  <c r="O287" i="33" s="1"/>
  <c r="Q125" i="33"/>
  <c r="N191" i="33"/>
  <c r="O191" i="33" s="1"/>
  <c r="N294" i="33"/>
  <c r="O294" i="33" s="1"/>
  <c r="N61" i="33"/>
  <c r="O61" i="33" s="1"/>
  <c r="P424" i="33"/>
  <c r="N500" i="33"/>
  <c r="O500" i="33" s="1"/>
  <c r="P123" i="33"/>
  <c r="P426" i="33"/>
  <c r="N431" i="33"/>
  <c r="O431" i="33" s="1"/>
  <c r="P425" i="33"/>
  <c r="P79" i="33"/>
  <c r="P298" i="33"/>
  <c r="Q271" i="33"/>
  <c r="P404" i="33"/>
  <c r="P371" i="33"/>
  <c r="N208" i="33"/>
  <c r="O208" i="33" s="1"/>
  <c r="P270" i="33"/>
  <c r="P422" i="33"/>
  <c r="Q413" i="33"/>
  <c r="N385" i="33"/>
  <c r="O385" i="33" s="1"/>
  <c r="N19" i="33"/>
  <c r="O19" i="33" s="1"/>
  <c r="Q422" i="33"/>
  <c r="P133" i="33"/>
  <c r="Q184" i="33"/>
  <c r="P463" i="33"/>
  <c r="N185" i="33"/>
  <c r="O185" i="33" s="1"/>
  <c r="Q476" i="33"/>
  <c r="P94" i="33"/>
  <c r="N207" i="33"/>
  <c r="O207" i="33" s="1"/>
  <c r="Q421" i="33"/>
  <c r="P32" i="33"/>
  <c r="Q525" i="33"/>
  <c r="P168" i="33"/>
  <c r="N380" i="33"/>
  <c r="O380" i="33" s="1"/>
  <c r="P408" i="33"/>
  <c r="N514" i="33"/>
  <c r="O514" i="33" s="1"/>
  <c r="N178" i="33"/>
  <c r="O178" i="33" s="1"/>
  <c r="Q280" i="33"/>
  <c r="Q261" i="33"/>
  <c r="Q356" i="33"/>
  <c r="N437" i="33"/>
  <c r="O437" i="33" s="1"/>
  <c r="N509" i="33"/>
  <c r="O509" i="33" s="1"/>
  <c r="P66" i="33"/>
  <c r="Q56" i="33"/>
  <c r="Q97" i="33"/>
  <c r="Q468" i="33"/>
  <c r="P74" i="33"/>
  <c r="N276" i="33"/>
  <c r="O276" i="33" s="1"/>
  <c r="N373" i="33"/>
  <c r="O373" i="33" s="1"/>
  <c r="P88" i="33"/>
  <c r="R88" i="33" s="1"/>
  <c r="P135" i="33"/>
  <c r="Q227" i="33"/>
  <c r="N259" i="33"/>
  <c r="O259" i="33" s="1"/>
  <c r="Q162" i="33"/>
  <c r="Q25" i="33"/>
  <c r="N390" i="33"/>
  <c r="O390" i="33" s="1"/>
  <c r="P237" i="33"/>
  <c r="R237" i="33" s="1"/>
  <c r="N414" i="33"/>
  <c r="O414" i="33" s="1"/>
  <c r="N410" i="33"/>
  <c r="O410" i="33" s="1"/>
  <c r="N135" i="33"/>
  <c r="O135" i="33" s="1"/>
  <c r="P235" i="33"/>
  <c r="R235" i="33" s="1"/>
  <c r="P378" i="33"/>
  <c r="Q463" i="33"/>
  <c r="N517" i="33"/>
  <c r="O517" i="33" s="1"/>
  <c r="Q116" i="33"/>
  <c r="Q242" i="33"/>
  <c r="Q334" i="33"/>
  <c r="Q432" i="33"/>
  <c r="P134" i="33"/>
  <c r="Q467" i="33"/>
  <c r="N184" i="33"/>
  <c r="O184" i="33" s="1"/>
  <c r="P108" i="33"/>
  <c r="Q469" i="33"/>
  <c r="N27" i="33"/>
  <c r="O27" i="33" s="1"/>
  <c r="P395" i="33"/>
  <c r="Q523" i="33"/>
  <c r="N501" i="33"/>
  <c r="O501" i="33" s="1"/>
  <c r="P266" i="33"/>
  <c r="R266" i="33" s="1"/>
  <c r="Q105" i="33"/>
  <c r="Q245" i="33"/>
  <c r="N77" i="33"/>
  <c r="O77" i="33" s="1"/>
  <c r="N78" i="33"/>
  <c r="O78" i="33" s="1"/>
  <c r="N198" i="33"/>
  <c r="O198" i="33" s="1"/>
  <c r="Q119" i="33"/>
  <c r="P120" i="33"/>
  <c r="N310" i="33"/>
  <c r="O310" i="33" s="1"/>
  <c r="Q279" i="33"/>
  <c r="P528" i="33"/>
  <c r="Q301" i="33"/>
  <c r="Q104" i="33"/>
  <c r="Q459" i="33"/>
  <c r="N261" i="33"/>
  <c r="O261" i="33" s="1"/>
  <c r="Q342" i="33"/>
  <c r="Q108" i="33"/>
  <c r="P324" i="33"/>
  <c r="R324" i="33" s="1"/>
  <c r="N462" i="33"/>
  <c r="O462" i="33" s="1"/>
  <c r="Q42" i="33"/>
  <c r="P464" i="33"/>
  <c r="N159" i="33"/>
  <c r="O159" i="33" s="1"/>
  <c r="Q210" i="33"/>
  <c r="N254" i="33"/>
  <c r="O254" i="33" s="1"/>
  <c r="Q517" i="33"/>
  <c r="Q311" i="33"/>
  <c r="N338" i="33"/>
  <c r="O338" i="33" s="1"/>
  <c r="P164" i="33"/>
  <c r="N253" i="33"/>
  <c r="O253" i="33" s="1"/>
  <c r="P394" i="33"/>
  <c r="P87" i="33"/>
  <c r="Q257" i="33"/>
  <c r="Q380" i="33"/>
  <c r="N391" i="33"/>
  <c r="O391" i="33" s="1"/>
  <c r="N234" i="33"/>
  <c r="O234" i="33" s="1"/>
  <c r="P434" i="33"/>
  <c r="R434" i="33" s="1"/>
  <c r="Q198" i="33"/>
  <c r="Q519" i="33"/>
  <c r="N90" i="33"/>
  <c r="O90" i="33" s="1"/>
  <c r="Q333" i="33"/>
  <c r="Q98" i="33"/>
  <c r="Q327" i="33"/>
  <c r="N235" i="33"/>
  <c r="O235" i="33" s="1"/>
  <c r="Q296" i="33"/>
  <c r="P508" i="33"/>
  <c r="Q412" i="33"/>
  <c r="Q241" i="33"/>
  <c r="Q113" i="33"/>
  <c r="Q103" i="33"/>
  <c r="P92" i="33"/>
  <c r="R92" i="33" s="1"/>
  <c r="Q313" i="33"/>
  <c r="P243" i="33"/>
  <c r="P310" i="33"/>
  <c r="P46" i="33"/>
  <c r="Q149" i="33"/>
  <c r="Q445" i="33"/>
  <c r="P144" i="33"/>
  <c r="P227" i="33"/>
  <c r="P416" i="33"/>
  <c r="P199" i="33"/>
  <c r="N504" i="33"/>
  <c r="O504" i="33" s="1"/>
  <c r="N241" i="33"/>
  <c r="O241" i="33" s="1"/>
  <c r="P21" i="33"/>
  <c r="Q304" i="33"/>
  <c r="N468" i="33"/>
  <c r="O468" i="33" s="1"/>
  <c r="Q90" i="33"/>
  <c r="P391" i="33"/>
  <c r="Q219" i="33"/>
  <c r="N366" i="33"/>
  <c r="O366" i="33" s="1"/>
  <c r="P429" i="33"/>
  <c r="R429" i="33" s="1"/>
  <c r="N44" i="33"/>
  <c r="O44" i="33" s="1"/>
  <c r="Q199" i="33"/>
  <c r="P33" i="33"/>
  <c r="R33" i="33" s="1"/>
  <c r="Q486" i="33"/>
  <c r="Q453" i="33"/>
  <c r="Q295" i="33"/>
  <c r="P31" i="33"/>
  <c r="P82" i="33"/>
  <c r="P326" i="33"/>
  <c r="Q393" i="33"/>
  <c r="P346" i="33"/>
  <c r="P461" i="33"/>
  <c r="Q107" i="33"/>
  <c r="P331" i="33"/>
  <c r="Q142" i="33"/>
  <c r="N23" i="33"/>
  <c r="O23" i="33" s="1"/>
  <c r="P50" i="33"/>
  <c r="R50" i="33" s="1"/>
  <c r="Q516" i="33"/>
  <c r="P253" i="33"/>
  <c r="P219" i="33"/>
  <c r="P292" i="33"/>
  <c r="N368" i="33"/>
  <c r="O368" i="33" s="1"/>
  <c r="P327" i="33"/>
  <c r="Q77" i="33"/>
  <c r="N447" i="33"/>
  <c r="O447" i="33" s="1"/>
  <c r="N84" i="33"/>
  <c r="O84" i="33" s="1"/>
  <c r="Q439" i="33"/>
  <c r="N511" i="33"/>
  <c r="O511" i="33" s="1"/>
  <c r="N104" i="33"/>
  <c r="O104" i="33" s="1"/>
  <c r="Q288" i="33"/>
  <c r="Q179" i="33"/>
  <c r="P362" i="33"/>
  <c r="Q141" i="33"/>
  <c r="P295" i="33"/>
  <c r="N370" i="33"/>
  <c r="O370" i="33" s="1"/>
  <c r="P19" i="33"/>
  <c r="Q495" i="33"/>
  <c r="Q86" i="33"/>
  <c r="P190" i="33"/>
  <c r="Q74" i="33"/>
  <c r="Q167" i="33"/>
  <c r="N316" i="33"/>
  <c r="O316" i="33" s="1"/>
  <c r="Q292" i="33"/>
  <c r="Q426" i="33"/>
  <c r="Q126" i="33"/>
  <c r="N311" i="33"/>
  <c r="O311" i="33" s="1"/>
  <c r="P388" i="33"/>
  <c r="N116" i="33"/>
  <c r="O116" i="33" s="1"/>
  <c r="P369" i="33"/>
  <c r="R369" i="33" s="1"/>
  <c r="Q319" i="33"/>
  <c r="P247" i="33"/>
  <c r="R247" i="33" s="1"/>
  <c r="Q287" i="33"/>
  <c r="P504" i="33"/>
  <c r="P301" i="33"/>
  <c r="P480" i="33"/>
  <c r="Q153" i="33"/>
  <c r="P435" i="33"/>
  <c r="P86" i="33"/>
  <c r="Q344" i="33"/>
  <c r="P481" i="33"/>
  <c r="P58" i="33"/>
  <c r="Q109" i="33"/>
  <c r="P441" i="33"/>
  <c r="N307" i="33"/>
  <c r="O307" i="33" s="1"/>
  <c r="P317" i="33"/>
  <c r="R317" i="33" s="1"/>
  <c r="N515" i="33"/>
  <c r="O515" i="33" s="1"/>
  <c r="Q410" i="33"/>
  <c r="N157" i="33"/>
  <c r="O157" i="33" s="1"/>
  <c r="N192" i="33"/>
  <c r="O192" i="33" s="1"/>
  <c r="N510" i="33"/>
  <c r="O510" i="33" s="1"/>
  <c r="P475" i="33"/>
  <c r="R475" i="33" s="1"/>
  <c r="N51" i="33"/>
  <c r="O51" i="33" s="1"/>
  <c r="Q246" i="33"/>
  <c r="Q203" i="33"/>
  <c r="Q437" i="33"/>
  <c r="N496" i="33"/>
  <c r="O496" i="33" s="1"/>
  <c r="P509" i="33"/>
  <c r="R509" i="33" s="1"/>
  <c r="P54" i="33"/>
  <c r="N249" i="33"/>
  <c r="O249" i="33" s="1"/>
  <c r="P197" i="33"/>
  <c r="Q518" i="33"/>
  <c r="Q20" i="33"/>
  <c r="N25" i="33"/>
  <c r="O25" i="33" s="1"/>
  <c r="N106" i="33"/>
  <c r="O106" i="33" s="1"/>
  <c r="N525" i="33"/>
  <c r="O525" i="33" s="1"/>
  <c r="Q168" i="33"/>
  <c r="P448" i="33"/>
  <c r="N101" i="33"/>
  <c r="O101" i="33" s="1"/>
  <c r="N42" i="33"/>
  <c r="O42" i="33" s="1"/>
  <c r="N487" i="33"/>
  <c r="O487" i="33" s="1"/>
  <c r="P240" i="33"/>
  <c r="N28" i="33"/>
  <c r="O28" i="33" s="1"/>
  <c r="N508" i="33"/>
  <c r="O508" i="33" s="1"/>
  <c r="N442" i="33"/>
  <c r="O442" i="33" s="1"/>
  <c r="N440" i="33"/>
  <c r="O440" i="33" s="1"/>
  <c r="Q244" i="33"/>
  <c r="N428" i="33"/>
  <c r="O428" i="33" s="1"/>
  <c r="P263" i="33"/>
  <c r="Q382" i="33"/>
  <c r="P367" i="33"/>
  <c r="R367" i="33" s="1"/>
  <c r="N323" i="33"/>
  <c r="O323" i="33" s="1"/>
  <c r="P110" i="33"/>
  <c r="N31" i="33"/>
  <c r="O31" i="33" s="1"/>
  <c r="P63" i="33"/>
  <c r="P73" i="33"/>
  <c r="Q403" i="33"/>
  <c r="N110" i="33"/>
  <c r="O110" i="33" s="1"/>
  <c r="Q454" i="33"/>
  <c r="P125" i="33"/>
  <c r="N393" i="33"/>
  <c r="O393" i="33" s="1"/>
  <c r="Q250" i="33"/>
  <c r="P492" i="33"/>
  <c r="Q226" i="33"/>
  <c r="P198" i="33"/>
  <c r="Q415" i="33"/>
  <c r="N358" i="33"/>
  <c r="O358" i="33" s="1"/>
  <c r="N164" i="33"/>
  <c r="O164" i="33" s="1"/>
  <c r="N493" i="33"/>
  <c r="O493" i="33" s="1"/>
  <c r="Q377" i="33"/>
  <c r="P344" i="33"/>
  <c r="Q322" i="33"/>
  <c r="P64" i="33"/>
  <c r="N247" i="33"/>
  <c r="O247" i="33" s="1"/>
  <c r="N328" i="33"/>
  <c r="O328" i="33" s="1"/>
  <c r="N388" i="33"/>
  <c r="O388" i="33" s="1"/>
  <c r="N324" i="33"/>
  <c r="O324" i="33" s="1"/>
  <c r="Q157" i="33"/>
  <c r="P84" i="33"/>
  <c r="P297" i="33"/>
  <c r="Q84" i="33"/>
  <c r="N280" i="33"/>
  <c r="O280" i="33" s="1"/>
  <c r="P55" i="33"/>
  <c r="N362" i="33"/>
  <c r="O362" i="33" s="1"/>
  <c r="Q423" i="33"/>
  <c r="N473" i="33"/>
  <c r="O473" i="33" s="1"/>
  <c r="Q144" i="33"/>
  <c r="N166" i="33"/>
  <c r="O166" i="33" s="1"/>
  <c r="Q428" i="33"/>
  <c r="Q307" i="33"/>
  <c r="N322" i="33"/>
  <c r="O322" i="33" s="1"/>
  <c r="P360" i="33"/>
  <c r="N415" i="33"/>
  <c r="O415" i="33" s="1"/>
  <c r="P114" i="33"/>
  <c r="N227" i="33"/>
  <c r="O227" i="33" s="1"/>
  <c r="Q270" i="33"/>
  <c r="Q193" i="33"/>
  <c r="Q289" i="33"/>
  <c r="U719" i="33"/>
  <c r="V719" i="33" s="1"/>
  <c r="T805" i="33"/>
  <c r="U602" i="33"/>
  <c r="V602" i="33" s="1"/>
  <c r="U809" i="33"/>
  <c r="V809" i="33" s="1"/>
  <c r="T809" i="33"/>
  <c r="U639" i="33"/>
  <c r="V639" i="33" s="1"/>
  <c r="T639" i="33"/>
  <c r="T951" i="33"/>
  <c r="U951" i="33"/>
  <c r="V951" i="33" s="1"/>
  <c r="U942" i="33"/>
  <c r="V942" i="33" s="1"/>
  <c r="T942" i="33"/>
  <c r="U672" i="33"/>
  <c r="V672" i="33" s="1"/>
  <c r="T672" i="33"/>
  <c r="T238" i="33"/>
  <c r="U979" i="33"/>
  <c r="V979" i="33" s="1"/>
  <c r="T979" i="33"/>
  <c r="U1030" i="33"/>
  <c r="V1030" i="33" s="1"/>
  <c r="T1030" i="33"/>
  <c r="R361" i="33" l="1"/>
  <c r="S361" i="33" s="1"/>
  <c r="U361" i="33" s="1"/>
  <c r="V361" i="33" s="1"/>
  <c r="R197" i="33"/>
  <c r="R402" i="33"/>
  <c r="R155" i="33"/>
  <c r="R243" i="33"/>
  <c r="T935" i="33"/>
  <c r="R331" i="33"/>
  <c r="R284" i="33"/>
  <c r="R448" i="33"/>
  <c r="S448" i="33" s="1"/>
  <c r="U448" i="33" s="1"/>
  <c r="V448" i="33" s="1"/>
  <c r="R170" i="33"/>
  <c r="S170" i="33" s="1"/>
  <c r="U170" i="33" s="1"/>
  <c r="V170" i="33" s="1"/>
  <c r="R480" i="33"/>
  <c r="R464" i="33"/>
  <c r="S464" i="33" s="1"/>
  <c r="U464" i="33" s="1"/>
  <c r="V464" i="33" s="1"/>
  <c r="S438" i="33"/>
  <c r="U438" i="33" s="1"/>
  <c r="V438" i="33" s="1"/>
  <c r="R720" i="33"/>
  <c r="S720" i="33" s="1"/>
  <c r="R370" i="33"/>
  <c r="S370" i="33" s="1"/>
  <c r="R492" i="33"/>
  <c r="S492" i="33" s="1"/>
  <c r="S92" i="33"/>
  <c r="R815" i="33"/>
  <c r="S815" i="33" s="1"/>
  <c r="R461" i="33"/>
  <c r="S461" i="33" s="1"/>
  <c r="U461" i="33" s="1"/>
  <c r="V461" i="33" s="1"/>
  <c r="R140" i="33"/>
  <c r="S140" i="33" s="1"/>
  <c r="T140" i="33" s="1"/>
  <c r="S598" i="33"/>
  <c r="U598" i="33" s="1"/>
  <c r="V598" i="33" s="1"/>
  <c r="R689" i="33"/>
  <c r="S689" i="33" s="1"/>
  <c r="R919" i="33"/>
  <c r="S919" i="33" s="1"/>
  <c r="R849" i="33"/>
  <c r="S849" i="33" s="1"/>
  <c r="U849" i="33" s="1"/>
  <c r="V849" i="33" s="1"/>
  <c r="R656" i="33"/>
  <c r="S656" i="33" s="1"/>
  <c r="R1029" i="33"/>
  <c r="S1029" i="33" s="1"/>
  <c r="R953" i="33"/>
  <c r="S953" i="33" s="1"/>
  <c r="R886" i="33"/>
  <c r="S907" i="33"/>
  <c r="R798" i="33"/>
  <c r="S798" i="33" s="1"/>
  <c r="R571" i="33"/>
  <c r="S571" i="33" s="1"/>
  <c r="S931" i="33"/>
  <c r="R857" i="33"/>
  <c r="S857" i="33" s="1"/>
  <c r="U857" i="33" s="1"/>
  <c r="V857" i="33" s="1"/>
  <c r="R621" i="33"/>
  <c r="S621" i="33" s="1"/>
  <c r="U621" i="33" s="1"/>
  <c r="V621" i="33" s="1"/>
  <c r="S863" i="33"/>
  <c r="U863" i="33" s="1"/>
  <c r="V863" i="33" s="1"/>
  <c r="R592" i="33"/>
  <c r="S592" i="33" s="1"/>
  <c r="S88" i="33"/>
  <c r="U88" i="33" s="1"/>
  <c r="V88" i="33" s="1"/>
  <c r="R221" i="33"/>
  <c r="S221" i="33" s="1"/>
  <c r="R405" i="33"/>
  <c r="S405" i="33" s="1"/>
  <c r="S752" i="33"/>
  <c r="R394" i="33"/>
  <c r="S394" i="33" s="1"/>
  <c r="U394" i="33" s="1"/>
  <c r="V394" i="33" s="1"/>
  <c r="R185" i="33"/>
  <c r="S185" i="33" s="1"/>
  <c r="R29" i="33"/>
  <c r="S29" i="33" s="1"/>
  <c r="R273" i="33"/>
  <c r="S273" i="33" s="1"/>
  <c r="R420" i="33"/>
  <c r="S420" i="33" s="1"/>
  <c r="R329" i="33"/>
  <c r="S329" i="33" s="1"/>
  <c r="S747" i="33"/>
  <c r="R618" i="33"/>
  <c r="S618" i="33" s="1"/>
  <c r="R669" i="33"/>
  <c r="S669" i="33" s="1"/>
  <c r="T361" i="33"/>
  <c r="R783" i="33"/>
  <c r="S783" i="33" s="1"/>
  <c r="R620" i="33"/>
  <c r="S620" i="33" s="1"/>
  <c r="R1036" i="33"/>
  <c r="S1036" i="33" s="1"/>
  <c r="R424" i="33"/>
  <c r="S424" i="33" s="1"/>
  <c r="T424" i="33" s="1"/>
  <c r="R38" i="33"/>
  <c r="S38" i="33" s="1"/>
  <c r="S832" i="33"/>
  <c r="U832" i="33" s="1"/>
  <c r="V832" i="33" s="1"/>
  <c r="S984" i="33"/>
  <c r="U984" i="33" s="1"/>
  <c r="V984" i="33" s="1"/>
  <c r="R630" i="33"/>
  <c r="S630" i="33" s="1"/>
  <c r="R631" i="33"/>
  <c r="S631" i="33" s="1"/>
  <c r="R164" i="33"/>
  <c r="S164" i="33" s="1"/>
  <c r="R190" i="33"/>
  <c r="S190" i="33" s="1"/>
  <c r="T190" i="33" s="1"/>
  <c r="R363" i="33"/>
  <c r="S363" i="33" s="1"/>
  <c r="R911" i="33"/>
  <c r="S911" i="33" s="1"/>
  <c r="T911" i="33" s="1"/>
  <c r="R744" i="33"/>
  <c r="S744" i="33" s="1"/>
  <c r="U744" i="33" s="1"/>
  <c r="V744" i="33" s="1"/>
  <c r="S914" i="33"/>
  <c r="R188" i="33"/>
  <c r="S188" i="33" s="1"/>
  <c r="R65" i="33"/>
  <c r="S65" i="33" s="1"/>
  <c r="S588" i="33"/>
  <c r="R757" i="33"/>
  <c r="S757" i="33" s="1"/>
  <c r="R297" i="33"/>
  <c r="S297" i="33" s="1"/>
  <c r="R799" i="33"/>
  <c r="S799" i="33" s="1"/>
  <c r="T799" i="33" s="1"/>
  <c r="R765" i="33"/>
  <c r="S765" i="33" s="1"/>
  <c r="S216" i="33"/>
  <c r="R96" i="33"/>
  <c r="R354" i="33"/>
  <c r="S354" i="33" s="1"/>
  <c r="R58" i="33"/>
  <c r="S58" i="33" s="1"/>
  <c r="U58" i="33" s="1"/>
  <c r="V58" i="33" s="1"/>
  <c r="R613" i="33"/>
  <c r="S613" i="33" s="1"/>
  <c r="T613" i="33" s="1"/>
  <c r="R441" i="33"/>
  <c r="S441" i="33" s="1"/>
  <c r="T441" i="33" s="1"/>
  <c r="R685" i="33"/>
  <c r="S685" i="33" s="1"/>
  <c r="T685" i="33" s="1"/>
  <c r="S885" i="33"/>
  <c r="U885" i="33" s="1"/>
  <c r="V885" i="33" s="1"/>
  <c r="R594" i="33"/>
  <c r="S594" i="33" s="1"/>
  <c r="R662" i="33"/>
  <c r="S662" i="33" s="1"/>
  <c r="T662" i="33" s="1"/>
  <c r="R827" i="33"/>
  <c r="S827" i="33" s="1"/>
  <c r="R844" i="33"/>
  <c r="S844" i="33" s="1"/>
  <c r="U844" i="33" s="1"/>
  <c r="V844" i="33" s="1"/>
  <c r="R300" i="33"/>
  <c r="S300" i="33" s="1"/>
  <c r="R889" i="33"/>
  <c r="S889" i="33" s="1"/>
  <c r="R260" i="33"/>
  <c r="S260" i="33" s="1"/>
  <c r="R962" i="33"/>
  <c r="S962" i="33" s="1"/>
  <c r="R567" i="33"/>
  <c r="S567" i="33" s="1"/>
  <c r="R965" i="33"/>
  <c r="S965" i="33" s="1"/>
  <c r="R796" i="33"/>
  <c r="S796" i="33" s="1"/>
  <c r="R1052" i="33"/>
  <c r="S1052" i="33" s="1"/>
  <c r="R893" i="33"/>
  <c r="S893" i="33" s="1"/>
  <c r="R446" i="33"/>
  <c r="S446" i="33" s="1"/>
  <c r="R861" i="33"/>
  <c r="S861" i="33" s="1"/>
  <c r="R94" i="33"/>
  <c r="S94" i="33" s="1"/>
  <c r="T94" i="33" s="1"/>
  <c r="R877" i="33"/>
  <c r="S877" i="33" s="1"/>
  <c r="U877" i="33" s="1"/>
  <c r="V877" i="33" s="1"/>
  <c r="R577" i="33"/>
  <c r="S577" i="33" s="1"/>
  <c r="B33" i="24"/>
  <c r="B273" i="23"/>
  <c r="B34" i="24" s="1"/>
  <c r="R45" i="33"/>
  <c r="S45" i="33" s="1"/>
  <c r="R63" i="33"/>
  <c r="S63" i="33" s="1"/>
  <c r="R408" i="33"/>
  <c r="S408" i="33" s="1"/>
  <c r="U408" i="33" s="1"/>
  <c r="V408" i="33" s="1"/>
  <c r="R133" i="33"/>
  <c r="S133" i="33" s="1"/>
  <c r="R48" i="33"/>
  <c r="S48" i="33" s="1"/>
  <c r="R477" i="33"/>
  <c r="S477" i="33" s="1"/>
  <c r="S480" i="33"/>
  <c r="U480" i="33" s="1"/>
  <c r="V480" i="33" s="1"/>
  <c r="R32" i="33"/>
  <c r="S32" i="33" s="1"/>
  <c r="R496" i="33"/>
  <c r="S496" i="33" s="1"/>
  <c r="R130" i="33"/>
  <c r="S130" i="33" s="1"/>
  <c r="R982" i="33"/>
  <c r="S982" i="33" s="1"/>
  <c r="R64" i="33"/>
  <c r="S64" i="33" s="1"/>
  <c r="T64" i="33" s="1"/>
  <c r="R655" i="33"/>
  <c r="S655" i="33" s="1"/>
  <c r="R708" i="33"/>
  <c r="S708" i="33" s="1"/>
  <c r="R826" i="33"/>
  <c r="S826" i="33" s="1"/>
  <c r="U826" i="33" s="1"/>
  <c r="V826" i="33" s="1"/>
  <c r="R114" i="33"/>
  <c r="S114" i="33" s="1"/>
  <c r="T114" i="33" s="1"/>
  <c r="S475" i="33"/>
  <c r="T475" i="33" s="1"/>
  <c r="R166" i="33"/>
  <c r="S166" i="33" s="1"/>
  <c r="R635" i="33"/>
  <c r="S635" i="33" s="1"/>
  <c r="R690" i="33"/>
  <c r="S690" i="33" s="1"/>
  <c r="S155" i="33"/>
  <c r="U155" i="33" s="1"/>
  <c r="V155" i="33" s="1"/>
  <c r="R41" i="33"/>
  <c r="S41" i="33" s="1"/>
  <c r="R383" i="33"/>
  <c r="S383" i="33" s="1"/>
  <c r="R59" i="33"/>
  <c r="S59" i="33" s="1"/>
  <c r="R398" i="33"/>
  <c r="S398" i="33" s="1"/>
  <c r="S211" i="33"/>
  <c r="R275" i="33"/>
  <c r="S275" i="33" s="1"/>
  <c r="R892" i="33"/>
  <c r="S892" i="33" s="1"/>
  <c r="R231" i="33"/>
  <c r="S231" i="33" s="1"/>
  <c r="R345" i="33"/>
  <c r="S345" i="33" s="1"/>
  <c r="R26" i="33"/>
  <c r="S26" i="33" s="1"/>
  <c r="R89" i="33"/>
  <c r="S89" i="33" s="1"/>
  <c r="R760" i="33"/>
  <c r="S760" i="33" s="1"/>
  <c r="R335" i="33"/>
  <c r="S335" i="33" s="1"/>
  <c r="U1017" i="33"/>
  <c r="V1017" i="33" s="1"/>
  <c r="T1059" i="33"/>
  <c r="R1045" i="33"/>
  <c r="S1045" i="33" s="1"/>
  <c r="U1045" i="33" s="1"/>
  <c r="V1045" i="33" s="1"/>
  <c r="R381" i="33"/>
  <c r="S381" i="33" s="1"/>
  <c r="R599" i="33"/>
  <c r="S599" i="33" s="1"/>
  <c r="R678" i="33"/>
  <c r="S678" i="33" s="1"/>
  <c r="R310" i="33"/>
  <c r="S310" i="33" s="1"/>
  <c r="R702" i="33"/>
  <c r="S702" i="33" s="1"/>
  <c r="U702" i="33" s="1"/>
  <c r="V702" i="33" s="1"/>
  <c r="R671" i="33"/>
  <c r="S671" i="33" s="1"/>
  <c r="R865" i="33"/>
  <c r="S865" i="33" s="1"/>
  <c r="U865" i="33" s="1"/>
  <c r="V865" i="33" s="1"/>
  <c r="R959" i="33"/>
  <c r="S959" i="33" s="1"/>
  <c r="R173" i="33"/>
  <c r="S173" i="33" s="1"/>
  <c r="R136" i="33"/>
  <c r="S136" i="33" s="1"/>
  <c r="R824" i="33"/>
  <c r="S824" i="33" s="1"/>
  <c r="R21" i="33"/>
  <c r="S21" i="33" s="1"/>
  <c r="T21" i="33" s="1"/>
  <c r="R176" i="33"/>
  <c r="S176" i="33" s="1"/>
  <c r="R233" i="33"/>
  <c r="S233" i="33" s="1"/>
  <c r="R35" i="33"/>
  <c r="S35" i="33" s="1"/>
  <c r="S785" i="33"/>
  <c r="R973" i="33"/>
  <c r="S973" i="33" s="1"/>
  <c r="R988" i="33"/>
  <c r="S988" i="33" s="1"/>
  <c r="R600" i="33"/>
  <c r="S600" i="33" s="1"/>
  <c r="R1021" i="33"/>
  <c r="S1021" i="33" s="1"/>
  <c r="S33" i="33"/>
  <c r="T33" i="33" s="1"/>
  <c r="R160" i="33"/>
  <c r="S160" i="33" s="1"/>
  <c r="T160" i="33" s="1"/>
  <c r="R100" i="33"/>
  <c r="S100" i="33" s="1"/>
  <c r="S943" i="33"/>
  <c r="R808" i="33"/>
  <c r="S808" i="33" s="1"/>
  <c r="R1018" i="33"/>
  <c r="S1018" i="33" s="1"/>
  <c r="R643" i="33"/>
  <c r="S643" i="33" s="1"/>
  <c r="R282" i="33"/>
  <c r="S282" i="33" s="1"/>
  <c r="R433" i="33"/>
  <c r="S433" i="33" s="1"/>
  <c r="T433" i="33" s="1"/>
  <c r="S627" i="33"/>
  <c r="R967" i="33"/>
  <c r="S967" i="33" s="1"/>
  <c r="R812" i="33"/>
  <c r="S812" i="33" s="1"/>
  <c r="R482" i="33"/>
  <c r="S482" i="33" s="1"/>
  <c r="U482" i="33" s="1"/>
  <c r="V482" i="33" s="1"/>
  <c r="R871" i="33"/>
  <c r="S871" i="33" s="1"/>
  <c r="U871" i="33" s="1"/>
  <c r="V871" i="33" s="1"/>
  <c r="R976" i="33"/>
  <c r="S976" i="33" s="1"/>
  <c r="R904" i="33"/>
  <c r="S904" i="33" s="1"/>
  <c r="U904" i="33" s="1"/>
  <c r="V904" i="33" s="1"/>
  <c r="R695" i="33"/>
  <c r="S695" i="33" s="1"/>
  <c r="U695" i="33" s="1"/>
  <c r="V695" i="33" s="1"/>
  <c r="R55" i="33"/>
  <c r="S55" i="33" s="1"/>
  <c r="U55" i="33" s="1"/>
  <c r="V55" i="33" s="1"/>
  <c r="R395" i="33"/>
  <c r="S395" i="33" s="1"/>
  <c r="T395" i="33" s="1"/>
  <c r="R387" i="33"/>
  <c r="S387" i="33" s="1"/>
  <c r="U387" i="33" s="1"/>
  <c r="V387" i="33" s="1"/>
  <c r="R294" i="33"/>
  <c r="S294" i="33" s="1"/>
  <c r="R777" i="33"/>
  <c r="S777" i="33" s="1"/>
  <c r="T777" i="33" s="1"/>
  <c r="R732" i="33"/>
  <c r="S732" i="33" s="1"/>
  <c r="S634" i="33"/>
  <c r="T634" i="33" s="1"/>
  <c r="R840" i="33"/>
  <c r="S840" i="33" s="1"/>
  <c r="S503" i="33"/>
  <c r="U503" i="33" s="1"/>
  <c r="V503" i="33" s="1"/>
  <c r="R404" i="33"/>
  <c r="S404" i="33" s="1"/>
  <c r="U228" i="33"/>
  <c r="V228" i="33" s="1"/>
  <c r="R272" i="33"/>
  <c r="S272" i="33" s="1"/>
  <c r="R487" i="33"/>
  <c r="S487" i="33" s="1"/>
  <c r="R1010" i="33"/>
  <c r="S1010" i="33" s="1"/>
  <c r="T1010" i="33" s="1"/>
  <c r="R615" i="33"/>
  <c r="S615" i="33" s="1"/>
  <c r="U872" i="33"/>
  <c r="V872" i="33" s="1"/>
  <c r="R106" i="33"/>
  <c r="S106" i="33" s="1"/>
  <c r="R281" i="33"/>
  <c r="S281" i="33" s="1"/>
  <c r="S866" i="33"/>
  <c r="R684" i="33"/>
  <c r="S684" i="33" s="1"/>
  <c r="R82" i="33"/>
  <c r="S82" i="33" s="1"/>
  <c r="U82" i="33" s="1"/>
  <c r="V82" i="33" s="1"/>
  <c r="S774" i="33"/>
  <c r="R658" i="33"/>
  <c r="S658" i="33" s="1"/>
  <c r="S243" i="33"/>
  <c r="U243" i="33" s="1"/>
  <c r="V243" i="33" s="1"/>
  <c r="R789" i="33"/>
  <c r="S789" i="33" s="1"/>
  <c r="R750" i="33"/>
  <c r="S750" i="33" s="1"/>
  <c r="R649" i="33"/>
  <c r="S649" i="33" s="1"/>
  <c r="R996" i="33"/>
  <c r="S996" i="33" s="1"/>
  <c r="R1000" i="33"/>
  <c r="S1000" i="33" s="1"/>
  <c r="R1001" i="33"/>
  <c r="S1001" i="33" s="1"/>
  <c r="R192" i="33"/>
  <c r="S192" i="33" s="1"/>
  <c r="S491" i="33"/>
  <c r="T491" i="33" s="1"/>
  <c r="R396" i="33"/>
  <c r="S396" i="33" s="1"/>
  <c r="S763" i="33"/>
  <c r="R972" i="33"/>
  <c r="S972" i="33" s="1"/>
  <c r="S781" i="33"/>
  <c r="R733" i="33"/>
  <c r="S733" i="33" s="1"/>
  <c r="R18" i="33"/>
  <c r="S18" i="33" s="1"/>
  <c r="R444" i="33"/>
  <c r="S444" i="33" s="1"/>
  <c r="R938" i="33"/>
  <c r="S938" i="33" s="1"/>
  <c r="R1006" i="33"/>
  <c r="S1006" i="33" s="1"/>
  <c r="R761" i="33"/>
  <c r="S761" i="33" s="1"/>
  <c r="S810" i="33"/>
  <c r="R586" i="33"/>
  <c r="S586" i="33" s="1"/>
  <c r="R776" i="33"/>
  <c r="S776" i="33" s="1"/>
  <c r="R212" i="33"/>
  <c r="S212" i="33" s="1"/>
  <c r="S169" i="33"/>
  <c r="U169" i="33" s="1"/>
  <c r="V169" i="33" s="1"/>
  <c r="R68" i="33"/>
  <c r="S68" i="33" s="1"/>
  <c r="R831" i="33"/>
  <c r="S831" i="33" s="1"/>
  <c r="S937" i="33"/>
  <c r="R562" i="33"/>
  <c r="S562" i="33" s="1"/>
  <c r="R723" i="33"/>
  <c r="S723" i="33" s="1"/>
  <c r="R580" i="33"/>
  <c r="S580" i="33" s="1"/>
  <c r="R344" i="33"/>
  <c r="S344" i="33" s="1"/>
  <c r="T344" i="33" s="1"/>
  <c r="R19" i="33"/>
  <c r="S19" i="33" s="1"/>
  <c r="U19" i="33" s="1"/>
  <c r="V19" i="33" s="1"/>
  <c r="S429" i="33"/>
  <c r="T429" i="33" s="1"/>
  <c r="R177" i="33"/>
  <c r="S177" i="33" s="1"/>
  <c r="T177" i="33" s="1"/>
  <c r="R312" i="33"/>
  <c r="S312" i="33" s="1"/>
  <c r="U312" i="33" s="1"/>
  <c r="V312" i="33" s="1"/>
  <c r="R500" i="33"/>
  <c r="S500" i="33" s="1"/>
  <c r="R172" i="33"/>
  <c r="S172" i="33" s="1"/>
  <c r="U172" i="33" s="1"/>
  <c r="V172" i="33" s="1"/>
  <c r="R121" i="33"/>
  <c r="S121" i="33" s="1"/>
  <c r="R205" i="33"/>
  <c r="S205" i="33" s="1"/>
  <c r="U205" i="33" s="1"/>
  <c r="V205" i="33" s="1"/>
  <c r="R351" i="33"/>
  <c r="S351" i="33" s="1"/>
  <c r="S552" i="33"/>
  <c r="R1051" i="33"/>
  <c r="S1051" i="33" s="1"/>
  <c r="S369" i="33"/>
  <c r="T369" i="33" s="1"/>
  <c r="R688" i="33"/>
  <c r="S688" i="33" s="1"/>
  <c r="R709" i="33"/>
  <c r="S709" i="33" s="1"/>
  <c r="R435" i="33"/>
  <c r="S435" i="33" s="1"/>
  <c r="U435" i="33" s="1"/>
  <c r="V435" i="33" s="1"/>
  <c r="R49" i="33"/>
  <c r="S49" i="33" s="1"/>
  <c r="S83" i="33"/>
  <c r="R1043" i="33"/>
  <c r="S1043" i="33" s="1"/>
  <c r="R800" i="33"/>
  <c r="S800" i="33" s="1"/>
  <c r="U679" i="33"/>
  <c r="V679" i="33" s="1"/>
  <c r="T721" i="33"/>
  <c r="R240" i="33"/>
  <c r="S240" i="33" s="1"/>
  <c r="T240" i="33" s="1"/>
  <c r="R302" i="33"/>
  <c r="S302" i="33" s="1"/>
  <c r="R683" i="33"/>
  <c r="S683" i="33" s="1"/>
  <c r="S1058" i="33"/>
  <c r="R504" i="33"/>
  <c r="S504" i="33" s="1"/>
  <c r="R54" i="33"/>
  <c r="S54" i="33" s="1"/>
  <c r="U54" i="33" s="1"/>
  <c r="V54" i="33" s="1"/>
  <c r="T788" i="33"/>
  <c r="R573" i="33"/>
  <c r="S573" i="33" s="1"/>
  <c r="R858" i="33"/>
  <c r="S858" i="33" s="1"/>
  <c r="R712" i="33"/>
  <c r="S712" i="33" s="1"/>
  <c r="R883" i="33"/>
  <c r="S883" i="33" s="1"/>
  <c r="S331" i="33"/>
  <c r="R318" i="33"/>
  <c r="S318" i="33" s="1"/>
  <c r="U318" i="33" s="1"/>
  <c r="V318" i="33" s="1"/>
  <c r="R466" i="33"/>
  <c r="S466" i="33" s="1"/>
  <c r="S860" i="33"/>
  <c r="R694" i="33"/>
  <c r="S694" i="33" s="1"/>
  <c r="R125" i="33"/>
  <c r="S125" i="33" s="1"/>
  <c r="T125" i="33" s="1"/>
  <c r="R528" i="33"/>
  <c r="S528" i="33" s="1"/>
  <c r="U528" i="33" s="1"/>
  <c r="V528" i="33" s="1"/>
  <c r="R499" i="33"/>
  <c r="S499" i="33" s="1"/>
  <c r="S728" i="33"/>
  <c r="U728" i="33" s="1"/>
  <c r="V728" i="33" s="1"/>
  <c r="R762" i="33"/>
  <c r="S762" i="33" s="1"/>
  <c r="R128" i="33"/>
  <c r="S128" i="33" s="1"/>
  <c r="R430" i="33"/>
  <c r="S430" i="33" s="1"/>
  <c r="R945" i="33"/>
  <c r="S945" i="33" s="1"/>
  <c r="R846" i="33"/>
  <c r="S846" i="33" s="1"/>
  <c r="T846" i="33" s="1"/>
  <c r="C273" i="23"/>
  <c r="C34" i="24" s="1"/>
  <c r="C33" i="24"/>
  <c r="R378" i="33"/>
  <c r="S378" i="33" s="1"/>
  <c r="S652" i="33"/>
  <c r="R201" i="33"/>
  <c r="S201" i="33" s="1"/>
  <c r="R256" i="33"/>
  <c r="S256" i="33" s="1"/>
  <c r="R174" i="33"/>
  <c r="S174" i="33" s="1"/>
  <c r="U174" i="33" s="1"/>
  <c r="V174" i="33" s="1"/>
  <c r="R198" i="33"/>
  <c r="S198" i="33" s="1"/>
  <c r="U198" i="33" s="1"/>
  <c r="V198" i="33" s="1"/>
  <c r="S306" i="33"/>
  <c r="S509" i="33"/>
  <c r="U509" i="33" s="1"/>
  <c r="V509" i="33" s="1"/>
  <c r="R66" i="33"/>
  <c r="S66" i="33" s="1"/>
  <c r="R431" i="33"/>
  <c r="S431" i="33" s="1"/>
  <c r="R371" i="33"/>
  <c r="S371" i="33" s="1"/>
  <c r="U921" i="33"/>
  <c r="V921" i="33" s="1"/>
  <c r="R327" i="33"/>
  <c r="S327" i="33" s="1"/>
  <c r="R70" i="33"/>
  <c r="S70" i="33" s="1"/>
  <c r="R570" i="33"/>
  <c r="S570" i="33" s="1"/>
  <c r="R120" i="33"/>
  <c r="S120" i="33" s="1"/>
  <c r="S278" i="33"/>
  <c r="R220" i="33"/>
  <c r="S220" i="33" s="1"/>
  <c r="R1020" i="33"/>
  <c r="S1020" i="33" s="1"/>
  <c r="R610" i="33"/>
  <c r="S610" i="33" s="1"/>
  <c r="R663" i="33"/>
  <c r="S663" i="33" s="1"/>
  <c r="R814" i="33"/>
  <c r="S814" i="33" s="1"/>
  <c r="R1046" i="33"/>
  <c r="S1046" i="33" s="1"/>
  <c r="R391" i="33"/>
  <c r="S391" i="33" s="1"/>
  <c r="R749" i="33"/>
  <c r="S749" i="33" s="1"/>
  <c r="R510" i="33"/>
  <c r="S510" i="33" s="1"/>
  <c r="R31" i="33"/>
  <c r="S31" i="33" s="1"/>
  <c r="R526" i="33"/>
  <c r="S526" i="33" s="1"/>
  <c r="R196" i="33"/>
  <c r="S196" i="33" s="1"/>
  <c r="R473" i="33"/>
  <c r="S473" i="33" s="1"/>
  <c r="S50" i="33"/>
  <c r="S365" i="33"/>
  <c r="R629" i="33"/>
  <c r="S629" i="33" s="1"/>
  <c r="R1028" i="33"/>
  <c r="S1028" i="33" s="1"/>
  <c r="R301" i="33"/>
  <c r="S301" i="33" s="1"/>
  <c r="U301" i="33" s="1"/>
  <c r="V301" i="33" s="1"/>
  <c r="S367" i="33"/>
  <c r="R123" i="33"/>
  <c r="S123" i="33" s="1"/>
  <c r="R76" i="33"/>
  <c r="S76" i="33" s="1"/>
  <c r="R22" i="33"/>
  <c r="S22" i="33" s="1"/>
  <c r="R202" i="33"/>
  <c r="S202" i="33" s="1"/>
  <c r="R353" i="33"/>
  <c r="S353" i="33" s="1"/>
  <c r="R389" i="33"/>
  <c r="S389" i="33" s="1"/>
  <c r="R215" i="33"/>
  <c r="S215" i="33" s="1"/>
  <c r="R186" i="33"/>
  <c r="S186" i="33" s="1"/>
  <c r="R906" i="33"/>
  <c r="S906" i="33" s="1"/>
  <c r="R416" i="33"/>
  <c r="S416" i="33" s="1"/>
  <c r="U416" i="33" s="1"/>
  <c r="V416" i="33" s="1"/>
  <c r="R452" i="33"/>
  <c r="S452" i="33" s="1"/>
  <c r="U452" i="33" s="1"/>
  <c r="V452" i="33" s="1"/>
  <c r="R34" i="33"/>
  <c r="S34" i="33" s="1"/>
  <c r="R213" i="33"/>
  <c r="S213" i="33" s="1"/>
  <c r="R376" i="33"/>
  <c r="S376" i="33" s="1"/>
  <c r="U376" i="33" s="1"/>
  <c r="V376" i="33" s="1"/>
  <c r="R565" i="33"/>
  <c r="S565" i="33" s="1"/>
  <c r="U565" i="33" s="1"/>
  <c r="V565" i="33" s="1"/>
  <c r="S506" i="33"/>
  <c r="T506" i="33" s="1"/>
  <c r="R338" i="33"/>
  <c r="S338" i="33" s="1"/>
  <c r="R71" i="33"/>
  <c r="S71" i="33" s="1"/>
  <c r="T71" i="33" s="1"/>
  <c r="R927" i="33"/>
  <c r="S927" i="33" s="1"/>
  <c r="T927" i="33" s="1"/>
  <c r="R606" i="33"/>
  <c r="S606" i="33" s="1"/>
  <c r="R966" i="33"/>
  <c r="S966" i="33" s="1"/>
  <c r="R86" i="33"/>
  <c r="S86" i="33" s="1"/>
  <c r="R268" i="33"/>
  <c r="S268" i="33" s="1"/>
  <c r="R520" i="33"/>
  <c r="S520" i="33" s="1"/>
  <c r="R687" i="33"/>
  <c r="S687" i="33" s="1"/>
  <c r="R745" i="33"/>
  <c r="S745" i="33" s="1"/>
  <c r="R784" i="33"/>
  <c r="S784" i="33" s="1"/>
  <c r="R508" i="33"/>
  <c r="S508" i="33" s="1"/>
  <c r="R293" i="33"/>
  <c r="S293" i="33" s="1"/>
  <c r="S619" i="33"/>
  <c r="R898" i="33"/>
  <c r="S898" i="33" s="1"/>
  <c r="S910" i="33"/>
  <c r="R596" i="33"/>
  <c r="S596" i="33" s="1"/>
  <c r="R1042" i="33"/>
  <c r="S1042" i="33" s="1"/>
  <c r="R360" i="33"/>
  <c r="S360" i="33" s="1"/>
  <c r="T360" i="33" s="1"/>
  <c r="R326" i="33"/>
  <c r="S326" i="33" s="1"/>
  <c r="R298" i="33"/>
  <c r="S298" i="33" s="1"/>
  <c r="R458" i="33"/>
  <c r="S458" i="33" s="1"/>
  <c r="R159" i="33"/>
  <c r="S159" i="33" s="1"/>
  <c r="R152" i="33"/>
  <c r="S152" i="33" s="1"/>
  <c r="R990" i="33"/>
  <c r="S990" i="33" s="1"/>
  <c r="R859" i="33"/>
  <c r="S859" i="33" s="1"/>
  <c r="R576" i="33"/>
  <c r="S576" i="33" s="1"/>
  <c r="T714" i="33"/>
  <c r="R84" i="33"/>
  <c r="S84" i="33" s="1"/>
  <c r="U84" i="33" s="1"/>
  <c r="V84" i="33" s="1"/>
  <c r="R362" i="33"/>
  <c r="S362" i="33" s="1"/>
  <c r="R219" i="33"/>
  <c r="S219" i="33" s="1"/>
  <c r="R74" i="33"/>
  <c r="S74" i="33" s="1"/>
  <c r="R469" i="33"/>
  <c r="S469" i="33" s="1"/>
  <c r="R230" i="33"/>
  <c r="S230" i="33" s="1"/>
  <c r="R457" i="33"/>
  <c r="S457" i="33" s="1"/>
  <c r="R150" i="33"/>
  <c r="S150" i="33" s="1"/>
  <c r="R178" i="33"/>
  <c r="S178" i="33" s="1"/>
  <c r="R1060" i="33"/>
  <c r="S1060" i="33" s="1"/>
  <c r="T1050" i="33"/>
  <c r="S237" i="33"/>
  <c r="R527" i="33"/>
  <c r="S527" i="33" s="1"/>
  <c r="R375" i="33"/>
  <c r="S375" i="33" s="1"/>
  <c r="R983" i="33"/>
  <c r="S983" i="33" s="1"/>
  <c r="S414" i="33"/>
  <c r="R143" i="33"/>
  <c r="S143" i="33" s="1"/>
  <c r="R236" i="33"/>
  <c r="S236" i="33" s="1"/>
  <c r="R645" i="33"/>
  <c r="S645" i="33" s="1"/>
  <c r="R597" i="33"/>
  <c r="S597" i="33" s="1"/>
  <c r="S818" i="33"/>
  <c r="R899" i="33"/>
  <c r="S899" i="33" s="1"/>
  <c r="S317" i="33"/>
  <c r="T317" i="33" s="1"/>
  <c r="R291" i="33"/>
  <c r="S291" i="33" s="1"/>
  <c r="R1038" i="33"/>
  <c r="S1038" i="33" s="1"/>
  <c r="R1026" i="33"/>
  <c r="S1026" i="33" s="1"/>
  <c r="R253" i="33"/>
  <c r="S253" i="33" s="1"/>
  <c r="R476" i="33"/>
  <c r="S476" i="33" s="1"/>
  <c r="S436" i="33"/>
  <c r="R873" i="33"/>
  <c r="S873" i="33" s="1"/>
  <c r="R787" i="33"/>
  <c r="S787" i="33" s="1"/>
  <c r="R1004" i="33"/>
  <c r="S1004" i="33" s="1"/>
  <c r="R790" i="33"/>
  <c r="S790" i="33" s="1"/>
  <c r="R891" i="33"/>
  <c r="S891" i="33" s="1"/>
  <c r="R896" i="33"/>
  <c r="S896" i="33" s="1"/>
  <c r="R887" i="33"/>
  <c r="S887" i="33" s="1"/>
  <c r="R850" i="33"/>
  <c r="S850" i="33" s="1"/>
  <c r="R633" i="33"/>
  <c r="S633" i="33" s="1"/>
  <c r="R644" i="33"/>
  <c r="S644" i="33" s="1"/>
  <c r="R425" i="33"/>
  <c r="S425" i="33" s="1"/>
  <c r="T661" i="33"/>
  <c r="S434" i="33"/>
  <c r="R456" i="33"/>
  <c r="S456" i="33" s="1"/>
  <c r="R187" i="33"/>
  <c r="S187" i="33" s="1"/>
  <c r="R358" i="33"/>
  <c r="S358" i="33" s="1"/>
  <c r="R489" i="33"/>
  <c r="S489" i="33" s="1"/>
  <c r="S969" i="33"/>
  <c r="R748" i="33"/>
  <c r="S748" i="33" s="1"/>
  <c r="R946" i="33"/>
  <c r="S946" i="33" s="1"/>
  <c r="R995" i="33"/>
  <c r="S995" i="33" s="1"/>
  <c r="R616" i="33"/>
  <c r="S616" i="33" s="1"/>
  <c r="R659" i="33"/>
  <c r="S659" i="33" s="1"/>
  <c r="R632" i="33"/>
  <c r="S632" i="33" s="1"/>
  <c r="R481" i="33"/>
  <c r="S481" i="33" s="1"/>
  <c r="R135" i="33"/>
  <c r="S135" i="33" s="1"/>
  <c r="R43" i="33"/>
  <c r="S43" i="33" s="1"/>
  <c r="R175" i="33"/>
  <c r="S175" i="33" s="1"/>
  <c r="R529" i="33"/>
  <c r="S529" i="33" s="1"/>
  <c r="R511" i="33"/>
  <c r="S511" i="33" s="1"/>
  <c r="R727" i="33"/>
  <c r="S727" i="33" s="1"/>
  <c r="T1062" i="33"/>
  <c r="R388" i="33"/>
  <c r="S388" i="33" s="1"/>
  <c r="R346" i="33"/>
  <c r="S346" i="33" s="1"/>
  <c r="R144" i="33"/>
  <c r="S144" i="33" s="1"/>
  <c r="R418" i="33"/>
  <c r="S418" i="33" s="1"/>
  <c r="R204" i="33"/>
  <c r="S204" i="33" s="1"/>
  <c r="R191" i="33"/>
  <c r="S191" i="33" s="1"/>
  <c r="R443" i="33"/>
  <c r="S443" i="33" s="1"/>
  <c r="R332" i="33"/>
  <c r="S332" i="33" s="1"/>
  <c r="R101" i="33"/>
  <c r="S101" i="33" s="1"/>
  <c r="S952" i="33"/>
  <c r="R409" i="33"/>
  <c r="S409" i="33" s="1"/>
  <c r="R323" i="33"/>
  <c r="S323" i="33" s="1"/>
  <c r="R195" i="33"/>
  <c r="S195" i="33" s="1"/>
  <c r="R497" i="33"/>
  <c r="S497" i="33" s="1"/>
  <c r="R483" i="33"/>
  <c r="S483" i="33" s="1"/>
  <c r="R397" i="33"/>
  <c r="S397" i="33" s="1"/>
  <c r="R248" i="33"/>
  <c r="S248" i="33" s="1"/>
  <c r="R682" i="33"/>
  <c r="S682" i="33" s="1"/>
  <c r="R839" i="33"/>
  <c r="S839" i="33" s="1"/>
  <c r="R881" i="33"/>
  <c r="S881" i="33" s="1"/>
  <c r="R73" i="33"/>
  <c r="S73" i="33" s="1"/>
  <c r="R87" i="33"/>
  <c r="S87" i="33" s="1"/>
  <c r="R507" i="33"/>
  <c r="S507" i="33" s="1"/>
  <c r="R876" i="33"/>
  <c r="S876" i="33" s="1"/>
  <c r="S197" i="33"/>
  <c r="R46" i="33"/>
  <c r="S46" i="33" s="1"/>
  <c r="R79" i="33"/>
  <c r="S79" i="33" s="1"/>
  <c r="R67" i="33"/>
  <c r="S67" i="33" s="1"/>
  <c r="R468" i="33"/>
  <c r="S468" i="33" s="1"/>
  <c r="S218" i="33"/>
  <c r="R30" i="33"/>
  <c r="S30" i="33" s="1"/>
  <c r="R127" i="33"/>
  <c r="S127" i="33" s="1"/>
  <c r="R234" i="33"/>
  <c r="S234" i="33" s="1"/>
  <c r="R767" i="33"/>
  <c r="S767" i="33" s="1"/>
  <c r="S677" i="33"/>
  <c r="R949" i="33"/>
  <c r="S949" i="33" s="1"/>
  <c r="R692" i="33"/>
  <c r="S692" i="33" s="1"/>
  <c r="R713" i="33"/>
  <c r="S713" i="33" s="1"/>
  <c r="R830" i="33"/>
  <c r="S830" i="33" s="1"/>
  <c r="R771" i="33"/>
  <c r="S771" i="33" s="1"/>
  <c r="U759" i="33"/>
  <c r="V759" i="33" s="1"/>
  <c r="R110" i="33"/>
  <c r="S110" i="33" s="1"/>
  <c r="R134" i="33"/>
  <c r="S134" i="33" s="1"/>
  <c r="S330" i="33"/>
  <c r="R407" i="33"/>
  <c r="S407" i="33" s="1"/>
  <c r="R792" i="33"/>
  <c r="S792" i="33" s="1"/>
  <c r="S851" i="33"/>
  <c r="S816" i="33"/>
  <c r="R207" i="33"/>
  <c r="S207" i="33" s="1"/>
  <c r="R224" i="33"/>
  <c r="S224" i="33" s="1"/>
  <c r="R336" i="33"/>
  <c r="S336" i="33" s="1"/>
  <c r="R303" i="33"/>
  <c r="S303" i="33" s="1"/>
  <c r="R575" i="33"/>
  <c r="S575" i="33" s="1"/>
  <c r="R775" i="33"/>
  <c r="S775" i="33" s="1"/>
  <c r="S920" i="33"/>
  <c r="S266" i="33"/>
  <c r="R422" i="33"/>
  <c r="S422" i="33" s="1"/>
  <c r="R232" i="33"/>
  <c r="S232" i="33" s="1"/>
  <c r="S490" i="33"/>
  <c r="R258" i="33"/>
  <c r="S258" i="33" s="1"/>
  <c r="R1031" i="33"/>
  <c r="S1031" i="33" s="1"/>
  <c r="R1056" i="33"/>
  <c r="S1056" i="33" s="1"/>
  <c r="R595" i="33"/>
  <c r="S595" i="33" s="1"/>
  <c r="R263" i="33"/>
  <c r="S263" i="33" s="1"/>
  <c r="R189" i="33"/>
  <c r="S189" i="33" s="1"/>
  <c r="S843" i="33"/>
  <c r="S247" i="33"/>
  <c r="S27" i="33"/>
  <c r="S284" i="33"/>
  <c r="R421" i="33"/>
  <c r="S421" i="33" s="1"/>
  <c r="R72" i="33"/>
  <c r="S72" i="33" s="1"/>
  <c r="R454" i="33"/>
  <c r="S454" i="33" s="1"/>
  <c r="R419" i="33"/>
  <c r="S419" i="33" s="1"/>
  <c r="R373" i="33"/>
  <c r="S373" i="33" s="1"/>
  <c r="R451" i="33"/>
  <c r="S451" i="33" s="1"/>
  <c r="R307" i="33"/>
  <c r="S307" i="33" s="1"/>
  <c r="R505" i="33"/>
  <c r="S505" i="33" s="1"/>
  <c r="R320" i="33"/>
  <c r="S320" i="33" s="1"/>
  <c r="R203" i="33"/>
  <c r="S203" i="33" s="1"/>
  <c r="R403" i="33"/>
  <c r="S403" i="33" s="1"/>
  <c r="R411" i="33"/>
  <c r="S411" i="33" s="1"/>
  <c r="R131" i="33"/>
  <c r="S131" i="33" s="1"/>
  <c r="R171" i="33"/>
  <c r="S171" i="33" s="1"/>
  <c r="R151" i="33"/>
  <c r="S151" i="33" s="1"/>
  <c r="R970" i="33"/>
  <c r="S970" i="33" s="1"/>
  <c r="R797" i="33"/>
  <c r="S797" i="33" s="1"/>
  <c r="R681" i="33"/>
  <c r="S681" i="33" s="1"/>
  <c r="R593" i="33"/>
  <c r="S593" i="33" s="1"/>
  <c r="S835" i="33"/>
  <c r="R742" i="33"/>
  <c r="S742" i="33" s="1"/>
  <c r="R589" i="33"/>
  <c r="S589" i="33" s="1"/>
  <c r="R878" i="33"/>
  <c r="S878" i="33" s="1"/>
  <c r="R625" i="33"/>
  <c r="S625" i="33" s="1"/>
  <c r="R730" i="33"/>
  <c r="S730" i="33" s="1"/>
  <c r="R657" i="33"/>
  <c r="S657" i="33" s="1"/>
  <c r="S1048" i="33"/>
  <c r="S717" i="33"/>
  <c r="R905" i="33"/>
  <c r="S905" i="33" s="1"/>
  <c r="R626" i="33"/>
  <c r="S626" i="33" s="1"/>
  <c r="R579" i="33"/>
  <c r="S579" i="33" s="1"/>
  <c r="R936" i="33"/>
  <c r="S936" i="33" s="1"/>
  <c r="R698" i="33"/>
  <c r="S698" i="33" s="1"/>
  <c r="R803" i="33"/>
  <c r="S803" i="33" s="1"/>
  <c r="R718" i="33"/>
  <c r="S718" i="33" s="1"/>
  <c r="R766" i="33"/>
  <c r="S766" i="33" s="1"/>
  <c r="R999" i="33"/>
  <c r="S999" i="33" s="1"/>
  <c r="R795" i="33"/>
  <c r="S795" i="33" s="1"/>
  <c r="R556" i="33"/>
  <c r="S556" i="33" s="1"/>
  <c r="R1055" i="33"/>
  <c r="S1055" i="33" s="1"/>
  <c r="R227" i="33"/>
  <c r="S227" i="33" s="1"/>
  <c r="R98" i="33"/>
  <c r="S98" i="33" s="1"/>
  <c r="R288" i="33"/>
  <c r="S288" i="33" s="1"/>
  <c r="R410" i="33"/>
  <c r="S410" i="33" s="1"/>
  <c r="R368" i="33"/>
  <c r="S368" i="33" s="1"/>
  <c r="R264" i="33"/>
  <c r="S264" i="33" s="1"/>
  <c r="R252" i="33"/>
  <c r="S252" i="33" s="1"/>
  <c r="R523" i="33"/>
  <c r="S523" i="33" s="1"/>
  <c r="R251" i="33"/>
  <c r="S251" i="33" s="1"/>
  <c r="R385" i="33"/>
  <c r="S385" i="33" s="1"/>
  <c r="R334" i="33"/>
  <c r="S334" i="33" s="1"/>
  <c r="R118" i="33"/>
  <c r="S118" i="33" s="1"/>
  <c r="R437" i="33"/>
  <c r="S437" i="33" s="1"/>
  <c r="R105" i="33"/>
  <c r="S105" i="33" s="1"/>
  <c r="R276" i="33"/>
  <c r="S276" i="33" s="1"/>
  <c r="R283" i="33"/>
  <c r="S283" i="33" s="1"/>
  <c r="R917" i="33"/>
  <c r="S917" i="33" s="1"/>
  <c r="R823" i="33"/>
  <c r="S823" i="33" s="1"/>
  <c r="R852" i="33"/>
  <c r="S852" i="33" s="1"/>
  <c r="R880" i="33"/>
  <c r="S880" i="33" s="1"/>
  <c r="R557" i="33"/>
  <c r="S557" i="33" s="1"/>
  <c r="R1016" i="33"/>
  <c r="S1016" i="33" s="1"/>
  <c r="R925" i="33"/>
  <c r="S925" i="33" s="1"/>
  <c r="R944" i="33"/>
  <c r="S944" i="33" s="1"/>
  <c r="R605" i="33"/>
  <c r="S605" i="33" s="1"/>
  <c r="R998" i="33"/>
  <c r="S998" i="33" s="1"/>
  <c r="R691" i="33"/>
  <c r="S691" i="33" s="1"/>
  <c r="R734" i="33"/>
  <c r="S734" i="33" s="1"/>
  <c r="R806" i="33"/>
  <c r="S806" i="33" s="1"/>
  <c r="R923" i="33"/>
  <c r="S923" i="33" s="1"/>
  <c r="R932" i="33"/>
  <c r="S932" i="33" s="1"/>
  <c r="R1054" i="33"/>
  <c r="S1054" i="33" s="1"/>
  <c r="R623" i="33"/>
  <c r="S623" i="33" s="1"/>
  <c r="R706" i="33"/>
  <c r="S706" i="33" s="1"/>
  <c r="R754" i="33"/>
  <c r="S754" i="33" s="1"/>
  <c r="R1019" i="33"/>
  <c r="S1019" i="33" s="1"/>
  <c r="R377" i="33"/>
  <c r="S377" i="33" s="1"/>
  <c r="R107" i="33"/>
  <c r="S107" i="33" s="1"/>
  <c r="R415" i="33"/>
  <c r="S415" i="33" s="1"/>
  <c r="R226" i="33"/>
  <c r="S226" i="33" s="1"/>
  <c r="R137" i="33"/>
  <c r="S137" i="33" s="1"/>
  <c r="R356" i="33"/>
  <c r="S356" i="33" s="1"/>
  <c r="R442" i="33"/>
  <c r="S442" i="33" s="1"/>
  <c r="R486" i="33"/>
  <c r="S486" i="33" s="1"/>
  <c r="R119" i="33"/>
  <c r="S119" i="33" s="1"/>
  <c r="R525" i="33"/>
  <c r="S525" i="33" s="1"/>
  <c r="R57" i="33"/>
  <c r="S57" i="33" s="1"/>
  <c r="R147" i="33"/>
  <c r="S147" i="33" s="1"/>
  <c r="R112" i="33"/>
  <c r="S112" i="33" s="1"/>
  <c r="R157" i="33"/>
  <c r="S157" i="33" s="1"/>
  <c r="R512" i="33"/>
  <c r="S512" i="33" s="1"/>
  <c r="R24" i="33"/>
  <c r="S24" i="33" s="1"/>
  <c r="R250" i="33"/>
  <c r="S250" i="33" s="1"/>
  <c r="R257" i="33"/>
  <c r="S257" i="33" s="1"/>
  <c r="R28" i="33"/>
  <c r="S28" i="33" s="1"/>
  <c r="R111" i="33"/>
  <c r="S111" i="33" s="1"/>
  <c r="R274" i="33"/>
  <c r="S274" i="33" s="1"/>
  <c r="R495" i="33"/>
  <c r="S495" i="33" s="1"/>
  <c r="R122" i="33"/>
  <c r="S122" i="33" s="1"/>
  <c r="R309" i="33"/>
  <c r="S309" i="33" s="1"/>
  <c r="S930" i="33"/>
  <c r="S975" i="33"/>
  <c r="R699" i="33"/>
  <c r="S699" i="33" s="1"/>
  <c r="R739" i="33"/>
  <c r="S739" i="33" s="1"/>
  <c r="R879" i="33"/>
  <c r="S879" i="33" s="1"/>
  <c r="R994" i="33"/>
  <c r="S994" i="33" s="1"/>
  <c r="R590" i="33"/>
  <c r="S590" i="33" s="1"/>
  <c r="R646" i="33"/>
  <c r="S646" i="33" s="1"/>
  <c r="R624" i="33"/>
  <c r="S624" i="33" s="1"/>
  <c r="R764" i="33"/>
  <c r="S764" i="33" s="1"/>
  <c r="R964" i="33"/>
  <c r="S964" i="33" s="1"/>
  <c r="R1025" i="33"/>
  <c r="S1025" i="33" s="1"/>
  <c r="R568" i="33"/>
  <c r="S568" i="33" s="1"/>
  <c r="R553" i="33"/>
  <c r="S553" i="33" s="1"/>
  <c r="R842" i="33"/>
  <c r="S842" i="33" s="1"/>
  <c r="R755" i="33"/>
  <c r="S755" i="33" s="1"/>
  <c r="S735" i="33"/>
  <c r="R667" i="33"/>
  <c r="S667" i="33" s="1"/>
  <c r="R1039" i="33"/>
  <c r="S1039" i="33" s="1"/>
  <c r="R641" i="33"/>
  <c r="S641" i="33" s="1"/>
  <c r="R955" i="33"/>
  <c r="S955" i="33" s="1"/>
  <c r="R934" i="33"/>
  <c r="S934" i="33" s="1"/>
  <c r="R295" i="33"/>
  <c r="S295" i="33" s="1"/>
  <c r="S235" i="33"/>
  <c r="R463" i="33"/>
  <c r="S463" i="33" s="1"/>
  <c r="R428" i="33"/>
  <c r="S428" i="33" s="1"/>
  <c r="R440" i="33"/>
  <c r="S440" i="33" s="1"/>
  <c r="R77" i="33"/>
  <c r="S77" i="33" s="1"/>
  <c r="R241" i="33"/>
  <c r="S241" i="33" s="1"/>
  <c r="R316" i="33"/>
  <c r="S316" i="33" s="1"/>
  <c r="R124" i="33"/>
  <c r="S124" i="33" s="1"/>
  <c r="R502" i="33"/>
  <c r="S502" i="33" s="1"/>
  <c r="R513" i="33"/>
  <c r="S513" i="33" s="1"/>
  <c r="R246" i="33"/>
  <c r="S246" i="33" s="1"/>
  <c r="R154" i="33"/>
  <c r="S154" i="33" s="1"/>
  <c r="R279" i="33"/>
  <c r="S279" i="33" s="1"/>
  <c r="R90" i="33"/>
  <c r="S90" i="33" s="1"/>
  <c r="R522" i="33"/>
  <c r="S522" i="33" s="1"/>
  <c r="R325" i="33"/>
  <c r="S325" i="33" s="1"/>
  <c r="R180" i="33"/>
  <c r="S180" i="33" s="1"/>
  <c r="R249" i="33"/>
  <c r="S249" i="33" s="1"/>
  <c r="R341" i="33"/>
  <c r="S341" i="33" s="1"/>
  <c r="R223" i="33"/>
  <c r="S223" i="33" s="1"/>
  <c r="R400" i="33"/>
  <c r="S400" i="33" s="1"/>
  <c r="R471" i="33"/>
  <c r="S471" i="33" s="1"/>
  <c r="R470" i="33"/>
  <c r="S470" i="33" s="1"/>
  <c r="R386" i="33"/>
  <c r="S386" i="33" s="1"/>
  <c r="R158" i="33"/>
  <c r="S158" i="33" s="1"/>
  <c r="R954" i="33"/>
  <c r="S954" i="33" s="1"/>
  <c r="R741" i="33"/>
  <c r="S741" i="33" s="1"/>
  <c r="R903" i="33"/>
  <c r="S903" i="33" s="1"/>
  <c r="R603" i="33"/>
  <c r="S603" i="33" s="1"/>
  <c r="S957" i="33"/>
  <c r="R582" i="33"/>
  <c r="S582" i="33" s="1"/>
  <c r="R948" i="33"/>
  <c r="S948" i="33" s="1"/>
  <c r="R822" i="33"/>
  <c r="S822" i="33" s="1"/>
  <c r="R1044" i="33"/>
  <c r="S1044" i="33" s="1"/>
  <c r="R676" i="33"/>
  <c r="S676" i="33" s="1"/>
  <c r="R555" i="33"/>
  <c r="S555" i="33" s="1"/>
  <c r="R833" i="33"/>
  <c r="S833" i="33" s="1"/>
  <c r="R829" i="33"/>
  <c r="S829" i="33" s="1"/>
  <c r="R888" i="33"/>
  <c r="S888" i="33" s="1"/>
  <c r="R642" i="33"/>
  <c r="S642" i="33" s="1"/>
  <c r="R882" i="33"/>
  <c r="S882" i="33" s="1"/>
  <c r="R811" i="33"/>
  <c r="S811" i="33" s="1"/>
  <c r="R640" i="33"/>
  <c r="S640" i="33" s="1"/>
  <c r="R1047" i="33"/>
  <c r="S1047" i="33" s="1"/>
  <c r="R1011" i="33"/>
  <c r="S1011" i="33" s="1"/>
  <c r="R1041" i="33"/>
  <c r="S1041" i="33" s="1"/>
  <c r="R648" i="33"/>
  <c r="S648" i="33" s="1"/>
  <c r="R780" i="33"/>
  <c r="S780" i="33" s="1"/>
  <c r="R569" i="33"/>
  <c r="S569" i="33" s="1"/>
  <c r="R729" i="33"/>
  <c r="S729" i="33" s="1"/>
  <c r="S770" i="33"/>
  <c r="S985" i="33"/>
  <c r="R820" i="33"/>
  <c r="S820" i="33" s="1"/>
  <c r="R563" i="33"/>
  <c r="S563" i="33" s="1"/>
  <c r="R665" i="33"/>
  <c r="S665" i="33" s="1"/>
  <c r="R895" i="33"/>
  <c r="S895" i="33" s="1"/>
  <c r="R753" i="33"/>
  <c r="S753" i="33" s="1"/>
  <c r="R292" i="33"/>
  <c r="S292" i="33" s="1"/>
  <c r="R108" i="33"/>
  <c r="S108" i="33" s="1"/>
  <c r="R304" i="33"/>
  <c r="S304" i="33" s="1"/>
  <c r="R453" i="33"/>
  <c r="S453" i="33" s="1"/>
  <c r="R145" i="33"/>
  <c r="S145" i="33" s="1"/>
  <c r="R117" i="33"/>
  <c r="S117" i="33" s="1"/>
  <c r="R350" i="33"/>
  <c r="S350" i="33" s="1"/>
  <c r="R305" i="33"/>
  <c r="S305" i="33" s="1"/>
  <c r="R95" i="33"/>
  <c r="S95" i="33" s="1"/>
  <c r="R53" i="33"/>
  <c r="S53" i="33" s="1"/>
  <c r="R518" i="33"/>
  <c r="S518" i="33" s="1"/>
  <c r="R193" i="33"/>
  <c r="S193" i="33" s="1"/>
  <c r="S315" i="33"/>
  <c r="R132" i="33"/>
  <c r="S132" i="33" s="1"/>
  <c r="R99" i="33"/>
  <c r="S99" i="33" s="1"/>
  <c r="R148" i="33"/>
  <c r="S148" i="33" s="1"/>
  <c r="R93" i="33"/>
  <c r="S93" i="33" s="1"/>
  <c r="R380" i="33"/>
  <c r="S380" i="33" s="1"/>
  <c r="R149" i="33"/>
  <c r="S149" i="33" s="1"/>
  <c r="R333" i="33"/>
  <c r="S333" i="33" s="1"/>
  <c r="R244" i="33"/>
  <c r="S244" i="33" s="1"/>
  <c r="R269" i="33"/>
  <c r="S269" i="33" s="1"/>
  <c r="R494" i="33"/>
  <c r="S494" i="33" s="1"/>
  <c r="R69" i="33"/>
  <c r="S69" i="33" s="1"/>
  <c r="R78" i="33"/>
  <c r="S78" i="33" s="1"/>
  <c r="R521" i="33"/>
  <c r="S521" i="33" s="1"/>
  <c r="R399" i="33"/>
  <c r="S399" i="33" s="1"/>
  <c r="R479" i="33"/>
  <c r="S479" i="33" s="1"/>
  <c r="R956" i="33"/>
  <c r="S956" i="33" s="1"/>
  <c r="S564" i="33"/>
  <c r="R705" i="33"/>
  <c r="S705" i="33" s="1"/>
  <c r="R551" i="33"/>
  <c r="S551" i="33" s="1"/>
  <c r="R668" i="33"/>
  <c r="S668" i="33" s="1"/>
  <c r="R862" i="33"/>
  <c r="S862" i="33" s="1"/>
  <c r="R908" i="33"/>
  <c r="S908" i="33" s="1"/>
  <c r="R869" i="33"/>
  <c r="S869" i="33" s="1"/>
  <c r="R700" i="33"/>
  <c r="S700" i="33" s="1"/>
  <c r="R837" i="33"/>
  <c r="S837" i="33" s="1"/>
  <c r="R1035" i="33"/>
  <c r="S1035" i="33" s="1"/>
  <c r="R845" i="33"/>
  <c r="S845" i="33" s="1"/>
  <c r="S971" i="33"/>
  <c r="R737" i="33"/>
  <c r="S737" i="33" s="1"/>
  <c r="R611" i="33"/>
  <c r="S611" i="33" s="1"/>
  <c r="R617" i="33"/>
  <c r="S617" i="33" s="1"/>
  <c r="R986" i="33"/>
  <c r="S986" i="33" s="1"/>
  <c r="R782" i="33"/>
  <c r="S782" i="33" s="1"/>
  <c r="R974" i="33"/>
  <c r="S974" i="33" s="1"/>
  <c r="R804" i="33"/>
  <c r="S804" i="33" s="1"/>
  <c r="R989" i="33"/>
  <c r="S989" i="33" s="1"/>
  <c r="R664" i="33"/>
  <c r="S664" i="33" s="1"/>
  <c r="R884" i="33"/>
  <c r="S884" i="33" s="1"/>
  <c r="R693" i="33"/>
  <c r="S693" i="33" s="1"/>
  <c r="S324" i="33"/>
  <c r="S61" i="33"/>
  <c r="R261" i="33"/>
  <c r="S261" i="33" s="1"/>
  <c r="R109" i="33"/>
  <c r="S109" i="33" s="1"/>
  <c r="R25" i="33"/>
  <c r="S25" i="33" s="1"/>
  <c r="R412" i="33"/>
  <c r="S412" i="33" s="1"/>
  <c r="R342" i="33"/>
  <c r="S342" i="33" s="1"/>
  <c r="R139" i="33"/>
  <c r="S139" i="33" s="1"/>
  <c r="R214" i="33"/>
  <c r="S214" i="33" s="1"/>
  <c r="R52" i="33"/>
  <c r="S52" i="33" s="1"/>
  <c r="R102" i="33"/>
  <c r="S102" i="33" s="1"/>
  <c r="R104" i="33"/>
  <c r="S104" i="33" s="1"/>
  <c r="R116" i="33"/>
  <c r="S116" i="33" s="1"/>
  <c r="R423" i="33"/>
  <c r="S423" i="33" s="1"/>
  <c r="R81" i="33"/>
  <c r="S81" i="33" s="1"/>
  <c r="R311" i="33"/>
  <c r="S311" i="33" s="1"/>
  <c r="R328" i="33"/>
  <c r="S328" i="33" s="1"/>
  <c r="R359" i="33"/>
  <c r="S359" i="33" s="1"/>
  <c r="R393" i="33"/>
  <c r="S393" i="33" s="1"/>
  <c r="R515" i="33"/>
  <c r="S515" i="33" s="1"/>
  <c r="R265" i="33"/>
  <c r="S265" i="33" s="1"/>
  <c r="R286" i="33"/>
  <c r="S286" i="33" s="1"/>
  <c r="R217" i="33"/>
  <c r="S217" i="33" s="1"/>
  <c r="R209" i="33"/>
  <c r="S209" i="33" s="1"/>
  <c r="R347" i="33"/>
  <c r="S347" i="33" s="1"/>
  <c r="R366" i="33"/>
  <c r="S366" i="33" s="1"/>
  <c r="R340" i="33"/>
  <c r="S340" i="33" s="1"/>
  <c r="R711" i="33"/>
  <c r="S711" i="33" s="1"/>
  <c r="R756" i="33"/>
  <c r="S756" i="33" s="1"/>
  <c r="R559" i="33"/>
  <c r="S559" i="33" s="1"/>
  <c r="R958" i="33"/>
  <c r="S958" i="33" s="1"/>
  <c r="R1057" i="33"/>
  <c r="S1057" i="33" s="1"/>
  <c r="S704" i="33"/>
  <c r="R686" i="33"/>
  <c r="S686" i="33" s="1"/>
  <c r="R585" i="33"/>
  <c r="S585" i="33" s="1"/>
  <c r="R867" i="33"/>
  <c r="S867" i="33" s="1"/>
  <c r="R647" i="33"/>
  <c r="S647" i="33" s="1"/>
  <c r="R913" i="33"/>
  <c r="S913" i="33" s="1"/>
  <c r="R614" i="33"/>
  <c r="S614" i="33" s="1"/>
  <c r="R601" i="33"/>
  <c r="S601" i="33" s="1"/>
  <c r="R666" i="33"/>
  <c r="S666" i="33" s="1"/>
  <c r="R922" i="33"/>
  <c r="S922" i="33" s="1"/>
  <c r="R961" i="33"/>
  <c r="S961" i="33" s="1"/>
  <c r="R929" i="33"/>
  <c r="S929" i="33" s="1"/>
  <c r="R992" i="33"/>
  <c r="S992" i="33" s="1"/>
  <c r="R791" i="33"/>
  <c r="S791" i="33" s="1"/>
  <c r="R853" i="33"/>
  <c r="S853" i="33" s="1"/>
  <c r="R847" i="33"/>
  <c r="S847" i="33" s="1"/>
  <c r="R675" i="33"/>
  <c r="S675" i="33" s="1"/>
  <c r="R1033" i="33"/>
  <c r="S1033" i="33" s="1"/>
  <c r="R115" i="33"/>
  <c r="S115" i="33" s="1"/>
  <c r="S402" i="33"/>
  <c r="R47" i="33"/>
  <c r="S47" i="33" s="1"/>
  <c r="R372" i="33"/>
  <c r="S372" i="33" s="1"/>
  <c r="R210" i="33"/>
  <c r="S210" i="33" s="1"/>
  <c r="R141" i="33"/>
  <c r="S141" i="33" s="1"/>
  <c r="R459" i="33"/>
  <c r="S459" i="33" s="1"/>
  <c r="R382" i="33"/>
  <c r="S382" i="33" s="1"/>
  <c r="R20" i="33"/>
  <c r="S20" i="33" s="1"/>
  <c r="R103" i="33"/>
  <c r="S103" i="33" s="1"/>
  <c r="R40" i="33"/>
  <c r="S40" i="33" s="1"/>
  <c r="R355" i="33"/>
  <c r="S355" i="33" s="1"/>
  <c r="R321" i="33"/>
  <c r="S321" i="33" s="1"/>
  <c r="R392" i="33"/>
  <c r="S392" i="33" s="1"/>
  <c r="R343" i="33"/>
  <c r="S343" i="33" s="1"/>
  <c r="R37" i="33"/>
  <c r="S37" i="33" s="1"/>
  <c r="R296" i="33"/>
  <c r="S296" i="33" s="1"/>
  <c r="R259" i="33"/>
  <c r="S259" i="33" s="1"/>
  <c r="R349" i="33"/>
  <c r="S349" i="33" s="1"/>
  <c r="R42" i="33"/>
  <c r="S42" i="33" s="1"/>
  <c r="R352" i="33"/>
  <c r="S352" i="33" s="1"/>
  <c r="R390" i="33"/>
  <c r="S390" i="33" s="1"/>
  <c r="R156" i="33"/>
  <c r="S156" i="33" s="1"/>
  <c r="S886" i="33"/>
  <c r="R926" i="33"/>
  <c r="S926" i="33" s="1"/>
  <c r="R731" i="33"/>
  <c r="S731" i="33" s="1"/>
  <c r="R758" i="33"/>
  <c r="S758" i="33" s="1"/>
  <c r="R890" i="33"/>
  <c r="S890" i="33" s="1"/>
  <c r="S622" i="33"/>
  <c r="R836" i="33"/>
  <c r="S836" i="33" s="1"/>
  <c r="R554" i="33"/>
  <c r="S554" i="33" s="1"/>
  <c r="R870" i="33"/>
  <c r="S870" i="33" s="1"/>
  <c r="R1013" i="33"/>
  <c r="S1013" i="33" s="1"/>
  <c r="R1049" i="33"/>
  <c r="S1049" i="33" s="1"/>
  <c r="R650" i="33"/>
  <c r="S650" i="33" s="1"/>
  <c r="R915" i="33"/>
  <c r="S915" i="33" s="1"/>
  <c r="R1007" i="33"/>
  <c r="S1007" i="33" s="1"/>
  <c r="R725" i="33"/>
  <c r="S725" i="33" s="1"/>
  <c r="R707" i="33"/>
  <c r="S707" i="33" s="1"/>
  <c r="R716" i="33"/>
  <c r="S716" i="33" s="1"/>
  <c r="R794" i="33"/>
  <c r="S794" i="33" s="1"/>
  <c r="R581" i="33"/>
  <c r="S581" i="33" s="1"/>
  <c r="R743" i="33"/>
  <c r="S743" i="33" s="1"/>
  <c r="R875" i="33"/>
  <c r="S875" i="33" s="1"/>
  <c r="R583" i="33"/>
  <c r="S583" i="33" s="1"/>
  <c r="R960" i="33"/>
  <c r="S960" i="33" s="1"/>
  <c r="R168" i="33"/>
  <c r="S168" i="33" s="1"/>
  <c r="R255" i="33"/>
  <c r="S255" i="33" s="1"/>
  <c r="R245" i="33"/>
  <c r="S245" i="33" s="1"/>
  <c r="R142" i="33"/>
  <c r="S142" i="33" s="1"/>
  <c r="R467" i="33"/>
  <c r="S467" i="33" s="1"/>
  <c r="R319" i="33"/>
  <c r="S319" i="33" s="1"/>
  <c r="R406" i="33"/>
  <c r="S406" i="33" s="1"/>
  <c r="R222" i="33"/>
  <c r="S222" i="33" s="1"/>
  <c r="R501" i="33"/>
  <c r="S501" i="33" s="1"/>
  <c r="R153" i="33"/>
  <c r="S153" i="33" s="1"/>
  <c r="R206" i="33"/>
  <c r="S206" i="33" s="1"/>
  <c r="R194" i="33"/>
  <c r="S194" i="33" s="1"/>
  <c r="R498" i="33"/>
  <c r="S498" i="33" s="1"/>
  <c r="R62" i="33"/>
  <c r="S62" i="33" s="1"/>
  <c r="R254" i="33"/>
  <c r="S254" i="33" s="1"/>
  <c r="R413" i="33"/>
  <c r="S413" i="33" s="1"/>
  <c r="R165" i="33"/>
  <c r="S165" i="33" s="1"/>
  <c r="R181" i="33"/>
  <c r="S181" i="33" s="1"/>
  <c r="R348" i="33"/>
  <c r="S348" i="33" s="1"/>
  <c r="R290" i="33"/>
  <c r="S290" i="33" s="1"/>
  <c r="R484" i="33"/>
  <c r="S484" i="33" s="1"/>
  <c r="R339" i="33"/>
  <c r="S339" i="33" s="1"/>
  <c r="R488" i="33"/>
  <c r="S488" i="33" s="1"/>
  <c r="R285" i="33"/>
  <c r="S285" i="33" s="1"/>
  <c r="R856" i="33"/>
  <c r="S856" i="33" s="1"/>
  <c r="R1012" i="33"/>
  <c r="S1012" i="33" s="1"/>
  <c r="R1022" i="33"/>
  <c r="S1022" i="33" s="1"/>
  <c r="R703" i="33"/>
  <c r="S703" i="33" s="1"/>
  <c r="R894" i="33"/>
  <c r="S894" i="33" s="1"/>
  <c r="R558" i="33"/>
  <c r="S558" i="33" s="1"/>
  <c r="R817" i="33"/>
  <c r="S817" i="33" s="1"/>
  <c r="R874" i="33"/>
  <c r="S874" i="33" s="1"/>
  <c r="R566" i="33"/>
  <c r="S566" i="33" s="1"/>
  <c r="R855" i="33"/>
  <c r="S855" i="33" s="1"/>
  <c r="R591" i="33"/>
  <c r="S591" i="33" s="1"/>
  <c r="R561" i="33"/>
  <c r="S561" i="33" s="1"/>
  <c r="R900" i="33"/>
  <c r="S900" i="33" s="1"/>
  <c r="R772" i="33"/>
  <c r="S772" i="33" s="1"/>
  <c r="S584" i="33"/>
  <c r="R608" i="33"/>
  <c r="S608" i="33" s="1"/>
  <c r="R981" i="33"/>
  <c r="S981" i="33" s="1"/>
  <c r="R854" i="33"/>
  <c r="S854" i="33" s="1"/>
  <c r="R724" i="33"/>
  <c r="S724" i="33" s="1"/>
  <c r="R674" i="33"/>
  <c r="S674" i="33" s="1"/>
  <c r="R1053" i="33"/>
  <c r="S1053" i="33" s="1"/>
  <c r="R426" i="33"/>
  <c r="S426" i="33" s="1"/>
  <c r="R322" i="33"/>
  <c r="S322" i="33" s="1"/>
  <c r="R97" i="33"/>
  <c r="S97" i="33" s="1"/>
  <c r="S208" i="33"/>
  <c r="R126" i="33"/>
  <c r="S126" i="33" s="1"/>
  <c r="R517" i="33"/>
  <c r="S517" i="33" s="1"/>
  <c r="R75" i="33"/>
  <c r="S75" i="33" s="1"/>
  <c r="R161" i="33"/>
  <c r="S161" i="33" s="1"/>
  <c r="R514" i="33"/>
  <c r="S514" i="33" s="1"/>
  <c r="R39" i="33"/>
  <c r="S39" i="33" s="1"/>
  <c r="R432" i="33"/>
  <c r="S432" i="33" s="1"/>
  <c r="R455" i="33"/>
  <c r="S455" i="33" s="1"/>
  <c r="R85" i="33"/>
  <c r="S85" i="33" s="1"/>
  <c r="S472" i="33"/>
  <c r="R200" i="33"/>
  <c r="S200" i="33" s="1"/>
  <c r="R485" i="33"/>
  <c r="S485" i="33" s="1"/>
  <c r="R384" i="33"/>
  <c r="S384" i="33" s="1"/>
  <c r="R289" i="33"/>
  <c r="S289" i="33" s="1"/>
  <c r="R439" i="33"/>
  <c r="S439" i="33" s="1"/>
  <c r="R524" i="33"/>
  <c r="S524" i="33" s="1"/>
  <c r="R379" i="33"/>
  <c r="S379" i="33" s="1"/>
  <c r="R653" i="33"/>
  <c r="S653" i="33" s="1"/>
  <c r="S828" i="33"/>
  <c r="R947" i="33"/>
  <c r="S947" i="33" s="1"/>
  <c r="R793" i="33"/>
  <c r="S793" i="33" s="1"/>
  <c r="R902" i="33"/>
  <c r="S902" i="33" s="1"/>
  <c r="R612" i="33"/>
  <c r="S612" i="33" s="1"/>
  <c r="R680" i="33"/>
  <c r="S680" i="33" s="1"/>
  <c r="R1027" i="33"/>
  <c r="S1027" i="33" s="1"/>
  <c r="R778" i="33"/>
  <c r="S778" i="33" s="1"/>
  <c r="R1034" i="33"/>
  <c r="S1034" i="33" s="1"/>
  <c r="R670" i="33"/>
  <c r="S670" i="33" s="1"/>
  <c r="R587" i="33"/>
  <c r="S587" i="33" s="1"/>
  <c r="R868" i="33"/>
  <c r="S868" i="33" s="1"/>
  <c r="R807" i="33"/>
  <c r="S807" i="33" s="1"/>
  <c r="R628" i="33"/>
  <c r="S628" i="33" s="1"/>
  <c r="R560" i="33"/>
  <c r="S560" i="33" s="1"/>
  <c r="R978" i="33"/>
  <c r="S978" i="33" s="1"/>
  <c r="R519" i="33"/>
  <c r="S519" i="33" s="1"/>
  <c r="R445" i="33"/>
  <c r="S445" i="33" s="1"/>
  <c r="R184" i="33"/>
  <c r="S184" i="33" s="1"/>
  <c r="S401" i="33"/>
  <c r="R242" i="33"/>
  <c r="S242" i="33" s="1"/>
  <c r="R162" i="33"/>
  <c r="S162" i="33" s="1"/>
  <c r="R277" i="33"/>
  <c r="S277" i="33" s="1"/>
  <c r="R91" i="33"/>
  <c r="S91" i="33" s="1"/>
  <c r="R516" i="33"/>
  <c r="S516" i="33" s="1"/>
  <c r="R129" i="33"/>
  <c r="S129" i="33" s="1"/>
  <c r="R239" i="33"/>
  <c r="S239" i="33" s="1"/>
  <c r="R113" i="33"/>
  <c r="S113" i="33" s="1"/>
  <c r="R229" i="33"/>
  <c r="S229" i="33" s="1"/>
  <c r="R280" i="33"/>
  <c r="S280" i="33" s="1"/>
  <c r="R357" i="33"/>
  <c r="S357" i="33" s="1"/>
  <c r="R182" i="33"/>
  <c r="S182" i="33" s="1"/>
  <c r="R267" i="33"/>
  <c r="S267" i="33" s="1"/>
  <c r="R167" i="33"/>
  <c r="S167" i="33" s="1"/>
  <c r="R427" i="33"/>
  <c r="S427" i="33" s="1"/>
  <c r="R146" i="33"/>
  <c r="S146" i="33" s="1"/>
  <c r="R138" i="33"/>
  <c r="S138" i="33" s="1"/>
  <c r="R374" i="33"/>
  <c r="S374" i="33" s="1"/>
  <c r="R60" i="33"/>
  <c r="S60" i="33" s="1"/>
  <c r="R225" i="33"/>
  <c r="S225" i="33" s="1"/>
  <c r="S901" i="33"/>
  <c r="R779" i="33"/>
  <c r="S779" i="33" s="1"/>
  <c r="R751" i="33"/>
  <c r="S751" i="33" s="1"/>
  <c r="R710" i="33"/>
  <c r="S710" i="33" s="1"/>
  <c r="R928" i="33"/>
  <c r="S928" i="33" s="1"/>
  <c r="R968" i="33"/>
  <c r="S968" i="33" s="1"/>
  <c r="R638" i="33"/>
  <c r="S638" i="33" s="1"/>
  <c r="R609" i="33"/>
  <c r="S609" i="33" s="1"/>
  <c r="R813" i="33"/>
  <c r="S813" i="33" s="1"/>
  <c r="R987" i="33"/>
  <c r="S987" i="33" s="1"/>
  <c r="R838" i="33"/>
  <c r="S838" i="33" s="1"/>
  <c r="R916" i="33"/>
  <c r="S916" i="33" s="1"/>
  <c r="R740" i="33"/>
  <c r="S740" i="33" s="1"/>
  <c r="R834" i="33"/>
  <c r="S834" i="33" s="1"/>
  <c r="R769" i="33"/>
  <c r="S769" i="33" s="1"/>
  <c r="R997" i="33"/>
  <c r="S997" i="33" s="1"/>
  <c r="R654" i="33"/>
  <c r="S654" i="33" s="1"/>
  <c r="R736" i="33"/>
  <c r="S736" i="33" s="1"/>
  <c r="R993" i="33"/>
  <c r="S993" i="33" s="1"/>
  <c r="R897" i="33"/>
  <c r="S897" i="33" s="1"/>
  <c r="R1040" i="33"/>
  <c r="S1040" i="33" s="1"/>
  <c r="R574" i="33"/>
  <c r="S574" i="33" s="1"/>
  <c r="R1037" i="33"/>
  <c r="S1037" i="33" s="1"/>
  <c r="R841" i="33"/>
  <c r="S841" i="33" s="1"/>
  <c r="R1032" i="33"/>
  <c r="S1032" i="33" s="1"/>
  <c r="R773" i="33"/>
  <c r="S773" i="33" s="1"/>
  <c r="R1023" i="33"/>
  <c r="S1023" i="33" s="1"/>
  <c r="R715" i="33"/>
  <c r="S715" i="33" s="1"/>
  <c r="R924" i="33"/>
  <c r="S924" i="33" s="1"/>
  <c r="R768" i="33"/>
  <c r="S768" i="33" s="1"/>
  <c r="R36" i="33"/>
  <c r="S36" i="33" s="1"/>
  <c r="R262" i="33"/>
  <c r="S262" i="33" s="1"/>
  <c r="R447" i="33"/>
  <c r="S447" i="33" s="1"/>
  <c r="R460" i="33"/>
  <c r="S460" i="33" s="1"/>
  <c r="R314" i="33"/>
  <c r="S314" i="33" s="1"/>
  <c r="R478" i="33"/>
  <c r="S478" i="33" s="1"/>
  <c r="R183" i="33"/>
  <c r="S183" i="33" s="1"/>
  <c r="R287" i="33"/>
  <c r="S287" i="33" s="1"/>
  <c r="R337" i="33"/>
  <c r="S337" i="33" s="1"/>
  <c r="R450" i="33"/>
  <c r="S450" i="33" s="1"/>
  <c r="R313" i="33"/>
  <c r="S313" i="33" s="1"/>
  <c r="R821" i="33"/>
  <c r="S821" i="33" s="1"/>
  <c r="R651" i="33"/>
  <c r="S651" i="33" s="1"/>
  <c r="S864" i="33"/>
  <c r="S848" i="33"/>
  <c r="R637" i="33"/>
  <c r="S637" i="33" s="1"/>
  <c r="S604" i="33"/>
  <c r="R726" i="33"/>
  <c r="S726" i="33" s="1"/>
  <c r="R825" i="33"/>
  <c r="S825" i="33" s="1"/>
  <c r="R909" i="33"/>
  <c r="S909" i="33" s="1"/>
  <c r="R912" i="33"/>
  <c r="S912" i="33" s="1"/>
  <c r="R1005" i="33"/>
  <c r="S1005" i="33" s="1"/>
  <c r="R722" i="33"/>
  <c r="S722" i="33" s="1"/>
  <c r="R940" i="33"/>
  <c r="S940" i="33" s="1"/>
  <c r="R933" i="33"/>
  <c r="S933" i="33" s="1"/>
  <c r="R963" i="33"/>
  <c r="S963" i="33" s="1"/>
  <c r="R939" i="33"/>
  <c r="S939" i="33" s="1"/>
  <c r="R1003" i="33"/>
  <c r="S1003" i="33" s="1"/>
  <c r="R977" i="33"/>
  <c r="S977" i="33" s="1"/>
  <c r="R802" i="33"/>
  <c r="S802" i="33" s="1"/>
  <c r="R1014" i="33"/>
  <c r="S1014" i="33" s="1"/>
  <c r="R199" i="33"/>
  <c r="S199" i="33" s="1"/>
  <c r="R270" i="33"/>
  <c r="S270" i="33" s="1"/>
  <c r="S96" i="33"/>
  <c r="R417" i="33"/>
  <c r="S417" i="33" s="1"/>
  <c r="R56" i="33"/>
  <c r="S56" i="33" s="1"/>
  <c r="R299" i="33"/>
  <c r="S299" i="33" s="1"/>
  <c r="R465" i="33"/>
  <c r="S465" i="33" s="1"/>
  <c r="R474" i="33"/>
  <c r="S474" i="33" s="1"/>
  <c r="R23" i="33"/>
  <c r="S23" i="33" s="1"/>
  <c r="R179" i="33"/>
  <c r="S179" i="33" s="1"/>
  <c r="R80" i="33"/>
  <c r="S80" i="33" s="1"/>
  <c r="R493" i="33"/>
  <c r="S493" i="33" s="1"/>
  <c r="R163" i="33"/>
  <c r="S163" i="33" s="1"/>
  <c r="R449" i="33"/>
  <c r="S449" i="33" s="1"/>
  <c r="R51" i="33"/>
  <c r="S51" i="33" s="1"/>
  <c r="R44" i="33"/>
  <c r="S44" i="33" s="1"/>
  <c r="R271" i="33"/>
  <c r="S271" i="33" s="1"/>
  <c r="R462" i="33"/>
  <c r="S462" i="33" s="1"/>
  <c r="R364" i="33"/>
  <c r="S364" i="33" s="1"/>
  <c r="R308" i="33"/>
  <c r="S308" i="33" s="1"/>
  <c r="R1002" i="33"/>
  <c r="S1002" i="33" s="1"/>
  <c r="R701" i="33"/>
  <c r="S701" i="33" s="1"/>
  <c r="R1008" i="33"/>
  <c r="S1008" i="33" s="1"/>
  <c r="R572" i="33"/>
  <c r="S572" i="33" s="1"/>
  <c r="R738" i="33"/>
  <c r="S738" i="33" s="1"/>
  <c r="R941" i="33"/>
  <c r="S941" i="33" s="1"/>
  <c r="R673" i="33"/>
  <c r="S673" i="33" s="1"/>
  <c r="R801" i="33"/>
  <c r="S801" i="33" s="1"/>
  <c r="R1009" i="33"/>
  <c r="S1009" i="33" s="1"/>
  <c r="R980" i="33"/>
  <c r="S980" i="33" s="1"/>
  <c r="R607" i="33"/>
  <c r="S607" i="33" s="1"/>
  <c r="R918" i="33"/>
  <c r="S918" i="33" s="1"/>
  <c r="R786" i="33"/>
  <c r="S786" i="33" s="1"/>
  <c r="R1024" i="33"/>
  <c r="S1024" i="33" s="1"/>
  <c r="R1061" i="33"/>
  <c r="S1061" i="33" s="1"/>
  <c r="R819" i="33"/>
  <c r="S819" i="33" s="1"/>
  <c r="R636" i="33"/>
  <c r="S636" i="33" s="1"/>
  <c r="R1015" i="33"/>
  <c r="S1015" i="33" s="1"/>
  <c r="R697" i="33"/>
  <c r="S697" i="33" s="1"/>
  <c r="R578" i="33"/>
  <c r="S578" i="33" s="1"/>
  <c r="R696" i="33"/>
  <c r="S696" i="33" s="1"/>
  <c r="R746" i="33"/>
  <c r="S746" i="33" s="1"/>
  <c r="R660" i="33"/>
  <c r="S660" i="33" s="1"/>
  <c r="R950" i="33"/>
  <c r="S950" i="33" s="1"/>
  <c r="R991" i="33"/>
  <c r="S991" i="33" s="1"/>
  <c r="T598" i="33" l="1"/>
  <c r="T438" i="33"/>
  <c r="T464" i="33"/>
  <c r="U92" i="33"/>
  <c r="V92" i="33" s="1"/>
  <c r="T92" i="33"/>
  <c r="U140" i="33"/>
  <c r="V140" i="33" s="1"/>
  <c r="T452" i="33"/>
  <c r="U656" i="33"/>
  <c r="V656" i="33" s="1"/>
  <c r="T656" i="33"/>
  <c r="T621" i="33"/>
  <c r="T170" i="33"/>
  <c r="U931" i="33"/>
  <c r="V931" i="33" s="1"/>
  <c r="T931" i="33"/>
  <c r="U907" i="33"/>
  <c r="V907" i="33" s="1"/>
  <c r="T907" i="33"/>
  <c r="T863" i="33"/>
  <c r="T953" i="33"/>
  <c r="U953" i="33"/>
  <c r="V953" i="33" s="1"/>
  <c r="T849" i="33"/>
  <c r="U424" i="33"/>
  <c r="V424" i="33" s="1"/>
  <c r="U21" i="33"/>
  <c r="V21" i="33" s="1"/>
  <c r="U360" i="33"/>
  <c r="V360" i="33" s="1"/>
  <c r="T832" i="33"/>
  <c r="T885" i="33"/>
  <c r="T594" i="33"/>
  <c r="U594" i="33"/>
  <c r="V594" i="33" s="1"/>
  <c r="U630" i="33"/>
  <c r="V630" i="33" s="1"/>
  <c r="T630" i="33"/>
  <c r="T744" i="33"/>
  <c r="U914" i="33"/>
  <c r="V914" i="33" s="1"/>
  <c r="T914" i="33"/>
  <c r="T1036" i="33"/>
  <c r="U1036" i="33"/>
  <c r="V1036" i="33" s="1"/>
  <c r="T752" i="33"/>
  <c r="U752" i="33"/>
  <c r="V752" i="33" s="1"/>
  <c r="T877" i="33"/>
  <c r="T984" i="33"/>
  <c r="T88" i="33"/>
  <c r="U747" i="33"/>
  <c r="V747" i="33" s="1"/>
  <c r="T747" i="33"/>
  <c r="U799" i="33"/>
  <c r="V799" i="33" s="1"/>
  <c r="T216" i="33"/>
  <c r="U216" i="33"/>
  <c r="V216" i="33" s="1"/>
  <c r="T571" i="33"/>
  <c r="U571" i="33"/>
  <c r="V571" i="33" s="1"/>
  <c r="T588" i="33"/>
  <c r="U588" i="33"/>
  <c r="V588" i="33" s="1"/>
  <c r="U475" i="33"/>
  <c r="V475" i="33" s="1"/>
  <c r="T169" i="33"/>
  <c r="T857" i="33"/>
  <c r="T528" i="33"/>
  <c r="U64" i="33"/>
  <c r="V64" i="33" s="1"/>
  <c r="T889" i="33"/>
  <c r="U889" i="33"/>
  <c r="V889" i="33" s="1"/>
  <c r="T480" i="33"/>
  <c r="U369" i="33"/>
  <c r="V369" i="33" s="1"/>
  <c r="U160" i="33"/>
  <c r="V160" i="33" s="1"/>
  <c r="U796" i="33"/>
  <c r="V796" i="33" s="1"/>
  <c r="T796" i="33"/>
  <c r="T826" i="33"/>
  <c r="T965" i="33"/>
  <c r="U965" i="33"/>
  <c r="V965" i="33" s="1"/>
  <c r="T32" i="33"/>
  <c r="U32" i="33"/>
  <c r="V32" i="33" s="1"/>
  <c r="U798" i="33"/>
  <c r="V798" i="33" s="1"/>
  <c r="T798" i="33"/>
  <c r="U477" i="33"/>
  <c r="V477" i="33" s="1"/>
  <c r="T477" i="33"/>
  <c r="U45" i="33"/>
  <c r="V45" i="33" s="1"/>
  <c r="T45" i="33"/>
  <c r="T155" i="33"/>
  <c r="T435" i="33"/>
  <c r="T243" i="33"/>
  <c r="T82" i="33"/>
  <c r="U506" i="33"/>
  <c r="V506" i="33" s="1"/>
  <c r="U211" i="33"/>
  <c r="V211" i="33" s="1"/>
  <c r="T211" i="33"/>
  <c r="U634" i="33"/>
  <c r="V634" i="33" s="1"/>
  <c r="T59" i="33"/>
  <c r="U59" i="33"/>
  <c r="V59" i="33" s="1"/>
  <c r="T509" i="33"/>
  <c r="T383" i="33"/>
  <c r="U383" i="33"/>
  <c r="V383" i="33" s="1"/>
  <c r="U41" i="33"/>
  <c r="V41" i="33" s="1"/>
  <c r="T41" i="33"/>
  <c r="U690" i="33"/>
  <c r="V690" i="33" s="1"/>
  <c r="T690" i="33"/>
  <c r="U613" i="33"/>
  <c r="V613" i="33" s="1"/>
  <c r="U190" i="33"/>
  <c r="V190" i="33" s="1"/>
  <c r="T865" i="33"/>
  <c r="U240" i="33"/>
  <c r="V240" i="33" s="1"/>
  <c r="U429" i="33"/>
  <c r="V429" i="33" s="1"/>
  <c r="U911" i="33"/>
  <c r="V911" i="33" s="1"/>
  <c r="T387" i="33"/>
  <c r="T844" i="33"/>
  <c r="U177" i="33"/>
  <c r="V177" i="33" s="1"/>
  <c r="T1045" i="33"/>
  <c r="U125" i="33"/>
  <c r="V125" i="33" s="1"/>
  <c r="T408" i="33"/>
  <c r="U33" i="33"/>
  <c r="V33" i="33" s="1"/>
  <c r="U846" i="33"/>
  <c r="V846" i="33" s="1"/>
  <c r="T55" i="33"/>
  <c r="U777" i="33"/>
  <c r="V777" i="33" s="1"/>
  <c r="U395" i="33"/>
  <c r="V395" i="33" s="1"/>
  <c r="U504" i="33"/>
  <c r="V504" i="33" s="1"/>
  <c r="T504" i="33"/>
  <c r="U441" i="33"/>
  <c r="V441" i="33" s="1"/>
  <c r="U491" i="33"/>
  <c r="V491" i="33" s="1"/>
  <c r="T19" i="33"/>
  <c r="T172" i="33"/>
  <c r="U1021" i="33"/>
  <c r="V1021" i="33" s="1"/>
  <c r="T1021" i="33"/>
  <c r="T871" i="33"/>
  <c r="U662" i="33"/>
  <c r="V662" i="33" s="1"/>
  <c r="T702" i="33"/>
  <c r="U344" i="33"/>
  <c r="V344" i="33" s="1"/>
  <c r="U685" i="33"/>
  <c r="V685" i="33" s="1"/>
  <c r="T973" i="33"/>
  <c r="U973" i="33"/>
  <c r="V973" i="33" s="1"/>
  <c r="U815" i="33"/>
  <c r="V815" i="33" s="1"/>
  <c r="T815" i="33"/>
  <c r="U785" i="33"/>
  <c r="V785" i="33" s="1"/>
  <c r="T785" i="33"/>
  <c r="T695" i="33"/>
  <c r="U892" i="33"/>
  <c r="V892" i="33" s="1"/>
  <c r="T892" i="33"/>
  <c r="U35" i="33"/>
  <c r="V35" i="33" s="1"/>
  <c r="T35" i="33"/>
  <c r="T503" i="33"/>
  <c r="U233" i="33"/>
  <c r="V233" i="33" s="1"/>
  <c r="T233" i="33"/>
  <c r="U678" i="33"/>
  <c r="V678" i="33" s="1"/>
  <c r="T678" i="33"/>
  <c r="U1010" i="33"/>
  <c r="V1010" i="33" s="1"/>
  <c r="T943" i="33"/>
  <c r="U943" i="33"/>
  <c r="V943" i="33" s="1"/>
  <c r="U599" i="33"/>
  <c r="V599" i="33" s="1"/>
  <c r="T599" i="33"/>
  <c r="T381" i="33"/>
  <c r="U381" i="33"/>
  <c r="V381" i="33" s="1"/>
  <c r="T448" i="33"/>
  <c r="T58" i="33"/>
  <c r="U967" i="33"/>
  <c r="V967" i="33" s="1"/>
  <c r="T967" i="33"/>
  <c r="U627" i="33"/>
  <c r="V627" i="33" s="1"/>
  <c r="T627" i="33"/>
  <c r="U136" i="33"/>
  <c r="V136" i="33" s="1"/>
  <c r="T136" i="33"/>
  <c r="U723" i="33"/>
  <c r="V723" i="33" s="1"/>
  <c r="T723" i="33"/>
  <c r="U733" i="33"/>
  <c r="V733" i="33" s="1"/>
  <c r="T733" i="33"/>
  <c r="T781" i="33"/>
  <c r="U781" i="33"/>
  <c r="V781" i="33" s="1"/>
  <c r="T174" i="33"/>
  <c r="T205" i="33"/>
  <c r="U972" i="33"/>
  <c r="V972" i="33" s="1"/>
  <c r="T972" i="33"/>
  <c r="T658" i="33"/>
  <c r="U658" i="33"/>
  <c r="V658" i="33" s="1"/>
  <c r="U1051" i="33"/>
  <c r="V1051" i="33" s="1"/>
  <c r="T1051" i="33"/>
  <c r="T810" i="33"/>
  <c r="U810" i="33"/>
  <c r="V810" i="33" s="1"/>
  <c r="U763" i="33"/>
  <c r="V763" i="33" s="1"/>
  <c r="T763" i="33"/>
  <c r="T774" i="33"/>
  <c r="U774" i="33"/>
  <c r="V774" i="33" s="1"/>
  <c r="T552" i="33"/>
  <c r="U552" i="33"/>
  <c r="V552" i="33" s="1"/>
  <c r="T461" i="33"/>
  <c r="T318" i="33"/>
  <c r="T394" i="33"/>
  <c r="T684" i="33"/>
  <c r="U684" i="33"/>
  <c r="V684" i="33" s="1"/>
  <c r="U188" i="33"/>
  <c r="V188" i="33" s="1"/>
  <c r="T188" i="33"/>
  <c r="T728" i="33"/>
  <c r="T312" i="33"/>
  <c r="U562" i="33"/>
  <c r="V562" i="33" s="1"/>
  <c r="T562" i="33"/>
  <c r="U1001" i="33"/>
  <c r="V1001" i="33" s="1"/>
  <c r="T1001" i="33"/>
  <c r="U866" i="33"/>
  <c r="V866" i="33" s="1"/>
  <c r="T866" i="33"/>
  <c r="U404" i="33"/>
  <c r="V404" i="33" s="1"/>
  <c r="T404" i="33"/>
  <c r="U937" i="33"/>
  <c r="V937" i="33" s="1"/>
  <c r="T937" i="33"/>
  <c r="U18" i="33"/>
  <c r="V18" i="33" s="1"/>
  <c r="T18" i="33"/>
  <c r="U1000" i="33"/>
  <c r="V1000" i="33" s="1"/>
  <c r="T1000" i="33"/>
  <c r="U71" i="33"/>
  <c r="V71" i="33" s="1"/>
  <c r="U831" i="33"/>
  <c r="V831" i="33" s="1"/>
  <c r="T831" i="33"/>
  <c r="T492" i="33"/>
  <c r="U492" i="33"/>
  <c r="V492" i="33" s="1"/>
  <c r="U499" i="33"/>
  <c r="V499" i="33" s="1"/>
  <c r="T499" i="33"/>
  <c r="U858" i="33"/>
  <c r="V858" i="33" s="1"/>
  <c r="T858" i="33"/>
  <c r="U300" i="33"/>
  <c r="V300" i="33" s="1"/>
  <c r="T300" i="33"/>
  <c r="U573" i="33"/>
  <c r="V573" i="33" s="1"/>
  <c r="T573" i="33"/>
  <c r="T860" i="33"/>
  <c r="U860" i="33"/>
  <c r="V860" i="33" s="1"/>
  <c r="T800" i="33"/>
  <c r="U800" i="33"/>
  <c r="V800" i="33" s="1"/>
  <c r="U1043" i="33"/>
  <c r="V1043" i="33" s="1"/>
  <c r="T1043" i="33"/>
  <c r="U335" i="33"/>
  <c r="V335" i="33" s="1"/>
  <c r="T335" i="33"/>
  <c r="T198" i="33"/>
  <c r="U331" i="33"/>
  <c r="V331" i="33" s="1"/>
  <c r="T331" i="33"/>
  <c r="T635" i="33"/>
  <c r="U635" i="33"/>
  <c r="V635" i="33" s="1"/>
  <c r="U1058" i="33"/>
  <c r="V1058" i="33" s="1"/>
  <c r="T1058" i="33"/>
  <c r="U83" i="33"/>
  <c r="V83" i="33" s="1"/>
  <c r="T83" i="33"/>
  <c r="T652" i="33"/>
  <c r="U652" i="33"/>
  <c r="V652" i="33" s="1"/>
  <c r="T643" i="33"/>
  <c r="U643" i="33"/>
  <c r="V643" i="33" s="1"/>
  <c r="U683" i="33"/>
  <c r="V683" i="33" s="1"/>
  <c r="T683" i="33"/>
  <c r="T376" i="33"/>
  <c r="U405" i="33"/>
  <c r="V405" i="33" s="1"/>
  <c r="T405" i="33"/>
  <c r="T789" i="33"/>
  <c r="U789" i="33"/>
  <c r="V789" i="33" s="1"/>
  <c r="T416" i="33"/>
  <c r="U94" i="33"/>
  <c r="V94" i="33" s="1"/>
  <c r="T565" i="33"/>
  <c r="U996" i="33"/>
  <c r="V996" i="33" s="1"/>
  <c r="T996" i="33"/>
  <c r="U306" i="33"/>
  <c r="V306" i="33" s="1"/>
  <c r="T306" i="33"/>
  <c r="T301" i="33"/>
  <c r="T256" i="33"/>
  <c r="U256" i="33"/>
  <c r="V256" i="33" s="1"/>
  <c r="T54" i="33"/>
  <c r="T201" i="33"/>
  <c r="U201" i="33"/>
  <c r="V201" i="33" s="1"/>
  <c r="U433" i="33"/>
  <c r="V433" i="33" s="1"/>
  <c r="U378" i="33"/>
  <c r="V378" i="33" s="1"/>
  <c r="T378" i="33"/>
  <c r="U317" i="33"/>
  <c r="V317" i="33" s="1"/>
  <c r="T749" i="33"/>
  <c r="U749" i="33"/>
  <c r="V749" i="33" s="1"/>
  <c r="T278" i="33"/>
  <c r="U278" i="33"/>
  <c r="V278" i="33" s="1"/>
  <c r="U988" i="33"/>
  <c r="V988" i="33" s="1"/>
  <c r="T988" i="33"/>
  <c r="U123" i="33"/>
  <c r="V123" i="33" s="1"/>
  <c r="T123" i="33"/>
  <c r="U365" i="33"/>
  <c r="V365" i="33" s="1"/>
  <c r="T365" i="33"/>
  <c r="U120" i="33"/>
  <c r="V120" i="33" s="1"/>
  <c r="T120" i="33"/>
  <c r="T297" i="33"/>
  <c r="U297" i="33"/>
  <c r="V297" i="33" s="1"/>
  <c r="T620" i="33"/>
  <c r="U620" i="33"/>
  <c r="V620" i="33" s="1"/>
  <c r="U906" i="33"/>
  <c r="V906" i="33" s="1"/>
  <c r="T906" i="33"/>
  <c r="T89" i="33"/>
  <c r="U89" i="33"/>
  <c r="V89" i="33" s="1"/>
  <c r="U50" i="33"/>
  <c r="V50" i="33" s="1"/>
  <c r="T50" i="33"/>
  <c r="U114" i="33"/>
  <c r="V114" i="33" s="1"/>
  <c r="T186" i="33"/>
  <c r="U186" i="33"/>
  <c r="V186" i="33" s="1"/>
  <c r="U70" i="33"/>
  <c r="V70" i="33" s="1"/>
  <c r="T70" i="33"/>
  <c r="T367" i="33"/>
  <c r="U367" i="33"/>
  <c r="V367" i="33" s="1"/>
  <c r="T215" i="33"/>
  <c r="U215" i="33"/>
  <c r="V215" i="33" s="1"/>
  <c r="U133" i="33"/>
  <c r="V133" i="33" s="1"/>
  <c r="T133" i="33"/>
  <c r="U327" i="33"/>
  <c r="V327" i="33" s="1"/>
  <c r="T327" i="33"/>
  <c r="T904" i="33"/>
  <c r="U196" i="33"/>
  <c r="V196" i="33" s="1"/>
  <c r="T196" i="33"/>
  <c r="U814" i="33"/>
  <c r="V814" i="33" s="1"/>
  <c r="T814" i="33"/>
  <c r="U353" i="33"/>
  <c r="V353" i="33" s="1"/>
  <c r="T353" i="33"/>
  <c r="T526" i="33"/>
  <c r="U526" i="33"/>
  <c r="V526" i="33" s="1"/>
  <c r="T663" i="33"/>
  <c r="U663" i="33"/>
  <c r="V663" i="33" s="1"/>
  <c r="T202" i="33"/>
  <c r="U202" i="33"/>
  <c r="V202" i="33" s="1"/>
  <c r="T273" i="33"/>
  <c r="U273" i="33"/>
  <c r="V273" i="33" s="1"/>
  <c r="T86" i="33"/>
  <c r="U86" i="33"/>
  <c r="V86" i="33" s="1"/>
  <c r="T84" i="33"/>
  <c r="T687" i="33"/>
  <c r="U687" i="33"/>
  <c r="V687" i="33" s="1"/>
  <c r="T482" i="33"/>
  <c r="U927" i="33"/>
  <c r="V927" i="33" s="1"/>
  <c r="U694" i="33"/>
  <c r="V694" i="33" s="1"/>
  <c r="T694" i="33"/>
  <c r="U632" i="33"/>
  <c r="V632" i="33" s="1"/>
  <c r="T632" i="33"/>
  <c r="T434" i="33"/>
  <c r="U434" i="33"/>
  <c r="V434" i="33" s="1"/>
  <c r="U891" i="33"/>
  <c r="V891" i="33" s="1"/>
  <c r="T891" i="33"/>
  <c r="T1026" i="33"/>
  <c r="U1026" i="33"/>
  <c r="V1026" i="33" s="1"/>
  <c r="U818" i="33"/>
  <c r="V818" i="33" s="1"/>
  <c r="T818" i="33"/>
  <c r="T527" i="33"/>
  <c r="U527" i="33"/>
  <c r="V527" i="33" s="1"/>
  <c r="T469" i="33"/>
  <c r="U469" i="33"/>
  <c r="V469" i="33" s="1"/>
  <c r="U152" i="33"/>
  <c r="V152" i="33" s="1"/>
  <c r="T152" i="33"/>
  <c r="T787" i="33"/>
  <c r="U787" i="33"/>
  <c r="V787" i="33" s="1"/>
  <c r="U938" i="33"/>
  <c r="V938" i="33" s="1"/>
  <c r="T938" i="33"/>
  <c r="U237" i="33"/>
  <c r="V237" i="33" s="1"/>
  <c r="T237" i="33"/>
  <c r="U74" i="33"/>
  <c r="V74" i="33" s="1"/>
  <c r="T74" i="33"/>
  <c r="U1004" i="33"/>
  <c r="V1004" i="33" s="1"/>
  <c r="T1004" i="33"/>
  <c r="U1038" i="33"/>
  <c r="V1038" i="33" s="1"/>
  <c r="T1038" i="33"/>
  <c r="U645" i="33"/>
  <c r="V645" i="33" s="1"/>
  <c r="T645" i="33"/>
  <c r="T219" i="33"/>
  <c r="U219" i="33"/>
  <c r="V219" i="33" s="1"/>
  <c r="U458" i="33"/>
  <c r="V458" i="33" s="1"/>
  <c r="T458" i="33"/>
  <c r="T76" i="33"/>
  <c r="U76" i="33"/>
  <c r="V76" i="33" s="1"/>
  <c r="T298" i="33"/>
  <c r="U298" i="33"/>
  <c r="V298" i="33" s="1"/>
  <c r="U995" i="33"/>
  <c r="V995" i="33" s="1"/>
  <c r="T995" i="33"/>
  <c r="U873" i="33"/>
  <c r="V873" i="33" s="1"/>
  <c r="T873" i="33"/>
  <c r="U326" i="33"/>
  <c r="V326" i="33" s="1"/>
  <c r="T326" i="33"/>
  <c r="T910" i="33"/>
  <c r="U910" i="33"/>
  <c r="V910" i="33" s="1"/>
  <c r="U946" i="33"/>
  <c r="V946" i="33" s="1"/>
  <c r="T946" i="33"/>
  <c r="T398" i="33"/>
  <c r="U398" i="33"/>
  <c r="V398" i="33" s="1"/>
  <c r="U329" i="33"/>
  <c r="V329" i="33" s="1"/>
  <c r="T329" i="33"/>
  <c r="U898" i="33"/>
  <c r="V898" i="33" s="1"/>
  <c r="T898" i="33"/>
  <c r="U748" i="33"/>
  <c r="V748" i="33" s="1"/>
  <c r="T748" i="33"/>
  <c r="U436" i="33"/>
  <c r="V436" i="33" s="1"/>
  <c r="T436" i="33"/>
  <c r="U414" i="33"/>
  <c r="V414" i="33" s="1"/>
  <c r="T414" i="33"/>
  <c r="U1060" i="33"/>
  <c r="V1060" i="33" s="1"/>
  <c r="T1060" i="33"/>
  <c r="U619" i="33"/>
  <c r="V619" i="33" s="1"/>
  <c r="T619" i="33"/>
  <c r="T969" i="33"/>
  <c r="U969" i="33"/>
  <c r="V969" i="33" s="1"/>
  <c r="U212" i="33"/>
  <c r="V212" i="33" s="1"/>
  <c r="T212" i="33"/>
  <c r="U489" i="33"/>
  <c r="V489" i="33" s="1"/>
  <c r="T489" i="33"/>
  <c r="T633" i="33"/>
  <c r="U633" i="33"/>
  <c r="V633" i="33" s="1"/>
  <c r="T389" i="33"/>
  <c r="U389" i="33"/>
  <c r="V389" i="33" s="1"/>
  <c r="U576" i="33"/>
  <c r="V576" i="33" s="1"/>
  <c r="T576" i="33"/>
  <c r="U850" i="33"/>
  <c r="V850" i="33" s="1"/>
  <c r="T850" i="33"/>
  <c r="T476" i="33"/>
  <c r="U476" i="33"/>
  <c r="V476" i="33" s="1"/>
  <c r="U457" i="33"/>
  <c r="V457" i="33" s="1"/>
  <c r="T457" i="33"/>
  <c r="U859" i="33"/>
  <c r="V859" i="33" s="1"/>
  <c r="T859" i="33"/>
  <c r="U187" i="33"/>
  <c r="V187" i="33" s="1"/>
  <c r="T187" i="33"/>
  <c r="U302" i="33"/>
  <c r="V302" i="33" s="1"/>
  <c r="T302" i="33"/>
  <c r="U983" i="33"/>
  <c r="V983" i="33" s="1"/>
  <c r="T983" i="33"/>
  <c r="T48" i="33"/>
  <c r="U48" i="33"/>
  <c r="V48" i="33" s="1"/>
  <c r="T456" i="33"/>
  <c r="U456" i="33"/>
  <c r="V456" i="33" s="1"/>
  <c r="U253" i="33"/>
  <c r="V253" i="33" s="1"/>
  <c r="T253" i="33"/>
  <c r="U899" i="33"/>
  <c r="V899" i="33" s="1"/>
  <c r="T899" i="33"/>
  <c r="U375" i="33"/>
  <c r="V375" i="33" s="1"/>
  <c r="T375" i="33"/>
  <c r="U281" i="33"/>
  <c r="V281" i="33" s="1"/>
  <c r="T281" i="33"/>
  <c r="U843" i="33"/>
  <c r="V843" i="33" s="1"/>
  <c r="T843" i="33"/>
  <c r="T232" i="33"/>
  <c r="U232" i="33"/>
  <c r="V232" i="33" s="1"/>
  <c r="T330" i="33"/>
  <c r="U330" i="33"/>
  <c r="V330" i="33" s="1"/>
  <c r="U46" i="33"/>
  <c r="V46" i="33" s="1"/>
  <c r="T46" i="33"/>
  <c r="T839" i="33"/>
  <c r="U839" i="33"/>
  <c r="V839" i="33" s="1"/>
  <c r="U443" i="33"/>
  <c r="V443" i="33" s="1"/>
  <c r="T443" i="33"/>
  <c r="U616" i="33"/>
  <c r="V616" i="33" s="1"/>
  <c r="T616" i="33"/>
  <c r="U134" i="33"/>
  <c r="V134" i="33" s="1"/>
  <c r="T134" i="33"/>
  <c r="U677" i="33"/>
  <c r="V677" i="33" s="1"/>
  <c r="T677" i="33"/>
  <c r="T197" i="33"/>
  <c r="U197" i="33"/>
  <c r="V197" i="33" s="1"/>
  <c r="U38" i="33"/>
  <c r="V38" i="33" s="1"/>
  <c r="T38" i="33"/>
  <c r="T266" i="33"/>
  <c r="U266" i="33"/>
  <c r="V266" i="33" s="1"/>
  <c r="U592" i="33"/>
  <c r="V592" i="33" s="1"/>
  <c r="T592" i="33"/>
  <c r="T63" i="33"/>
  <c r="U63" i="33"/>
  <c r="V63" i="33" s="1"/>
  <c r="U682" i="33"/>
  <c r="V682" i="33" s="1"/>
  <c r="T682" i="33"/>
  <c r="T293" i="33"/>
  <c r="U293" i="33"/>
  <c r="V293" i="33" s="1"/>
  <c r="U945" i="33"/>
  <c r="V945" i="33" s="1"/>
  <c r="T945" i="33"/>
  <c r="T422" i="33"/>
  <c r="U422" i="33"/>
  <c r="V422" i="33" s="1"/>
  <c r="U189" i="33"/>
  <c r="V189" i="33" s="1"/>
  <c r="T189" i="33"/>
  <c r="U767" i="33"/>
  <c r="V767" i="33" s="1"/>
  <c r="T767" i="33"/>
  <c r="U248" i="33"/>
  <c r="V248" i="33" s="1"/>
  <c r="T248" i="33"/>
  <c r="U221" i="33"/>
  <c r="V221" i="33" s="1"/>
  <c r="T221" i="33"/>
  <c r="U727" i="33"/>
  <c r="V727" i="33" s="1"/>
  <c r="T727" i="33"/>
  <c r="T1020" i="33"/>
  <c r="U1020" i="33"/>
  <c r="V1020" i="33" s="1"/>
  <c r="U263" i="33"/>
  <c r="V263" i="33" s="1"/>
  <c r="T263" i="33"/>
  <c r="T920" i="33"/>
  <c r="U920" i="33"/>
  <c r="V920" i="33" s="1"/>
  <c r="U204" i="33"/>
  <c r="V204" i="33" s="1"/>
  <c r="T204" i="33"/>
  <c r="U207" i="33"/>
  <c r="V207" i="33" s="1"/>
  <c r="T207" i="33"/>
  <c r="U720" i="33"/>
  <c r="V720" i="33" s="1"/>
  <c r="T720" i="33"/>
  <c r="U418" i="33"/>
  <c r="V418" i="33" s="1"/>
  <c r="T418" i="33"/>
  <c r="U595" i="33"/>
  <c r="V595" i="33" s="1"/>
  <c r="T595" i="33"/>
  <c r="U575" i="33"/>
  <c r="V575" i="33" s="1"/>
  <c r="T575" i="33"/>
  <c r="U176" i="33"/>
  <c r="V176" i="33" s="1"/>
  <c r="T176" i="33"/>
  <c r="U230" i="33"/>
  <c r="V230" i="33" s="1"/>
  <c r="T230" i="33"/>
  <c r="U876" i="33"/>
  <c r="V876" i="33" s="1"/>
  <c r="T876" i="33"/>
  <c r="U508" i="33"/>
  <c r="V508" i="33" s="1"/>
  <c r="T508" i="33"/>
  <c r="U128" i="33"/>
  <c r="V128" i="33" s="1"/>
  <c r="T128" i="33"/>
  <c r="U1056" i="33"/>
  <c r="V1056" i="33" s="1"/>
  <c r="T1056" i="33"/>
  <c r="U22" i="33"/>
  <c r="V22" i="33" s="1"/>
  <c r="T22" i="33"/>
  <c r="T816" i="33"/>
  <c r="U816" i="33"/>
  <c r="V816" i="33" s="1"/>
  <c r="U30" i="33"/>
  <c r="V30" i="33" s="1"/>
  <c r="T30" i="33"/>
  <c r="U49" i="33"/>
  <c r="V49" i="33" s="1"/>
  <c r="T49" i="33"/>
  <c r="U195" i="33"/>
  <c r="V195" i="33" s="1"/>
  <c r="T195" i="33"/>
  <c r="U144" i="33"/>
  <c r="V144" i="33" s="1"/>
  <c r="T144" i="33"/>
  <c r="T175" i="33"/>
  <c r="U175" i="33"/>
  <c r="V175" i="33" s="1"/>
  <c r="U808" i="33"/>
  <c r="V808" i="33" s="1"/>
  <c r="T808" i="33"/>
  <c r="U851" i="33"/>
  <c r="V851" i="33" s="1"/>
  <c r="T851" i="33"/>
  <c r="U218" i="33"/>
  <c r="V218" i="33" s="1"/>
  <c r="T218" i="33"/>
  <c r="U507" i="33"/>
  <c r="V507" i="33" s="1"/>
  <c r="T507" i="33"/>
  <c r="U1042" i="33"/>
  <c r="V1042" i="33" s="1"/>
  <c r="T1042" i="33"/>
  <c r="U346" i="33"/>
  <c r="V346" i="33" s="1"/>
  <c r="T346" i="33"/>
  <c r="U43" i="33"/>
  <c r="V43" i="33" s="1"/>
  <c r="T43" i="33"/>
  <c r="U1031" i="33"/>
  <c r="V1031" i="33" s="1"/>
  <c r="T1031" i="33"/>
  <c r="U336" i="33"/>
  <c r="V336" i="33" s="1"/>
  <c r="T336" i="33"/>
  <c r="U824" i="33"/>
  <c r="V824" i="33" s="1"/>
  <c r="T824" i="33"/>
  <c r="U425" i="33"/>
  <c r="V425" i="33" s="1"/>
  <c r="T425" i="33"/>
  <c r="T468" i="33"/>
  <c r="U468" i="33"/>
  <c r="V468" i="33" s="1"/>
  <c r="U87" i="33"/>
  <c r="V87" i="33" s="1"/>
  <c r="T87" i="33"/>
  <c r="T409" i="33"/>
  <c r="U409" i="33"/>
  <c r="V409" i="33" s="1"/>
  <c r="T952" i="33"/>
  <c r="U952" i="33"/>
  <c r="V952" i="33" s="1"/>
  <c r="U371" i="33"/>
  <c r="V371" i="33" s="1"/>
  <c r="T371" i="33"/>
  <c r="T258" i="33"/>
  <c r="U258" i="33"/>
  <c r="V258" i="33" s="1"/>
  <c r="U224" i="33"/>
  <c r="V224" i="33" s="1"/>
  <c r="T224" i="33"/>
  <c r="U792" i="33"/>
  <c r="V792" i="33" s="1"/>
  <c r="T792" i="33"/>
  <c r="U67" i="33"/>
  <c r="V67" i="33" s="1"/>
  <c r="T67" i="33"/>
  <c r="U73" i="33"/>
  <c r="V73" i="33" s="1"/>
  <c r="T73" i="33"/>
  <c r="U135" i="33"/>
  <c r="V135" i="33" s="1"/>
  <c r="T135" i="33"/>
  <c r="T490" i="33"/>
  <c r="U490" i="33"/>
  <c r="V490" i="33" s="1"/>
  <c r="U291" i="33"/>
  <c r="V291" i="33" s="1"/>
  <c r="T291" i="33"/>
  <c r="U407" i="33"/>
  <c r="V407" i="33" s="1"/>
  <c r="T407" i="33"/>
  <c r="U692" i="33"/>
  <c r="V692" i="33" s="1"/>
  <c r="T692" i="33"/>
  <c r="U79" i="33"/>
  <c r="V79" i="33" s="1"/>
  <c r="T79" i="33"/>
  <c r="U881" i="33"/>
  <c r="V881" i="33" s="1"/>
  <c r="T881" i="33"/>
  <c r="T481" i="33"/>
  <c r="U481" i="33"/>
  <c r="V481" i="33" s="1"/>
  <c r="T631" i="33"/>
  <c r="U631" i="33"/>
  <c r="V631" i="33" s="1"/>
  <c r="T644" i="33"/>
  <c r="U644" i="33"/>
  <c r="V644" i="33" s="1"/>
  <c r="U1040" i="33"/>
  <c r="V1040" i="33" s="1"/>
  <c r="T1040" i="33"/>
  <c r="U600" i="33"/>
  <c r="V600" i="33" s="1"/>
  <c r="T600" i="33"/>
  <c r="U597" i="33"/>
  <c r="V597" i="33" s="1"/>
  <c r="T597" i="33"/>
  <c r="T854" i="33"/>
  <c r="U854" i="33"/>
  <c r="V854" i="33" s="1"/>
  <c r="U501" i="33"/>
  <c r="V501" i="33" s="1"/>
  <c r="T501" i="33"/>
  <c r="U671" i="33"/>
  <c r="V671" i="33" s="1"/>
  <c r="T671" i="33"/>
  <c r="T173" i="33"/>
  <c r="U173" i="33"/>
  <c r="V173" i="33" s="1"/>
  <c r="T217" i="33"/>
  <c r="U217" i="33"/>
  <c r="V217" i="33" s="1"/>
  <c r="U782" i="33"/>
  <c r="V782" i="33" s="1"/>
  <c r="T782" i="33"/>
  <c r="U193" i="33"/>
  <c r="V193" i="33" s="1"/>
  <c r="T193" i="33"/>
  <c r="U1046" i="33"/>
  <c r="V1046" i="33" s="1"/>
  <c r="T1046" i="33"/>
  <c r="T249" i="33"/>
  <c r="U249" i="33"/>
  <c r="V249" i="33" s="1"/>
  <c r="T553" i="33"/>
  <c r="U553" i="33"/>
  <c r="V553" i="33" s="1"/>
  <c r="T525" i="33"/>
  <c r="U525" i="33"/>
  <c r="V525" i="33" s="1"/>
  <c r="T917" i="33"/>
  <c r="U917" i="33"/>
  <c r="V917" i="33" s="1"/>
  <c r="T698" i="33"/>
  <c r="U698" i="33"/>
  <c r="V698" i="33" s="1"/>
  <c r="T419" i="33"/>
  <c r="U419" i="33"/>
  <c r="V419" i="33" s="1"/>
  <c r="T659" i="33"/>
  <c r="U659" i="33"/>
  <c r="V659" i="33" s="1"/>
  <c r="U308" i="33"/>
  <c r="V308" i="33" s="1"/>
  <c r="T308" i="33"/>
  <c r="U474" i="33"/>
  <c r="V474" i="33" s="1"/>
  <c r="T474" i="33"/>
  <c r="U270" i="33"/>
  <c r="V270" i="33" s="1"/>
  <c r="T270" i="33"/>
  <c r="T963" i="33"/>
  <c r="U963" i="33"/>
  <c r="V963" i="33" s="1"/>
  <c r="U604" i="33"/>
  <c r="V604" i="33" s="1"/>
  <c r="T604" i="33"/>
  <c r="U586" i="33"/>
  <c r="V586" i="33" s="1"/>
  <c r="T586" i="33"/>
  <c r="U262" i="33"/>
  <c r="V262" i="33" s="1"/>
  <c r="T262" i="33"/>
  <c r="U897" i="33"/>
  <c r="V897" i="33" s="1"/>
  <c r="T897" i="33"/>
  <c r="U987" i="33"/>
  <c r="V987" i="33" s="1"/>
  <c r="T987" i="33"/>
  <c r="T779" i="33"/>
  <c r="U779" i="33"/>
  <c r="V779" i="33" s="1"/>
  <c r="U357" i="33"/>
  <c r="V357" i="33" s="1"/>
  <c r="T357" i="33"/>
  <c r="U444" i="33"/>
  <c r="V444" i="33" s="1"/>
  <c r="T444" i="33"/>
  <c r="U807" i="33"/>
  <c r="V807" i="33" s="1"/>
  <c r="T807" i="33"/>
  <c r="U902" i="33"/>
  <c r="V902" i="33" s="1"/>
  <c r="T902" i="33"/>
  <c r="U485" i="33"/>
  <c r="V485" i="33" s="1"/>
  <c r="T485" i="33"/>
  <c r="U143" i="33"/>
  <c r="V143" i="33" s="1"/>
  <c r="T143" i="33"/>
  <c r="U981" i="33"/>
  <c r="V981" i="33" s="1"/>
  <c r="T981" i="33"/>
  <c r="U649" i="33"/>
  <c r="V649" i="33" s="1"/>
  <c r="T649" i="33"/>
  <c r="T290" i="33"/>
  <c r="U290" i="33"/>
  <c r="V290" i="33" s="1"/>
  <c r="T222" i="33"/>
  <c r="U222" i="33"/>
  <c r="V222" i="33" s="1"/>
  <c r="T875" i="33"/>
  <c r="U875" i="33"/>
  <c r="V875" i="33" s="1"/>
  <c r="U771" i="33"/>
  <c r="V771" i="33" s="1"/>
  <c r="T771" i="33"/>
  <c r="U886" i="33"/>
  <c r="V886" i="33" s="1"/>
  <c r="T886" i="33"/>
  <c r="U355" i="33"/>
  <c r="V355" i="33" s="1"/>
  <c r="T355" i="33"/>
  <c r="U47" i="33"/>
  <c r="V47" i="33" s="1"/>
  <c r="T47" i="33"/>
  <c r="T992" i="33"/>
  <c r="U992" i="33"/>
  <c r="V992" i="33" s="1"/>
  <c r="U704" i="33"/>
  <c r="V704" i="33" s="1"/>
  <c r="T704" i="33"/>
  <c r="T286" i="33"/>
  <c r="U286" i="33"/>
  <c r="V286" i="33" s="1"/>
  <c r="T116" i="33"/>
  <c r="U116" i="33"/>
  <c r="V116" i="33" s="1"/>
  <c r="U261" i="33"/>
  <c r="V261" i="33" s="1"/>
  <c r="T261" i="33"/>
  <c r="U986" i="33"/>
  <c r="V986" i="33" s="1"/>
  <c r="T986" i="33"/>
  <c r="U990" i="33"/>
  <c r="V990" i="33" s="1"/>
  <c r="T990" i="33"/>
  <c r="T494" i="33"/>
  <c r="U494" i="33"/>
  <c r="V494" i="33" s="1"/>
  <c r="U518" i="33"/>
  <c r="V518" i="33" s="1"/>
  <c r="T518" i="33"/>
  <c r="U108" i="33"/>
  <c r="V108" i="33" s="1"/>
  <c r="T108" i="33"/>
  <c r="U729" i="33"/>
  <c r="V729" i="33" s="1"/>
  <c r="T729" i="33"/>
  <c r="U888" i="33"/>
  <c r="V888" i="33" s="1"/>
  <c r="T888" i="33"/>
  <c r="U603" i="33"/>
  <c r="V603" i="33" s="1"/>
  <c r="T603" i="33"/>
  <c r="U180" i="33"/>
  <c r="V180" i="33" s="1"/>
  <c r="T180" i="33"/>
  <c r="T483" i="33"/>
  <c r="U483" i="33"/>
  <c r="V483" i="33" s="1"/>
  <c r="T463" i="33"/>
  <c r="U463" i="33"/>
  <c r="V463" i="33" s="1"/>
  <c r="U568" i="33"/>
  <c r="V568" i="33" s="1"/>
  <c r="T568" i="33"/>
  <c r="T596" i="33"/>
  <c r="U596" i="33"/>
  <c r="V596" i="33" s="1"/>
  <c r="T28" i="33"/>
  <c r="U28" i="33"/>
  <c r="V28" i="33" s="1"/>
  <c r="U345" i="33"/>
  <c r="V345" i="33" s="1"/>
  <c r="T345" i="33"/>
  <c r="U377" i="33"/>
  <c r="V377" i="33" s="1"/>
  <c r="T377" i="33"/>
  <c r="U840" i="33"/>
  <c r="V840" i="33" s="1"/>
  <c r="T840" i="33"/>
  <c r="T689" i="33"/>
  <c r="U689" i="33"/>
  <c r="V689" i="33" s="1"/>
  <c r="U385" i="33"/>
  <c r="V385" i="33" s="1"/>
  <c r="T385" i="33"/>
  <c r="U288" i="33"/>
  <c r="V288" i="33" s="1"/>
  <c r="T288" i="33"/>
  <c r="U936" i="33"/>
  <c r="V936" i="33" s="1"/>
  <c r="T936" i="33"/>
  <c r="U589" i="33"/>
  <c r="V589" i="33" s="1"/>
  <c r="T589" i="33"/>
  <c r="U171" i="33"/>
  <c r="V171" i="33" s="1"/>
  <c r="T171" i="33"/>
  <c r="U213" i="33"/>
  <c r="V213" i="33" s="1"/>
  <c r="T213" i="33"/>
  <c r="U247" i="33"/>
  <c r="V247" i="33" s="1"/>
  <c r="T247" i="33"/>
  <c r="U578" i="33"/>
  <c r="V578" i="33" s="1"/>
  <c r="T578" i="33"/>
  <c r="U96" i="33"/>
  <c r="V96" i="33" s="1"/>
  <c r="T96" i="33"/>
  <c r="U790" i="33"/>
  <c r="V790" i="33" s="1"/>
  <c r="T790" i="33"/>
  <c r="U182" i="33"/>
  <c r="V182" i="33" s="1"/>
  <c r="T182" i="33"/>
  <c r="U384" i="33"/>
  <c r="V384" i="33" s="1"/>
  <c r="T384" i="33"/>
  <c r="U817" i="33"/>
  <c r="V817" i="33" s="1"/>
  <c r="T817" i="33"/>
  <c r="T583" i="33"/>
  <c r="U583" i="33"/>
  <c r="V583" i="33" s="1"/>
  <c r="U321" i="33"/>
  <c r="V321" i="33" s="1"/>
  <c r="T321" i="33"/>
  <c r="U713" i="33"/>
  <c r="V713" i="33" s="1"/>
  <c r="T713" i="33"/>
  <c r="U423" i="33"/>
  <c r="V423" i="33" s="1"/>
  <c r="T423" i="33"/>
  <c r="T908" i="33"/>
  <c r="U908" i="33"/>
  <c r="V908" i="33" s="1"/>
  <c r="T304" i="33"/>
  <c r="U304" i="33"/>
  <c r="V304" i="33" s="1"/>
  <c r="U610" i="33"/>
  <c r="V610" i="33" s="1"/>
  <c r="T610" i="33"/>
  <c r="U323" i="33"/>
  <c r="V323" i="33" s="1"/>
  <c r="T323" i="33"/>
  <c r="U757" i="33"/>
  <c r="V757" i="33" s="1"/>
  <c r="T757" i="33"/>
  <c r="U107" i="33"/>
  <c r="V107" i="33" s="1"/>
  <c r="T107" i="33"/>
  <c r="U351" i="33"/>
  <c r="V351" i="33" s="1"/>
  <c r="T351" i="33"/>
  <c r="U878" i="33"/>
  <c r="V878" i="33" s="1"/>
  <c r="T878" i="33"/>
  <c r="T151" i="33"/>
  <c r="U151" i="33"/>
  <c r="V151" i="33" s="1"/>
  <c r="T697" i="33"/>
  <c r="U697" i="33"/>
  <c r="V697" i="33" s="1"/>
  <c r="T1009" i="33"/>
  <c r="U1009" i="33"/>
  <c r="V1009" i="33" s="1"/>
  <c r="T465" i="33"/>
  <c r="U465" i="33"/>
  <c r="V465" i="33" s="1"/>
  <c r="U933" i="33"/>
  <c r="V933" i="33" s="1"/>
  <c r="T933" i="33"/>
  <c r="T637" i="33"/>
  <c r="U637" i="33"/>
  <c r="V637" i="33" s="1"/>
  <c r="T313" i="33"/>
  <c r="U313" i="33"/>
  <c r="V313" i="33" s="1"/>
  <c r="U36" i="33"/>
  <c r="V36" i="33" s="1"/>
  <c r="T36" i="33"/>
  <c r="U993" i="33"/>
  <c r="V993" i="33" s="1"/>
  <c r="T993" i="33"/>
  <c r="T813" i="33"/>
  <c r="U813" i="33"/>
  <c r="V813" i="33" s="1"/>
  <c r="T783" i="33"/>
  <c r="U783" i="33"/>
  <c r="V783" i="33" s="1"/>
  <c r="U280" i="33"/>
  <c r="V280" i="33" s="1"/>
  <c r="T280" i="33"/>
  <c r="U401" i="33"/>
  <c r="V401" i="33" s="1"/>
  <c r="T401" i="33"/>
  <c r="U868" i="33"/>
  <c r="V868" i="33" s="1"/>
  <c r="T868" i="33"/>
  <c r="U793" i="33"/>
  <c r="V793" i="33" s="1"/>
  <c r="T793" i="33"/>
  <c r="U200" i="33"/>
  <c r="V200" i="33" s="1"/>
  <c r="T200" i="33"/>
  <c r="U517" i="33"/>
  <c r="V517" i="33" s="1"/>
  <c r="T517" i="33"/>
  <c r="U608" i="33"/>
  <c r="V608" i="33" s="1"/>
  <c r="T608" i="33"/>
  <c r="T558" i="33"/>
  <c r="U558" i="33"/>
  <c r="V558" i="33" s="1"/>
  <c r="U348" i="33"/>
  <c r="V348" i="33" s="1"/>
  <c r="T348" i="33"/>
  <c r="U406" i="33"/>
  <c r="V406" i="33" s="1"/>
  <c r="T406" i="33"/>
  <c r="T959" i="33"/>
  <c r="U959" i="33"/>
  <c r="V959" i="33" s="1"/>
  <c r="T1049" i="33"/>
  <c r="U1049" i="33"/>
  <c r="V1049" i="33" s="1"/>
  <c r="U156" i="33"/>
  <c r="V156" i="33" s="1"/>
  <c r="T156" i="33"/>
  <c r="U420" i="33"/>
  <c r="V420" i="33" s="1"/>
  <c r="T420" i="33"/>
  <c r="T402" i="33"/>
  <c r="U402" i="33"/>
  <c r="V402" i="33" s="1"/>
  <c r="T929" i="33"/>
  <c r="U929" i="33"/>
  <c r="V929" i="33" s="1"/>
  <c r="U1057" i="33"/>
  <c r="V1057" i="33" s="1"/>
  <c r="T1057" i="33"/>
  <c r="U265" i="33"/>
  <c r="V265" i="33" s="1"/>
  <c r="T265" i="33"/>
  <c r="T104" i="33"/>
  <c r="U104" i="33"/>
  <c r="V104" i="33" s="1"/>
  <c r="T510" i="33"/>
  <c r="U510" i="33"/>
  <c r="V510" i="33" s="1"/>
  <c r="U617" i="33"/>
  <c r="V617" i="33" s="1"/>
  <c r="T617" i="33"/>
  <c r="T862" i="33"/>
  <c r="U862" i="33"/>
  <c r="V862" i="33" s="1"/>
  <c r="U269" i="33"/>
  <c r="V269" i="33" s="1"/>
  <c r="T269" i="33"/>
  <c r="U53" i="33"/>
  <c r="V53" i="33" s="1"/>
  <c r="T53" i="33"/>
  <c r="T391" i="33"/>
  <c r="U391" i="33"/>
  <c r="V391" i="33" s="1"/>
  <c r="U569" i="33"/>
  <c r="V569" i="33" s="1"/>
  <c r="T569" i="33"/>
  <c r="U829" i="33"/>
  <c r="V829" i="33" s="1"/>
  <c r="T829" i="33"/>
  <c r="U903" i="33"/>
  <c r="V903" i="33" s="1"/>
  <c r="T903" i="33"/>
  <c r="T325" i="33"/>
  <c r="U325" i="33"/>
  <c r="V325" i="33" s="1"/>
  <c r="T268" i="33"/>
  <c r="U268" i="33"/>
  <c r="V268" i="33" s="1"/>
  <c r="U235" i="33"/>
  <c r="V235" i="33" s="1"/>
  <c r="T235" i="33"/>
  <c r="T1025" i="33"/>
  <c r="U1025" i="33"/>
  <c r="V1025" i="33" s="1"/>
  <c r="T739" i="33"/>
  <c r="U739" i="33"/>
  <c r="V739" i="33" s="1"/>
  <c r="U257" i="33"/>
  <c r="V257" i="33" s="1"/>
  <c r="T257" i="33"/>
  <c r="T65" i="33"/>
  <c r="U65" i="33"/>
  <c r="V65" i="33" s="1"/>
  <c r="T1019" i="33"/>
  <c r="U1019" i="33"/>
  <c r="V1019" i="33" s="1"/>
  <c r="T827" i="33"/>
  <c r="U827" i="33"/>
  <c r="V827" i="33" s="1"/>
  <c r="U732" i="33"/>
  <c r="V732" i="33" s="1"/>
  <c r="T732" i="33"/>
  <c r="U251" i="33"/>
  <c r="V251" i="33" s="1"/>
  <c r="T251" i="33"/>
  <c r="U98" i="33"/>
  <c r="V98" i="33" s="1"/>
  <c r="T98" i="33"/>
  <c r="T579" i="33"/>
  <c r="U579" i="33"/>
  <c r="V579" i="33" s="1"/>
  <c r="T966" i="33"/>
  <c r="U966" i="33"/>
  <c r="V966" i="33" s="1"/>
  <c r="T131" i="33"/>
  <c r="U131" i="33"/>
  <c r="V131" i="33" s="1"/>
  <c r="T454" i="33"/>
  <c r="U454" i="33"/>
  <c r="V454" i="33" s="1"/>
  <c r="U51" i="33"/>
  <c r="V51" i="33" s="1"/>
  <c r="T51" i="33"/>
  <c r="T726" i="33"/>
  <c r="U726" i="33"/>
  <c r="V726" i="33" s="1"/>
  <c r="U838" i="33"/>
  <c r="V838" i="33" s="1"/>
  <c r="T838" i="33"/>
  <c r="U242" i="33"/>
  <c r="V242" i="33" s="1"/>
  <c r="T242" i="33"/>
  <c r="T75" i="33"/>
  <c r="U75" i="33"/>
  <c r="V75" i="33" s="1"/>
  <c r="T484" i="33"/>
  <c r="U484" i="33"/>
  <c r="V484" i="33" s="1"/>
  <c r="U830" i="33"/>
  <c r="V830" i="33" s="1"/>
  <c r="T830" i="33"/>
  <c r="T686" i="33"/>
  <c r="U686" i="33"/>
  <c r="V686" i="33" s="1"/>
  <c r="T109" i="33"/>
  <c r="U109" i="33"/>
  <c r="V109" i="33" s="1"/>
  <c r="U69" i="33"/>
  <c r="V69" i="33" s="1"/>
  <c r="T69" i="33"/>
  <c r="U760" i="33"/>
  <c r="V760" i="33" s="1"/>
  <c r="T760" i="33"/>
  <c r="T397" i="33"/>
  <c r="U397" i="33"/>
  <c r="V397" i="33" s="1"/>
  <c r="U111" i="33"/>
  <c r="V111" i="33" s="1"/>
  <c r="T111" i="33"/>
  <c r="T998" i="33"/>
  <c r="U998" i="33"/>
  <c r="V998" i="33" s="1"/>
  <c r="T410" i="33"/>
  <c r="U410" i="33"/>
  <c r="V410" i="33" s="1"/>
  <c r="U1015" i="33"/>
  <c r="V1015" i="33" s="1"/>
  <c r="T1015" i="33"/>
  <c r="U364" i="33"/>
  <c r="V364" i="33" s="1"/>
  <c r="T364" i="33"/>
  <c r="U199" i="33"/>
  <c r="V199" i="33" s="1"/>
  <c r="T199" i="33"/>
  <c r="U636" i="33"/>
  <c r="V636" i="33" s="1"/>
  <c r="T636" i="33"/>
  <c r="T801" i="33"/>
  <c r="U801" i="33"/>
  <c r="V801" i="33" s="1"/>
  <c r="T462" i="33"/>
  <c r="U462" i="33"/>
  <c r="V462" i="33" s="1"/>
  <c r="T68" i="33"/>
  <c r="U68" i="33"/>
  <c r="V68" i="33" s="1"/>
  <c r="U567" i="33"/>
  <c r="V567" i="33" s="1"/>
  <c r="T567" i="33"/>
  <c r="U848" i="33"/>
  <c r="V848" i="33" s="1"/>
  <c r="T848" i="33"/>
  <c r="U450" i="33"/>
  <c r="V450" i="33" s="1"/>
  <c r="T450" i="33"/>
  <c r="U768" i="33"/>
  <c r="V768" i="33" s="1"/>
  <c r="T768" i="33"/>
  <c r="T736" i="33"/>
  <c r="U736" i="33"/>
  <c r="V736" i="33" s="1"/>
  <c r="U609" i="33"/>
  <c r="V609" i="33" s="1"/>
  <c r="T609" i="33"/>
  <c r="T901" i="33"/>
  <c r="U901" i="33"/>
  <c r="V901" i="33" s="1"/>
  <c r="U229" i="33"/>
  <c r="V229" i="33" s="1"/>
  <c r="T229" i="33"/>
  <c r="T303" i="33"/>
  <c r="U303" i="33"/>
  <c r="V303" i="33" s="1"/>
  <c r="U587" i="33"/>
  <c r="V587" i="33" s="1"/>
  <c r="T587" i="33"/>
  <c r="U947" i="33"/>
  <c r="V947" i="33" s="1"/>
  <c r="T947" i="33"/>
  <c r="U472" i="33"/>
  <c r="V472" i="33" s="1"/>
  <c r="T472" i="33"/>
  <c r="T126" i="33"/>
  <c r="U126" i="33"/>
  <c r="V126" i="33" s="1"/>
  <c r="U584" i="33"/>
  <c r="V584" i="33" s="1"/>
  <c r="T584" i="33"/>
  <c r="U894" i="33"/>
  <c r="V894" i="33" s="1"/>
  <c r="T894" i="33"/>
  <c r="U181" i="33"/>
  <c r="V181" i="33" s="1"/>
  <c r="T181" i="33"/>
  <c r="U319" i="33"/>
  <c r="V319" i="33" s="1"/>
  <c r="T319" i="33"/>
  <c r="U743" i="33"/>
  <c r="V743" i="33" s="1"/>
  <c r="T743" i="33"/>
  <c r="U1013" i="33"/>
  <c r="V1013" i="33" s="1"/>
  <c r="T1013" i="33"/>
  <c r="U390" i="33"/>
  <c r="V390" i="33" s="1"/>
  <c r="T390" i="33"/>
  <c r="T40" i="33"/>
  <c r="U40" i="33"/>
  <c r="V40" i="33" s="1"/>
  <c r="U115" i="33"/>
  <c r="V115" i="33" s="1"/>
  <c r="T115" i="33"/>
  <c r="T961" i="33"/>
  <c r="U961" i="33"/>
  <c r="V961" i="33" s="1"/>
  <c r="T949" i="33"/>
  <c r="U949" i="33"/>
  <c r="V949" i="33" s="1"/>
  <c r="T515" i="33"/>
  <c r="U515" i="33"/>
  <c r="V515" i="33" s="1"/>
  <c r="U102" i="33"/>
  <c r="V102" i="33" s="1"/>
  <c r="T102" i="33"/>
  <c r="U61" i="33"/>
  <c r="V61" i="33" s="1"/>
  <c r="T61" i="33"/>
  <c r="T611" i="33"/>
  <c r="U611" i="33"/>
  <c r="V611" i="33" s="1"/>
  <c r="U668" i="33"/>
  <c r="V668" i="33" s="1"/>
  <c r="T668" i="33"/>
  <c r="U244" i="33"/>
  <c r="V244" i="33" s="1"/>
  <c r="T244" i="33"/>
  <c r="U95" i="33"/>
  <c r="V95" i="33" s="1"/>
  <c r="T95" i="33"/>
  <c r="U292" i="33"/>
  <c r="V292" i="33" s="1"/>
  <c r="T292" i="33"/>
  <c r="U780" i="33"/>
  <c r="V780" i="33" s="1"/>
  <c r="T780" i="33"/>
  <c r="U833" i="33"/>
  <c r="V833" i="33" s="1"/>
  <c r="T833" i="33"/>
  <c r="U741" i="33"/>
  <c r="V741" i="33" s="1"/>
  <c r="T741" i="33"/>
  <c r="T522" i="33"/>
  <c r="U522" i="33"/>
  <c r="V522" i="33" s="1"/>
  <c r="T497" i="33"/>
  <c r="U497" i="33"/>
  <c r="V497" i="33" s="1"/>
  <c r="T295" i="33"/>
  <c r="U295" i="33"/>
  <c r="V295" i="33" s="1"/>
  <c r="U709" i="33"/>
  <c r="V709" i="33" s="1"/>
  <c r="T709" i="33"/>
  <c r="U699" i="33"/>
  <c r="V699" i="33" s="1"/>
  <c r="T699" i="33"/>
  <c r="U250" i="33"/>
  <c r="V250" i="33" s="1"/>
  <c r="T250" i="33"/>
  <c r="U119" i="33"/>
  <c r="V119" i="33" s="1"/>
  <c r="T119" i="33"/>
  <c r="T754" i="33"/>
  <c r="U754" i="33"/>
  <c r="V754" i="33" s="1"/>
  <c r="T605" i="33"/>
  <c r="U605" i="33"/>
  <c r="V605" i="33" s="1"/>
  <c r="U283" i="33"/>
  <c r="V283" i="33" s="1"/>
  <c r="T283" i="33"/>
  <c r="U121" i="33"/>
  <c r="V121" i="33" s="1"/>
  <c r="T121" i="33"/>
  <c r="U227" i="33"/>
  <c r="V227" i="33" s="1"/>
  <c r="T227" i="33"/>
  <c r="T626" i="33"/>
  <c r="U626" i="33"/>
  <c r="V626" i="33" s="1"/>
  <c r="T742" i="33"/>
  <c r="U742" i="33"/>
  <c r="V742" i="33" s="1"/>
  <c r="U411" i="33"/>
  <c r="V411" i="33" s="1"/>
  <c r="T411" i="33"/>
  <c r="U34" i="33"/>
  <c r="V34" i="33" s="1"/>
  <c r="T34" i="33"/>
  <c r="U738" i="33"/>
  <c r="V738" i="33" s="1"/>
  <c r="T738" i="33"/>
  <c r="T23" i="33"/>
  <c r="U23" i="33"/>
  <c r="V23" i="33" s="1"/>
  <c r="U447" i="33"/>
  <c r="V447" i="33" s="1"/>
  <c r="T447" i="33"/>
  <c r="U628" i="33"/>
  <c r="V628" i="33" s="1"/>
  <c r="T628" i="33"/>
  <c r="U819" i="33"/>
  <c r="V819" i="33" s="1"/>
  <c r="T819" i="33"/>
  <c r="U673" i="33"/>
  <c r="V673" i="33" s="1"/>
  <c r="T673" i="33"/>
  <c r="U271" i="33"/>
  <c r="V271" i="33" s="1"/>
  <c r="T271" i="33"/>
  <c r="U358" i="33"/>
  <c r="V358" i="33" s="1"/>
  <c r="T358" i="33"/>
  <c r="U940" i="33"/>
  <c r="V940" i="33" s="1"/>
  <c r="T940" i="33"/>
  <c r="T864" i="33"/>
  <c r="U864" i="33"/>
  <c r="V864" i="33" s="1"/>
  <c r="U337" i="33"/>
  <c r="V337" i="33" s="1"/>
  <c r="T337" i="33"/>
  <c r="U924" i="33"/>
  <c r="V924" i="33" s="1"/>
  <c r="T924" i="33"/>
  <c r="U654" i="33"/>
  <c r="V654" i="33" s="1"/>
  <c r="T654" i="33"/>
  <c r="U638" i="33"/>
  <c r="V638" i="33" s="1"/>
  <c r="T638" i="33"/>
  <c r="T225" i="33"/>
  <c r="U225" i="33"/>
  <c r="V225" i="33" s="1"/>
  <c r="U113" i="33"/>
  <c r="V113" i="33" s="1"/>
  <c r="T113" i="33"/>
  <c r="T184" i="33"/>
  <c r="U184" i="33"/>
  <c r="V184" i="33" s="1"/>
  <c r="U670" i="33"/>
  <c r="V670" i="33" s="1"/>
  <c r="T670" i="33"/>
  <c r="T828" i="33"/>
  <c r="U828" i="33"/>
  <c r="V828" i="33" s="1"/>
  <c r="T85" i="33"/>
  <c r="U85" i="33"/>
  <c r="V85" i="33" s="1"/>
  <c r="T208" i="33"/>
  <c r="U208" i="33"/>
  <c r="V208" i="33" s="1"/>
  <c r="T893" i="33"/>
  <c r="U893" i="33"/>
  <c r="V893" i="33" s="1"/>
  <c r="U703" i="33"/>
  <c r="V703" i="33" s="1"/>
  <c r="T703" i="33"/>
  <c r="U165" i="33"/>
  <c r="V165" i="33" s="1"/>
  <c r="T165" i="33"/>
  <c r="U467" i="33"/>
  <c r="V467" i="33" s="1"/>
  <c r="T467" i="33"/>
  <c r="U581" i="33"/>
  <c r="V581" i="33" s="1"/>
  <c r="T581" i="33"/>
  <c r="U870" i="33"/>
  <c r="V870" i="33" s="1"/>
  <c r="T870" i="33"/>
  <c r="U352" i="33"/>
  <c r="V352" i="33" s="1"/>
  <c r="T352" i="33"/>
  <c r="T103" i="33"/>
  <c r="U103" i="33"/>
  <c r="V103" i="33" s="1"/>
  <c r="U310" i="33"/>
  <c r="V310" i="33" s="1"/>
  <c r="T310" i="33"/>
  <c r="U922" i="33"/>
  <c r="V922" i="33" s="1"/>
  <c r="T922" i="33"/>
  <c r="T958" i="33"/>
  <c r="U958" i="33"/>
  <c r="V958" i="33" s="1"/>
  <c r="T393" i="33"/>
  <c r="U393" i="33"/>
  <c r="V393" i="33" s="1"/>
  <c r="T52" i="33"/>
  <c r="U52" i="33"/>
  <c r="V52" i="33" s="1"/>
  <c r="T324" i="33"/>
  <c r="U324" i="33"/>
  <c r="V324" i="33" s="1"/>
  <c r="T737" i="33"/>
  <c r="U737" i="33"/>
  <c r="V737" i="33" s="1"/>
  <c r="T551" i="33"/>
  <c r="U551" i="33"/>
  <c r="V551" i="33" s="1"/>
  <c r="T333" i="33"/>
  <c r="U333" i="33"/>
  <c r="V333" i="33" s="1"/>
  <c r="T305" i="33"/>
  <c r="U305" i="33"/>
  <c r="V305" i="33" s="1"/>
  <c r="T648" i="33"/>
  <c r="U648" i="33"/>
  <c r="V648" i="33" s="1"/>
  <c r="T555" i="33"/>
  <c r="U555" i="33"/>
  <c r="V555" i="33" s="1"/>
  <c r="U954" i="33"/>
  <c r="V954" i="33" s="1"/>
  <c r="T954" i="33"/>
  <c r="U90" i="33"/>
  <c r="V90" i="33" s="1"/>
  <c r="T90" i="33"/>
  <c r="U487" i="33"/>
  <c r="V487" i="33" s="1"/>
  <c r="T487" i="33"/>
  <c r="U934" i="33"/>
  <c r="V934" i="33" s="1"/>
  <c r="T934" i="33"/>
  <c r="U964" i="33"/>
  <c r="V964" i="33" s="1"/>
  <c r="T964" i="33"/>
  <c r="T1029" i="33"/>
  <c r="U1029" i="33"/>
  <c r="V1029" i="33" s="1"/>
  <c r="T24" i="33"/>
  <c r="U24" i="33"/>
  <c r="V24" i="33" s="1"/>
  <c r="U332" i="33"/>
  <c r="V332" i="33" s="1"/>
  <c r="T332" i="33"/>
  <c r="U706" i="33"/>
  <c r="V706" i="33" s="1"/>
  <c r="T706" i="33"/>
  <c r="U944" i="33"/>
  <c r="V944" i="33" s="1"/>
  <c r="T944" i="33"/>
  <c r="U430" i="33"/>
  <c r="V430" i="33" s="1"/>
  <c r="T430" i="33"/>
  <c r="U529" i="33"/>
  <c r="V529" i="33" s="1"/>
  <c r="T529" i="33"/>
  <c r="T1055" i="33"/>
  <c r="U1055" i="33"/>
  <c r="V1055" i="33" s="1"/>
  <c r="U905" i="33"/>
  <c r="V905" i="33" s="1"/>
  <c r="T905" i="33"/>
  <c r="U762" i="33"/>
  <c r="V762" i="33" s="1"/>
  <c r="T762" i="33"/>
  <c r="T403" i="33"/>
  <c r="U403" i="33"/>
  <c r="V403" i="33" s="1"/>
  <c r="U72" i="33"/>
  <c r="V72" i="33" s="1"/>
  <c r="T72" i="33"/>
  <c r="U982" i="33"/>
  <c r="V982" i="33" s="1"/>
  <c r="T982" i="33"/>
  <c r="U1002" i="33"/>
  <c r="V1002" i="33" s="1"/>
  <c r="T1002" i="33"/>
  <c r="U1061" i="33"/>
  <c r="V1061" i="33" s="1"/>
  <c r="T1061" i="33"/>
  <c r="U941" i="33"/>
  <c r="V941" i="33" s="1"/>
  <c r="T941" i="33"/>
  <c r="U44" i="33"/>
  <c r="V44" i="33" s="1"/>
  <c r="T44" i="33"/>
  <c r="U299" i="33"/>
  <c r="V299" i="33" s="1"/>
  <c r="T299" i="33"/>
  <c r="T784" i="33"/>
  <c r="U784" i="33"/>
  <c r="V784" i="33" s="1"/>
  <c r="T722" i="33"/>
  <c r="U722" i="33"/>
  <c r="V722" i="33" s="1"/>
  <c r="T1018" i="33"/>
  <c r="U1018" i="33"/>
  <c r="V1018" i="33" s="1"/>
  <c r="T287" i="33"/>
  <c r="U287" i="33"/>
  <c r="V287" i="33" s="1"/>
  <c r="U715" i="33"/>
  <c r="V715" i="33" s="1"/>
  <c r="T715" i="33"/>
  <c r="U997" i="33"/>
  <c r="V997" i="33" s="1"/>
  <c r="T997" i="33"/>
  <c r="T968" i="33"/>
  <c r="U968" i="33"/>
  <c r="V968" i="33" s="1"/>
  <c r="U60" i="33"/>
  <c r="V60" i="33" s="1"/>
  <c r="T60" i="33"/>
  <c r="T239" i="33"/>
  <c r="U239" i="33"/>
  <c r="V239" i="33" s="1"/>
  <c r="T496" i="33"/>
  <c r="U496" i="33"/>
  <c r="V496" i="33" s="1"/>
  <c r="U1034" i="33"/>
  <c r="V1034" i="33" s="1"/>
  <c r="T1034" i="33"/>
  <c r="U653" i="33"/>
  <c r="V653" i="33" s="1"/>
  <c r="T653" i="33"/>
  <c r="T455" i="33"/>
  <c r="U455" i="33"/>
  <c r="V455" i="33" s="1"/>
  <c r="U97" i="33"/>
  <c r="V97" i="33" s="1"/>
  <c r="T97" i="33"/>
  <c r="T772" i="33"/>
  <c r="U772" i="33"/>
  <c r="V772" i="33" s="1"/>
  <c r="U1022" i="33"/>
  <c r="V1022" i="33" s="1"/>
  <c r="T1022" i="33"/>
  <c r="T413" i="33"/>
  <c r="U413" i="33"/>
  <c r="V413" i="33" s="1"/>
  <c r="T142" i="33"/>
  <c r="U142" i="33"/>
  <c r="V142" i="33" s="1"/>
  <c r="U794" i="33"/>
  <c r="V794" i="33" s="1"/>
  <c r="T794" i="33"/>
  <c r="U554" i="33"/>
  <c r="V554" i="33" s="1"/>
  <c r="T554" i="33"/>
  <c r="U42" i="33"/>
  <c r="V42" i="33" s="1"/>
  <c r="T42" i="33"/>
  <c r="U178" i="33"/>
  <c r="V178" i="33" s="1"/>
  <c r="T178" i="33"/>
  <c r="T31" i="33"/>
  <c r="U31" i="33"/>
  <c r="V31" i="33" s="1"/>
  <c r="T666" i="33"/>
  <c r="U666" i="33"/>
  <c r="V666" i="33" s="1"/>
  <c r="U559" i="33"/>
  <c r="V559" i="33" s="1"/>
  <c r="T559" i="33"/>
  <c r="U359" i="33"/>
  <c r="V359" i="33" s="1"/>
  <c r="T359" i="33"/>
  <c r="U214" i="33"/>
  <c r="V214" i="33" s="1"/>
  <c r="T214" i="33"/>
  <c r="T362" i="33"/>
  <c r="U362" i="33"/>
  <c r="V362" i="33" s="1"/>
  <c r="T1052" i="33"/>
  <c r="U1052" i="33"/>
  <c r="V1052" i="33" s="1"/>
  <c r="U705" i="33"/>
  <c r="V705" i="33" s="1"/>
  <c r="T705" i="33"/>
  <c r="T149" i="33"/>
  <c r="U149" i="33"/>
  <c r="V149" i="33" s="1"/>
  <c r="T166" i="33"/>
  <c r="U166" i="33"/>
  <c r="V166" i="33" s="1"/>
  <c r="U753" i="33"/>
  <c r="V753" i="33" s="1"/>
  <c r="T753" i="33"/>
  <c r="U1041" i="33"/>
  <c r="V1041" i="33" s="1"/>
  <c r="T1041" i="33"/>
  <c r="U676" i="33"/>
  <c r="V676" i="33" s="1"/>
  <c r="T676" i="33"/>
  <c r="U158" i="33"/>
  <c r="V158" i="33" s="1"/>
  <c r="T158" i="33"/>
  <c r="T279" i="33"/>
  <c r="U279" i="33"/>
  <c r="V279" i="33" s="1"/>
  <c r="U316" i="33"/>
  <c r="V316" i="33" s="1"/>
  <c r="T316" i="33"/>
  <c r="U955" i="33"/>
  <c r="V955" i="33" s="1"/>
  <c r="T955" i="33"/>
  <c r="T764" i="33"/>
  <c r="U764" i="33"/>
  <c r="V764" i="33" s="1"/>
  <c r="T975" i="33"/>
  <c r="U975" i="33"/>
  <c r="V975" i="33" s="1"/>
  <c r="U512" i="33"/>
  <c r="V512" i="33" s="1"/>
  <c r="T512" i="33"/>
  <c r="U486" i="33"/>
  <c r="V486" i="33" s="1"/>
  <c r="T486" i="33"/>
  <c r="T623" i="33"/>
  <c r="U623" i="33"/>
  <c r="V623" i="33" s="1"/>
  <c r="U925" i="33"/>
  <c r="V925" i="33" s="1"/>
  <c r="T925" i="33"/>
  <c r="T276" i="33"/>
  <c r="U276" i="33"/>
  <c r="V276" i="33" s="1"/>
  <c r="U523" i="33"/>
  <c r="V523" i="33" s="1"/>
  <c r="T523" i="33"/>
  <c r="T556" i="33"/>
  <c r="U556" i="33"/>
  <c r="V556" i="33" s="1"/>
  <c r="T717" i="33"/>
  <c r="U717" i="33"/>
  <c r="V717" i="33" s="1"/>
  <c r="T835" i="33"/>
  <c r="U835" i="33"/>
  <c r="V835" i="33" s="1"/>
  <c r="U203" i="33"/>
  <c r="V203" i="33" s="1"/>
  <c r="T203" i="33"/>
  <c r="U421" i="33"/>
  <c r="V421" i="33" s="1"/>
  <c r="T421" i="33"/>
  <c r="U110" i="33"/>
  <c r="V110" i="33" s="1"/>
  <c r="T110" i="33"/>
  <c r="U183" i="33"/>
  <c r="V183" i="33" s="1"/>
  <c r="T183" i="33"/>
  <c r="T129" i="33"/>
  <c r="U129" i="33"/>
  <c r="V129" i="33" s="1"/>
  <c r="T778" i="33"/>
  <c r="U778" i="33"/>
  <c r="V778" i="33" s="1"/>
  <c r="U629" i="33"/>
  <c r="V629" i="33" s="1"/>
  <c r="T629" i="33"/>
  <c r="T322" i="33"/>
  <c r="U322" i="33"/>
  <c r="V322" i="33" s="1"/>
  <c r="T1012" i="33"/>
  <c r="U1012" i="33"/>
  <c r="V1012" i="33" s="1"/>
  <c r="U254" i="33"/>
  <c r="V254" i="33" s="1"/>
  <c r="T254" i="33"/>
  <c r="U245" i="33"/>
  <c r="V245" i="33" s="1"/>
  <c r="T245" i="33"/>
  <c r="U716" i="33"/>
  <c r="V716" i="33" s="1"/>
  <c r="T716" i="33"/>
  <c r="U349" i="33"/>
  <c r="V349" i="33" s="1"/>
  <c r="T349" i="33"/>
  <c r="T20" i="33"/>
  <c r="U20" i="33"/>
  <c r="V20" i="33" s="1"/>
  <c r="U601" i="33"/>
  <c r="V601" i="33" s="1"/>
  <c r="T601" i="33"/>
  <c r="T756" i="33"/>
  <c r="U756" i="33"/>
  <c r="V756" i="33" s="1"/>
  <c r="U234" i="33"/>
  <c r="V234" i="33" s="1"/>
  <c r="T234" i="33"/>
  <c r="U139" i="33"/>
  <c r="V139" i="33" s="1"/>
  <c r="T139" i="33"/>
  <c r="U693" i="33"/>
  <c r="V693" i="33" s="1"/>
  <c r="T693" i="33"/>
  <c r="U971" i="33"/>
  <c r="V971" i="33" s="1"/>
  <c r="T971" i="33"/>
  <c r="T564" i="33"/>
  <c r="U564" i="33"/>
  <c r="V564" i="33" s="1"/>
  <c r="U380" i="33"/>
  <c r="V380" i="33" s="1"/>
  <c r="T380" i="33"/>
  <c r="T350" i="33"/>
  <c r="U350" i="33"/>
  <c r="V350" i="33" s="1"/>
  <c r="T895" i="33"/>
  <c r="U895" i="33"/>
  <c r="V895" i="33" s="1"/>
  <c r="T1011" i="33"/>
  <c r="U1011" i="33"/>
  <c r="V1011" i="33" s="1"/>
  <c r="U1044" i="33"/>
  <c r="V1044" i="33" s="1"/>
  <c r="T1044" i="33"/>
  <c r="T386" i="33"/>
  <c r="U386" i="33"/>
  <c r="V386" i="33" s="1"/>
  <c r="U154" i="33"/>
  <c r="V154" i="33" s="1"/>
  <c r="T154" i="33"/>
  <c r="T241" i="33"/>
  <c r="U241" i="33"/>
  <c r="V241" i="33" s="1"/>
  <c r="T641" i="33"/>
  <c r="U641" i="33"/>
  <c r="V641" i="33" s="1"/>
  <c r="U624" i="33"/>
  <c r="V624" i="33" s="1"/>
  <c r="T624" i="33"/>
  <c r="T930" i="33"/>
  <c r="U930" i="33"/>
  <c r="V930" i="33" s="1"/>
  <c r="U101" i="33"/>
  <c r="V101" i="33" s="1"/>
  <c r="T101" i="33"/>
  <c r="U442" i="33"/>
  <c r="V442" i="33" s="1"/>
  <c r="T442" i="33"/>
  <c r="U1054" i="33"/>
  <c r="V1054" i="33" s="1"/>
  <c r="T1054" i="33"/>
  <c r="T1016" i="33"/>
  <c r="U1016" i="33"/>
  <c r="V1016" i="33" s="1"/>
  <c r="U231" i="33"/>
  <c r="V231" i="33" s="1"/>
  <c r="T231" i="33"/>
  <c r="U252" i="33"/>
  <c r="V252" i="33" s="1"/>
  <c r="T252" i="33"/>
  <c r="T795" i="33"/>
  <c r="U795" i="33"/>
  <c r="V795" i="33" s="1"/>
  <c r="T577" i="33"/>
  <c r="U577" i="33"/>
  <c r="V577" i="33" s="1"/>
  <c r="T606" i="33"/>
  <c r="U606" i="33"/>
  <c r="V606" i="33" s="1"/>
  <c r="T320" i="33"/>
  <c r="U320" i="33"/>
  <c r="V320" i="33" s="1"/>
  <c r="U284" i="33"/>
  <c r="V284" i="33" s="1"/>
  <c r="T284" i="33"/>
  <c r="U1023" i="33"/>
  <c r="V1023" i="33" s="1"/>
  <c r="T1023" i="33"/>
  <c r="U445" i="33"/>
  <c r="V445" i="33" s="1"/>
  <c r="T445" i="33"/>
  <c r="U396" i="33"/>
  <c r="V396" i="33" s="1"/>
  <c r="T396" i="33"/>
  <c r="T900" i="33"/>
  <c r="U900" i="33"/>
  <c r="V900" i="33" s="1"/>
  <c r="U836" i="33"/>
  <c r="V836" i="33" s="1"/>
  <c r="T836" i="33"/>
  <c r="T991" i="33"/>
  <c r="U991" i="33"/>
  <c r="V991" i="33" s="1"/>
  <c r="T786" i="33"/>
  <c r="U786" i="33"/>
  <c r="V786" i="33" s="1"/>
  <c r="U572" i="33"/>
  <c r="V572" i="33" s="1"/>
  <c r="T572" i="33"/>
  <c r="U449" i="33"/>
  <c r="V449" i="33" s="1"/>
  <c r="T449" i="33"/>
  <c r="T446" i="33"/>
  <c r="U446" i="33"/>
  <c r="V446" i="33" s="1"/>
  <c r="T1014" i="33"/>
  <c r="U1014" i="33"/>
  <c r="V1014" i="33" s="1"/>
  <c r="U1005" i="33"/>
  <c r="V1005" i="33" s="1"/>
  <c r="T1005" i="33"/>
  <c r="U896" i="33"/>
  <c r="V896" i="33" s="1"/>
  <c r="T896" i="33"/>
  <c r="T478" i="33"/>
  <c r="U478" i="33"/>
  <c r="V478" i="33" s="1"/>
  <c r="U773" i="33"/>
  <c r="V773" i="33" s="1"/>
  <c r="T773" i="33"/>
  <c r="U761" i="33"/>
  <c r="V761" i="33" s="1"/>
  <c r="T761" i="33"/>
  <c r="T775" i="33"/>
  <c r="U775" i="33"/>
  <c r="V775" i="33" s="1"/>
  <c r="T138" i="33"/>
  <c r="U138" i="33"/>
  <c r="V138" i="33" s="1"/>
  <c r="U516" i="33"/>
  <c r="V516" i="33" s="1"/>
  <c r="T516" i="33"/>
  <c r="T519" i="33"/>
  <c r="U519" i="33"/>
  <c r="V519" i="33" s="1"/>
  <c r="T1027" i="33"/>
  <c r="U1027" i="33"/>
  <c r="V1027" i="33" s="1"/>
  <c r="T379" i="33"/>
  <c r="U379" i="33"/>
  <c r="V379" i="33" s="1"/>
  <c r="U432" i="33"/>
  <c r="V432" i="33" s="1"/>
  <c r="T432" i="33"/>
  <c r="U192" i="33"/>
  <c r="V192" i="33" s="1"/>
  <c r="T192" i="33"/>
  <c r="T561" i="33"/>
  <c r="U561" i="33"/>
  <c r="V561" i="33" s="1"/>
  <c r="T856" i="33"/>
  <c r="U856" i="33"/>
  <c r="V856" i="33" s="1"/>
  <c r="U62" i="33"/>
  <c r="V62" i="33" s="1"/>
  <c r="T62" i="33"/>
  <c r="T255" i="33"/>
  <c r="U255" i="33"/>
  <c r="V255" i="33" s="1"/>
  <c r="T707" i="33"/>
  <c r="U707" i="33"/>
  <c r="V707" i="33" s="1"/>
  <c r="U622" i="33"/>
  <c r="V622" i="33" s="1"/>
  <c r="T622" i="33"/>
  <c r="U259" i="33"/>
  <c r="V259" i="33" s="1"/>
  <c r="T259" i="33"/>
  <c r="T382" i="33"/>
  <c r="U382" i="33"/>
  <c r="V382" i="33" s="1"/>
  <c r="U1033" i="33"/>
  <c r="V1033" i="33" s="1"/>
  <c r="T1033" i="33"/>
  <c r="T614" i="33"/>
  <c r="U614" i="33"/>
  <c r="V614" i="33" s="1"/>
  <c r="T711" i="33"/>
  <c r="U711" i="33"/>
  <c r="V711" i="33" s="1"/>
  <c r="U150" i="33"/>
  <c r="V150" i="33" s="1"/>
  <c r="T150" i="33"/>
  <c r="T29" i="33"/>
  <c r="U29" i="33"/>
  <c r="V29" i="33" s="1"/>
  <c r="U884" i="33"/>
  <c r="V884" i="33" s="1"/>
  <c r="T884" i="33"/>
  <c r="U845" i="33"/>
  <c r="V845" i="33" s="1"/>
  <c r="T845" i="33"/>
  <c r="T956" i="33"/>
  <c r="U956" i="33"/>
  <c r="V956" i="33" s="1"/>
  <c r="T93" i="33"/>
  <c r="U93" i="33"/>
  <c r="V93" i="33" s="1"/>
  <c r="T117" i="33"/>
  <c r="U117" i="33"/>
  <c r="V117" i="33" s="1"/>
  <c r="T665" i="33"/>
  <c r="U665" i="33"/>
  <c r="V665" i="33" s="1"/>
  <c r="T1047" i="33"/>
  <c r="U1047" i="33"/>
  <c r="V1047" i="33" s="1"/>
  <c r="U822" i="33"/>
  <c r="V822" i="33" s="1"/>
  <c r="T822" i="33"/>
  <c r="U470" i="33"/>
  <c r="V470" i="33" s="1"/>
  <c r="T470" i="33"/>
  <c r="T246" i="33"/>
  <c r="U246" i="33"/>
  <c r="V246" i="33" s="1"/>
  <c r="T77" i="33"/>
  <c r="U77" i="33"/>
  <c r="V77" i="33" s="1"/>
  <c r="U1039" i="33"/>
  <c r="V1039" i="33" s="1"/>
  <c r="T1039" i="33"/>
  <c r="U646" i="33"/>
  <c r="V646" i="33" s="1"/>
  <c r="T646" i="33"/>
  <c r="U570" i="33"/>
  <c r="V570" i="33" s="1"/>
  <c r="T570" i="33"/>
  <c r="T157" i="33"/>
  <c r="U157" i="33"/>
  <c r="V157" i="33" s="1"/>
  <c r="U191" i="33"/>
  <c r="V191" i="33" s="1"/>
  <c r="T191" i="33"/>
  <c r="U932" i="33"/>
  <c r="V932" i="33" s="1"/>
  <c r="T932" i="33"/>
  <c r="U557" i="33"/>
  <c r="V557" i="33" s="1"/>
  <c r="T557" i="33"/>
  <c r="T105" i="33"/>
  <c r="U105" i="33"/>
  <c r="V105" i="33" s="1"/>
  <c r="T363" i="33"/>
  <c r="U363" i="33"/>
  <c r="V363" i="33" s="1"/>
  <c r="U999" i="33"/>
  <c r="V999" i="33" s="1"/>
  <c r="T999" i="33"/>
  <c r="U1048" i="33"/>
  <c r="V1048" i="33" s="1"/>
  <c r="T1048" i="33"/>
  <c r="T593" i="33"/>
  <c r="U593" i="33"/>
  <c r="V593" i="33" s="1"/>
  <c r="T505" i="33"/>
  <c r="U505" i="33"/>
  <c r="V505" i="33" s="1"/>
  <c r="U27" i="33"/>
  <c r="V27" i="33" s="1"/>
  <c r="T27" i="33"/>
  <c r="T651" i="33"/>
  <c r="U651" i="33"/>
  <c r="V651" i="33" s="1"/>
  <c r="T950" i="33"/>
  <c r="U950" i="33"/>
  <c r="V950" i="33" s="1"/>
  <c r="T163" i="33"/>
  <c r="U163" i="33"/>
  <c r="V163" i="33" s="1"/>
  <c r="T821" i="33"/>
  <c r="U821" i="33"/>
  <c r="V821" i="33" s="1"/>
  <c r="U834" i="33"/>
  <c r="V834" i="33" s="1"/>
  <c r="T834" i="33"/>
  <c r="T146" i="33"/>
  <c r="U146" i="33"/>
  <c r="V146" i="33" s="1"/>
  <c r="U66" i="33"/>
  <c r="V66" i="33" s="1"/>
  <c r="T66" i="33"/>
  <c r="U524" i="33"/>
  <c r="V524" i="33" s="1"/>
  <c r="T524" i="33"/>
  <c r="U426" i="33"/>
  <c r="V426" i="33" s="1"/>
  <c r="T426" i="33"/>
  <c r="U750" i="33"/>
  <c r="V750" i="33" s="1"/>
  <c r="T750" i="33"/>
  <c r="T473" i="33"/>
  <c r="U473" i="33"/>
  <c r="V473" i="33" s="1"/>
  <c r="T890" i="33"/>
  <c r="U890" i="33"/>
  <c r="V890" i="33" s="1"/>
  <c r="T459" i="33"/>
  <c r="U459" i="33"/>
  <c r="V459" i="33" s="1"/>
  <c r="T913" i="33"/>
  <c r="U913" i="33"/>
  <c r="V913" i="33" s="1"/>
  <c r="T328" i="33"/>
  <c r="U328" i="33"/>
  <c r="V328" i="33" s="1"/>
  <c r="U664" i="33"/>
  <c r="V664" i="33" s="1"/>
  <c r="T664" i="33"/>
  <c r="U479" i="33"/>
  <c r="V479" i="33" s="1"/>
  <c r="T479" i="33"/>
  <c r="T159" i="33"/>
  <c r="U159" i="33"/>
  <c r="V159" i="33" s="1"/>
  <c r="T640" i="33"/>
  <c r="U640" i="33"/>
  <c r="V640" i="33" s="1"/>
  <c r="T948" i="33"/>
  <c r="U948" i="33"/>
  <c r="V948" i="33" s="1"/>
  <c r="U471" i="33"/>
  <c r="V471" i="33" s="1"/>
  <c r="T471" i="33"/>
  <c r="T520" i="33"/>
  <c r="U520" i="33"/>
  <c r="V520" i="33" s="1"/>
  <c r="U440" i="33"/>
  <c r="V440" i="33" s="1"/>
  <c r="T440" i="33"/>
  <c r="U667" i="33"/>
  <c r="V667" i="33" s="1"/>
  <c r="T667" i="33"/>
  <c r="T590" i="33"/>
  <c r="U590" i="33"/>
  <c r="V590" i="33" s="1"/>
  <c r="U112" i="33"/>
  <c r="V112" i="33" s="1"/>
  <c r="T112" i="33"/>
  <c r="U356" i="33"/>
  <c r="V356" i="33" s="1"/>
  <c r="T356" i="33"/>
  <c r="U923" i="33"/>
  <c r="V923" i="33" s="1"/>
  <c r="T923" i="33"/>
  <c r="T880" i="33"/>
  <c r="U880" i="33"/>
  <c r="V880" i="33" s="1"/>
  <c r="U437" i="33"/>
  <c r="V437" i="33" s="1"/>
  <c r="T437" i="33"/>
  <c r="T294" i="33"/>
  <c r="U294" i="33"/>
  <c r="V294" i="33" s="1"/>
  <c r="T919" i="33"/>
  <c r="U919" i="33"/>
  <c r="V919" i="33" s="1"/>
  <c r="U657" i="33"/>
  <c r="V657" i="33" s="1"/>
  <c r="T657" i="33"/>
  <c r="U681" i="33"/>
  <c r="V681" i="33" s="1"/>
  <c r="T681" i="33"/>
  <c r="T307" i="33"/>
  <c r="U307" i="33"/>
  <c r="V307" i="33" s="1"/>
  <c r="U338" i="33"/>
  <c r="V338" i="33" s="1"/>
  <c r="T338" i="33"/>
  <c r="T1024" i="33"/>
  <c r="U1024" i="33"/>
  <c r="V1024" i="33" s="1"/>
  <c r="U769" i="33"/>
  <c r="V769" i="33" s="1"/>
  <c r="T769" i="33"/>
  <c r="U1008" i="33"/>
  <c r="V1008" i="33" s="1"/>
  <c r="T1008" i="33"/>
  <c r="T354" i="33"/>
  <c r="U354" i="33"/>
  <c r="V354" i="33" s="1"/>
  <c r="U912" i="33"/>
  <c r="V912" i="33" s="1"/>
  <c r="T912" i="33"/>
  <c r="U1032" i="33"/>
  <c r="V1032" i="33" s="1"/>
  <c r="T1032" i="33"/>
  <c r="T1006" i="33"/>
  <c r="U1006" i="33"/>
  <c r="V1006" i="33" s="1"/>
  <c r="T91" i="33"/>
  <c r="U91" i="33"/>
  <c r="V91" i="33" s="1"/>
  <c r="T680" i="33"/>
  <c r="U680" i="33"/>
  <c r="V680" i="33" s="1"/>
  <c r="T39" i="33"/>
  <c r="U39" i="33"/>
  <c r="V39" i="33" s="1"/>
  <c r="U591" i="33"/>
  <c r="V591" i="33" s="1"/>
  <c r="T591" i="33"/>
  <c r="U498" i="33"/>
  <c r="V498" i="33" s="1"/>
  <c r="T498" i="33"/>
  <c r="U725" i="33"/>
  <c r="V725" i="33" s="1"/>
  <c r="T725" i="33"/>
  <c r="T296" i="33"/>
  <c r="U296" i="33"/>
  <c r="V296" i="33" s="1"/>
  <c r="T675" i="33"/>
  <c r="U675" i="33"/>
  <c r="V675" i="33" s="1"/>
  <c r="U340" i="33"/>
  <c r="V340" i="33" s="1"/>
  <c r="T340" i="33"/>
  <c r="T342" i="33"/>
  <c r="U342" i="33"/>
  <c r="V342" i="33" s="1"/>
  <c r="T1035" i="33"/>
  <c r="U1035" i="33"/>
  <c r="V1035" i="33" s="1"/>
  <c r="U148" i="33"/>
  <c r="V148" i="33" s="1"/>
  <c r="T148" i="33"/>
  <c r="T563" i="33"/>
  <c r="U563" i="33"/>
  <c r="V563" i="33" s="1"/>
  <c r="U309" i="33"/>
  <c r="V309" i="33" s="1"/>
  <c r="T309" i="33"/>
  <c r="U660" i="33"/>
  <c r="V660" i="33" s="1"/>
  <c r="T660" i="33"/>
  <c r="U607" i="33"/>
  <c r="V607" i="33" s="1"/>
  <c r="T607" i="33"/>
  <c r="U701" i="33"/>
  <c r="V701" i="33" s="1"/>
  <c r="T701" i="33"/>
  <c r="U493" i="33"/>
  <c r="V493" i="33" s="1"/>
  <c r="T493" i="33"/>
  <c r="T417" i="33"/>
  <c r="U417" i="33"/>
  <c r="V417" i="33" s="1"/>
  <c r="U977" i="33"/>
  <c r="V977" i="33" s="1"/>
  <c r="T977" i="33"/>
  <c r="T909" i="33"/>
  <c r="U909" i="33"/>
  <c r="V909" i="33" s="1"/>
  <c r="T883" i="33"/>
  <c r="U883" i="33"/>
  <c r="V883" i="33" s="1"/>
  <c r="U314" i="33"/>
  <c r="V314" i="33" s="1"/>
  <c r="T314" i="33"/>
  <c r="T841" i="33"/>
  <c r="U841" i="33"/>
  <c r="V841" i="33" s="1"/>
  <c r="U740" i="33"/>
  <c r="V740" i="33" s="1"/>
  <c r="T740" i="33"/>
  <c r="T765" i="33"/>
  <c r="U765" i="33"/>
  <c r="V765" i="33" s="1"/>
  <c r="T427" i="33"/>
  <c r="U427" i="33"/>
  <c r="V427" i="33" s="1"/>
  <c r="T277" i="33"/>
  <c r="U277" i="33"/>
  <c r="V277" i="33" s="1"/>
  <c r="U1028" i="33"/>
  <c r="V1028" i="33" s="1"/>
  <c r="T1028" i="33"/>
  <c r="U669" i="33"/>
  <c r="V669" i="33" s="1"/>
  <c r="T669" i="33"/>
  <c r="U439" i="33"/>
  <c r="V439" i="33" s="1"/>
  <c r="T439" i="33"/>
  <c r="U370" i="33"/>
  <c r="V370" i="33" s="1"/>
  <c r="T370" i="33"/>
  <c r="T1053" i="33"/>
  <c r="U1053" i="33"/>
  <c r="V1053" i="33" s="1"/>
  <c r="T855" i="33"/>
  <c r="U855" i="33"/>
  <c r="V855" i="33" s="1"/>
  <c r="U285" i="33"/>
  <c r="V285" i="33" s="1"/>
  <c r="T285" i="33"/>
  <c r="U194" i="33"/>
  <c r="V194" i="33" s="1"/>
  <c r="T194" i="33"/>
  <c r="T168" i="33"/>
  <c r="U168" i="33"/>
  <c r="V168" i="33" s="1"/>
  <c r="U1007" i="33"/>
  <c r="V1007" i="33" s="1"/>
  <c r="T1007" i="33"/>
  <c r="U758" i="33"/>
  <c r="V758" i="33" s="1"/>
  <c r="T758" i="33"/>
  <c r="T37" i="33"/>
  <c r="U37" i="33"/>
  <c r="V37" i="33" s="1"/>
  <c r="U141" i="33"/>
  <c r="V141" i="33" s="1"/>
  <c r="T141" i="33"/>
  <c r="T847" i="33"/>
  <c r="U847" i="33"/>
  <c r="V847" i="33" s="1"/>
  <c r="U647" i="33"/>
  <c r="V647" i="33" s="1"/>
  <c r="T647" i="33"/>
  <c r="U366" i="33"/>
  <c r="V366" i="33" s="1"/>
  <c r="T366" i="33"/>
  <c r="T311" i="33"/>
  <c r="U311" i="33"/>
  <c r="V311" i="33" s="1"/>
  <c r="U185" i="33"/>
  <c r="V185" i="33" s="1"/>
  <c r="T185" i="33"/>
  <c r="U989" i="33"/>
  <c r="V989" i="33" s="1"/>
  <c r="T989" i="33"/>
  <c r="U837" i="33"/>
  <c r="V837" i="33" s="1"/>
  <c r="T837" i="33"/>
  <c r="U399" i="33"/>
  <c r="V399" i="33" s="1"/>
  <c r="T399" i="33"/>
  <c r="U99" i="33"/>
  <c r="V99" i="33" s="1"/>
  <c r="T99" i="33"/>
  <c r="U106" i="33"/>
  <c r="V106" i="33" s="1"/>
  <c r="T106" i="33"/>
  <c r="U820" i="33"/>
  <c r="V820" i="33" s="1"/>
  <c r="T820" i="33"/>
  <c r="U811" i="33"/>
  <c r="V811" i="33" s="1"/>
  <c r="T811" i="33"/>
  <c r="U582" i="33"/>
  <c r="V582" i="33" s="1"/>
  <c r="T582" i="33"/>
  <c r="T400" i="33"/>
  <c r="U400" i="33"/>
  <c r="V400" i="33" s="1"/>
  <c r="T513" i="33"/>
  <c r="U513" i="33"/>
  <c r="V513" i="33" s="1"/>
  <c r="U220" i="33"/>
  <c r="V220" i="33" s="1"/>
  <c r="T220" i="33"/>
  <c r="T735" i="33"/>
  <c r="U735" i="33"/>
  <c r="V735" i="33" s="1"/>
  <c r="T994" i="33"/>
  <c r="U994" i="33"/>
  <c r="V994" i="33" s="1"/>
  <c r="T122" i="33"/>
  <c r="U122" i="33"/>
  <c r="V122" i="33" s="1"/>
  <c r="U147" i="33"/>
  <c r="V147" i="33" s="1"/>
  <c r="T147" i="33"/>
  <c r="U137" i="33"/>
  <c r="V137" i="33" s="1"/>
  <c r="T137" i="33"/>
  <c r="T806" i="33"/>
  <c r="U806" i="33"/>
  <c r="V806" i="33" s="1"/>
  <c r="U852" i="33"/>
  <c r="V852" i="33" s="1"/>
  <c r="T852" i="33"/>
  <c r="T118" i="33"/>
  <c r="U118" i="33"/>
  <c r="V118" i="33" s="1"/>
  <c r="U264" i="33"/>
  <c r="V264" i="33" s="1"/>
  <c r="T264" i="33"/>
  <c r="U766" i="33"/>
  <c r="V766" i="33" s="1"/>
  <c r="T766" i="33"/>
  <c r="T730" i="33"/>
  <c r="U730" i="33"/>
  <c r="V730" i="33" s="1"/>
  <c r="U797" i="33"/>
  <c r="V797" i="33" s="1"/>
  <c r="T797" i="33"/>
  <c r="U260" i="33"/>
  <c r="V260" i="33" s="1"/>
  <c r="T260" i="33"/>
  <c r="T431" i="33"/>
  <c r="U431" i="33"/>
  <c r="V431" i="33" s="1"/>
  <c r="U56" i="33"/>
  <c r="V56" i="33" s="1"/>
  <c r="T56" i="33"/>
  <c r="U928" i="33"/>
  <c r="V928" i="33" s="1"/>
  <c r="T928" i="33"/>
  <c r="T918" i="33"/>
  <c r="U918" i="33"/>
  <c r="V918" i="33" s="1"/>
  <c r="U802" i="33"/>
  <c r="V802" i="33" s="1"/>
  <c r="T802" i="33"/>
  <c r="T275" i="33"/>
  <c r="U275" i="33"/>
  <c r="V275" i="33" s="1"/>
  <c r="U746" i="33"/>
  <c r="V746" i="33" s="1"/>
  <c r="T746" i="33"/>
  <c r="U980" i="33"/>
  <c r="V980" i="33" s="1"/>
  <c r="T980" i="33"/>
  <c r="U655" i="33"/>
  <c r="V655" i="33" s="1"/>
  <c r="T655" i="33"/>
  <c r="T80" i="33"/>
  <c r="U80" i="33"/>
  <c r="V80" i="33" s="1"/>
  <c r="U466" i="33"/>
  <c r="V466" i="33" s="1"/>
  <c r="T466" i="33"/>
  <c r="U1003" i="33"/>
  <c r="V1003" i="33" s="1"/>
  <c r="T1003" i="33"/>
  <c r="T825" i="33"/>
  <c r="U825" i="33"/>
  <c r="V825" i="33" s="1"/>
  <c r="U776" i="33"/>
  <c r="V776" i="33" s="1"/>
  <c r="T776" i="33"/>
  <c r="U460" i="33"/>
  <c r="V460" i="33" s="1"/>
  <c r="T460" i="33"/>
  <c r="T1037" i="33"/>
  <c r="U1037" i="33"/>
  <c r="V1037" i="33" s="1"/>
  <c r="U916" i="33"/>
  <c r="V916" i="33" s="1"/>
  <c r="T916" i="33"/>
  <c r="T710" i="33"/>
  <c r="U710" i="33"/>
  <c r="V710" i="33" s="1"/>
  <c r="U167" i="33"/>
  <c r="V167" i="33" s="1"/>
  <c r="T167" i="33"/>
  <c r="U162" i="33"/>
  <c r="V162" i="33" s="1"/>
  <c r="T162" i="33"/>
  <c r="T978" i="33"/>
  <c r="U978" i="33"/>
  <c r="V978" i="33" s="1"/>
  <c r="U612" i="33"/>
  <c r="V612" i="33" s="1"/>
  <c r="T612" i="33"/>
  <c r="U289" i="33"/>
  <c r="V289" i="33" s="1"/>
  <c r="T289" i="33"/>
  <c r="T514" i="33"/>
  <c r="U514" i="33"/>
  <c r="V514" i="33" s="1"/>
  <c r="U674" i="33"/>
  <c r="V674" i="33" s="1"/>
  <c r="T674" i="33"/>
  <c r="T566" i="33"/>
  <c r="U566" i="33"/>
  <c r="V566" i="33" s="1"/>
  <c r="T488" i="33"/>
  <c r="U488" i="33"/>
  <c r="V488" i="33" s="1"/>
  <c r="T206" i="33"/>
  <c r="U206" i="33"/>
  <c r="V206" i="33" s="1"/>
  <c r="U164" i="33"/>
  <c r="V164" i="33" s="1"/>
  <c r="T164" i="33"/>
  <c r="U915" i="33"/>
  <c r="V915" i="33" s="1"/>
  <c r="T915" i="33"/>
  <c r="T731" i="33"/>
  <c r="U731" i="33"/>
  <c r="V731" i="33" s="1"/>
  <c r="T343" i="33"/>
  <c r="U343" i="33"/>
  <c r="V343" i="33" s="1"/>
  <c r="U210" i="33"/>
  <c r="V210" i="33" s="1"/>
  <c r="T210" i="33"/>
  <c r="U853" i="33"/>
  <c r="V853" i="33" s="1"/>
  <c r="T853" i="33"/>
  <c r="U867" i="33"/>
  <c r="V867" i="33" s="1"/>
  <c r="T867" i="33"/>
  <c r="T347" i="33"/>
  <c r="U347" i="33"/>
  <c r="V347" i="33" s="1"/>
  <c r="T127" i="33"/>
  <c r="U127" i="33"/>
  <c r="V127" i="33" s="1"/>
  <c r="U412" i="33"/>
  <c r="V412" i="33" s="1"/>
  <c r="T412" i="33"/>
  <c r="U804" i="33"/>
  <c r="V804" i="33" s="1"/>
  <c r="T804" i="33"/>
  <c r="U700" i="33"/>
  <c r="V700" i="33" s="1"/>
  <c r="T700" i="33"/>
  <c r="T521" i="33"/>
  <c r="U521" i="33"/>
  <c r="V521" i="33" s="1"/>
  <c r="T132" i="33"/>
  <c r="U132" i="33"/>
  <c r="V132" i="33" s="1"/>
  <c r="U145" i="33"/>
  <c r="V145" i="33" s="1"/>
  <c r="T145" i="33"/>
  <c r="U985" i="33"/>
  <c r="V985" i="33" s="1"/>
  <c r="T985" i="33"/>
  <c r="T882" i="33"/>
  <c r="U882" i="33"/>
  <c r="V882" i="33" s="1"/>
  <c r="U957" i="33"/>
  <c r="V957" i="33" s="1"/>
  <c r="T957" i="33"/>
  <c r="U223" i="33"/>
  <c r="V223" i="33" s="1"/>
  <c r="T223" i="33"/>
  <c r="T502" i="33"/>
  <c r="U502" i="33"/>
  <c r="V502" i="33" s="1"/>
  <c r="U428" i="33"/>
  <c r="V428" i="33" s="1"/>
  <c r="T428" i="33"/>
  <c r="U755" i="33"/>
  <c r="V755" i="33" s="1"/>
  <c r="T755" i="33"/>
  <c r="U879" i="33"/>
  <c r="V879" i="33" s="1"/>
  <c r="T879" i="33"/>
  <c r="U495" i="33"/>
  <c r="V495" i="33" s="1"/>
  <c r="T495" i="33"/>
  <c r="T57" i="33"/>
  <c r="U57" i="33"/>
  <c r="V57" i="33" s="1"/>
  <c r="T226" i="33"/>
  <c r="U226" i="33"/>
  <c r="V226" i="33" s="1"/>
  <c r="T734" i="33"/>
  <c r="U734" i="33"/>
  <c r="V734" i="33" s="1"/>
  <c r="U708" i="33"/>
  <c r="V708" i="33" s="1"/>
  <c r="T708" i="33"/>
  <c r="U334" i="33"/>
  <c r="V334" i="33" s="1"/>
  <c r="T334" i="33"/>
  <c r="T500" i="33"/>
  <c r="U500" i="33"/>
  <c r="V500" i="33" s="1"/>
  <c r="U718" i="33"/>
  <c r="V718" i="33" s="1"/>
  <c r="T718" i="33"/>
  <c r="U625" i="33"/>
  <c r="V625" i="33" s="1"/>
  <c r="T625" i="33"/>
  <c r="U970" i="33"/>
  <c r="V970" i="33" s="1"/>
  <c r="T970" i="33"/>
  <c r="T451" i="33"/>
  <c r="U451" i="33"/>
  <c r="V451" i="33" s="1"/>
  <c r="T745" i="33"/>
  <c r="U745" i="33"/>
  <c r="V745" i="33" s="1"/>
  <c r="U374" i="33"/>
  <c r="V374" i="33" s="1"/>
  <c r="T374" i="33"/>
  <c r="U696" i="33"/>
  <c r="V696" i="33" s="1"/>
  <c r="T696" i="33"/>
  <c r="U812" i="33"/>
  <c r="V812" i="33" s="1"/>
  <c r="T812" i="33"/>
  <c r="T861" i="33"/>
  <c r="U861" i="33"/>
  <c r="V861" i="33" s="1"/>
  <c r="T179" i="33"/>
  <c r="U179" i="33"/>
  <c r="V179" i="33" s="1"/>
  <c r="U282" i="33"/>
  <c r="V282" i="33" s="1"/>
  <c r="T282" i="33"/>
  <c r="T939" i="33"/>
  <c r="U939" i="33"/>
  <c r="V939" i="33" s="1"/>
  <c r="T887" i="33"/>
  <c r="U887" i="33"/>
  <c r="V887" i="33" s="1"/>
  <c r="U712" i="33"/>
  <c r="V712" i="33" s="1"/>
  <c r="T712" i="33"/>
  <c r="T100" i="33"/>
  <c r="U100" i="33"/>
  <c r="V100" i="33" s="1"/>
  <c r="T574" i="33"/>
  <c r="U574" i="33"/>
  <c r="V574" i="33" s="1"/>
  <c r="U962" i="33"/>
  <c r="V962" i="33" s="1"/>
  <c r="T962" i="33"/>
  <c r="T751" i="33"/>
  <c r="U751" i="33"/>
  <c r="V751" i="33" s="1"/>
  <c r="T267" i="33"/>
  <c r="U267" i="33"/>
  <c r="V267" i="33" s="1"/>
  <c r="U130" i="33"/>
  <c r="V130" i="33" s="1"/>
  <c r="T130" i="33"/>
  <c r="T560" i="33"/>
  <c r="U560" i="33"/>
  <c r="V560" i="33" s="1"/>
  <c r="T618" i="33"/>
  <c r="U618" i="33"/>
  <c r="V618" i="33" s="1"/>
  <c r="U236" i="33"/>
  <c r="V236" i="33" s="1"/>
  <c r="T236" i="33"/>
  <c r="T161" i="33"/>
  <c r="U161" i="33"/>
  <c r="V161" i="33" s="1"/>
  <c r="T724" i="33"/>
  <c r="U724" i="33"/>
  <c r="V724" i="33" s="1"/>
  <c r="T874" i="33"/>
  <c r="U874" i="33"/>
  <c r="V874" i="33" s="1"/>
  <c r="T339" i="33"/>
  <c r="U339" i="33"/>
  <c r="V339" i="33" s="1"/>
  <c r="U153" i="33"/>
  <c r="V153" i="33" s="1"/>
  <c r="T153" i="33"/>
  <c r="U960" i="33"/>
  <c r="V960" i="33" s="1"/>
  <c r="T960" i="33"/>
  <c r="U650" i="33"/>
  <c r="V650" i="33" s="1"/>
  <c r="T650" i="33"/>
  <c r="T926" i="33"/>
  <c r="U926" i="33"/>
  <c r="V926" i="33" s="1"/>
  <c r="U392" i="33"/>
  <c r="V392" i="33" s="1"/>
  <c r="T392" i="33"/>
  <c r="U372" i="33"/>
  <c r="V372" i="33" s="1"/>
  <c r="T372" i="33"/>
  <c r="T791" i="33"/>
  <c r="U791" i="33"/>
  <c r="V791" i="33" s="1"/>
  <c r="U585" i="33"/>
  <c r="V585" i="33" s="1"/>
  <c r="T585" i="33"/>
  <c r="T209" i="33"/>
  <c r="U209" i="33"/>
  <c r="V209" i="33" s="1"/>
  <c r="T81" i="33"/>
  <c r="U81" i="33"/>
  <c r="V81" i="33" s="1"/>
  <c r="U25" i="33"/>
  <c r="V25" i="33" s="1"/>
  <c r="T25" i="33"/>
  <c r="T974" i="33"/>
  <c r="U974" i="33"/>
  <c r="V974" i="33" s="1"/>
  <c r="U869" i="33"/>
  <c r="V869" i="33" s="1"/>
  <c r="T869" i="33"/>
  <c r="U78" i="33"/>
  <c r="V78" i="33" s="1"/>
  <c r="T78" i="33"/>
  <c r="T315" i="33"/>
  <c r="U315" i="33"/>
  <c r="V315" i="33" s="1"/>
  <c r="T453" i="33"/>
  <c r="U453" i="33"/>
  <c r="V453" i="33" s="1"/>
  <c r="U770" i="33"/>
  <c r="V770" i="33" s="1"/>
  <c r="T770" i="33"/>
  <c r="T642" i="33"/>
  <c r="U642" i="33"/>
  <c r="V642" i="33" s="1"/>
  <c r="U615" i="33"/>
  <c r="V615" i="33" s="1"/>
  <c r="T615" i="33"/>
  <c r="T341" i="33"/>
  <c r="U341" i="33"/>
  <c r="V341" i="33" s="1"/>
  <c r="U124" i="33"/>
  <c r="V124" i="33" s="1"/>
  <c r="T124" i="33"/>
  <c r="U272" i="33"/>
  <c r="V272" i="33" s="1"/>
  <c r="T272" i="33"/>
  <c r="U842" i="33"/>
  <c r="V842" i="33" s="1"/>
  <c r="T842" i="33"/>
  <c r="T688" i="33"/>
  <c r="U688" i="33"/>
  <c r="V688" i="33" s="1"/>
  <c r="T274" i="33"/>
  <c r="U274" i="33"/>
  <c r="V274" i="33" s="1"/>
  <c r="U26" i="33"/>
  <c r="V26" i="33" s="1"/>
  <c r="T26" i="33"/>
  <c r="T415" i="33"/>
  <c r="U415" i="33"/>
  <c r="V415" i="33" s="1"/>
  <c r="T691" i="33"/>
  <c r="U691" i="33"/>
  <c r="V691" i="33" s="1"/>
  <c r="T823" i="33"/>
  <c r="U823" i="33"/>
  <c r="V823" i="33" s="1"/>
  <c r="U511" i="33"/>
  <c r="V511" i="33" s="1"/>
  <c r="T511" i="33"/>
  <c r="U368" i="33"/>
  <c r="V368" i="33" s="1"/>
  <c r="T368" i="33"/>
  <c r="U803" i="33"/>
  <c r="V803" i="33" s="1"/>
  <c r="T803" i="33"/>
  <c r="T580" i="33"/>
  <c r="U580" i="33"/>
  <c r="V580" i="33" s="1"/>
  <c r="U976" i="33"/>
  <c r="V976" i="33" s="1"/>
  <c r="T976" i="33"/>
  <c r="U373" i="33"/>
  <c r="V373" i="33" s="1"/>
  <c r="T373" i="33"/>
  <c r="T388" i="33"/>
  <c r="U388" i="33"/>
  <c r="V388" i="33" s="1"/>
  <c r="T1064" i="33" l="1"/>
  <c r="R2" i="33" s="1"/>
  <c r="E283" i="23" s="1"/>
  <c r="V1064" i="33"/>
  <c r="J540" i="33" s="1"/>
  <c r="V531" i="33"/>
  <c r="J7" i="33" s="1"/>
  <c r="T531" i="33"/>
  <c r="Q2" i="33" s="1"/>
  <c r="D283" i="23" s="1"/>
  <c r="L13" i="33"/>
  <c r="L11" i="33"/>
  <c r="L12" i="33"/>
  <c r="L10" i="33"/>
  <c r="L544" i="33"/>
  <c r="L545" i="33"/>
  <c r="L546" i="33"/>
  <c r="L543" i="33"/>
  <c r="K546" i="33"/>
  <c r="K544" i="33"/>
  <c r="B36" i="24" l="1"/>
  <c r="D284" i="23"/>
  <c r="B40" i="24" s="1"/>
  <c r="B48" i="2"/>
  <c r="K541" i="33"/>
  <c r="N538" i="33"/>
  <c r="L540" i="33"/>
  <c r="K543" i="33" s="1"/>
  <c r="L7" i="33"/>
  <c r="K10" i="33" s="1"/>
  <c r="K8" i="33"/>
  <c r="N5" i="33"/>
  <c r="Z48" i="2"/>
  <c r="C36" i="24"/>
  <c r="E284" i="23"/>
  <c r="C40" i="24" s="1"/>
  <c r="D131" i="23" l="1"/>
  <c r="D137" i="23" s="1"/>
  <c r="D140" i="23" s="1"/>
  <c r="D66" i="23"/>
  <c r="D72" i="23" s="1"/>
  <c r="D76" i="23" s="1"/>
  <c r="D80" i="23" s="1"/>
  <c r="E66" i="23"/>
  <c r="E72" i="23" s="1"/>
  <c r="E76" i="23" s="1"/>
  <c r="J547" i="33" s="1"/>
  <c r="E131" i="23"/>
  <c r="E137" i="23" s="1"/>
  <c r="E140" i="23" s="1"/>
  <c r="J14" i="33" l="1"/>
  <c r="E96" i="23"/>
  <c r="E102" i="23" s="1"/>
  <c r="E80" i="23"/>
  <c r="E85" i="23" s="1"/>
  <c r="D96" i="23"/>
  <c r="D109" i="23" s="1"/>
  <c r="E158" i="23"/>
  <c r="E142" i="23"/>
  <c r="D142" i="23"/>
  <c r="D158" i="23"/>
  <c r="D93" i="23"/>
  <c r="D85" i="23"/>
  <c r="D82" i="23"/>
  <c r="D81" i="23"/>
  <c r="D86" i="23"/>
  <c r="D97" i="23" l="1"/>
  <c r="D98" i="23"/>
  <c r="D102" i="23"/>
  <c r="D101" i="23"/>
  <c r="E81" i="23"/>
  <c r="E86" i="23"/>
  <c r="E87" i="23" s="1"/>
  <c r="E93" i="23"/>
  <c r="E82" i="23"/>
  <c r="E97" i="23"/>
  <c r="E109" i="23"/>
  <c r="E101" i="23"/>
  <c r="E103" i="23" s="1"/>
  <c r="E98" i="23"/>
  <c r="E164" i="23"/>
  <c r="E159" i="23"/>
  <c r="E160" i="23"/>
  <c r="E171" i="23"/>
  <c r="E163" i="23"/>
  <c r="D147" i="23"/>
  <c r="D155" i="23"/>
  <c r="D144" i="23"/>
  <c r="D143" i="23"/>
  <c r="D148" i="23"/>
  <c r="D160" i="23"/>
  <c r="D159" i="23"/>
  <c r="D171" i="23"/>
  <c r="D163" i="23"/>
  <c r="D164" i="23"/>
  <c r="E155" i="23"/>
  <c r="E148" i="23"/>
  <c r="E144" i="23"/>
  <c r="E147" i="23"/>
  <c r="E143" i="23"/>
  <c r="D84" i="23"/>
  <c r="D83" i="23"/>
  <c r="D91" i="23" s="1"/>
  <c r="D87" i="23"/>
  <c r="D88" i="23"/>
  <c r="D104" i="23" l="1"/>
  <c r="D99" i="23"/>
  <c r="D107" i="23" s="1"/>
  <c r="D103" i="23"/>
  <c r="D100" i="23"/>
  <c r="E88" i="23"/>
  <c r="E84" i="23"/>
  <c r="E83" i="23"/>
  <c r="E91" i="23" s="1"/>
  <c r="E104" i="23"/>
  <c r="E99" i="23"/>
  <c r="E107" i="23" s="1"/>
  <c r="E100" i="23"/>
  <c r="D149" i="23"/>
  <c r="D154" i="23" s="1"/>
  <c r="D150" i="23"/>
  <c r="D146" i="23"/>
  <c r="D145" i="23"/>
  <c r="D153" i="23" s="1"/>
  <c r="E149" i="23"/>
  <c r="E154" i="23" s="1"/>
  <c r="E150" i="23"/>
  <c r="E166" i="23"/>
  <c r="E165" i="23"/>
  <c r="E170" i="23" s="1"/>
  <c r="D165" i="23"/>
  <c r="D166" i="23"/>
  <c r="E162" i="23"/>
  <c r="E161" i="23"/>
  <c r="E169" i="23" s="1"/>
  <c r="D161" i="23"/>
  <c r="D169" i="23" s="1"/>
  <c r="D162" i="23"/>
  <c r="E146" i="23"/>
  <c r="E145" i="23"/>
  <c r="E153" i="23" s="1"/>
  <c r="D90" i="23"/>
  <c r="D89" i="23"/>
  <c r="D106" i="23" l="1"/>
  <c r="E90" i="23"/>
  <c r="D105" i="23"/>
  <c r="E152" i="23"/>
  <c r="E105" i="23"/>
  <c r="E89" i="23"/>
  <c r="E106" i="23"/>
  <c r="D168" i="23"/>
  <c r="E156" i="23"/>
  <c r="L548" i="33" s="1"/>
  <c r="E151" i="23"/>
  <c r="D156" i="23"/>
  <c r="L15" i="33" s="1"/>
  <c r="D167" i="23"/>
  <c r="E172" i="23"/>
  <c r="M548" i="33" s="1"/>
  <c r="D170" i="23"/>
  <c r="D172" i="23" s="1"/>
  <c r="M15" i="33" s="1"/>
  <c r="E168" i="23"/>
  <c r="D152" i="23"/>
  <c r="E167" i="23"/>
  <c r="D151" i="23"/>
  <c r="E108" i="23"/>
  <c r="E110" i="23" s="1"/>
  <c r="M547" i="33" s="1"/>
  <c r="D108" i="23"/>
  <c r="D110" i="23" s="1"/>
  <c r="M14" i="33" s="1"/>
  <c r="E92" i="23"/>
  <c r="E94" i="23" s="1"/>
  <c r="L547" i="33" s="1"/>
  <c r="D92" i="23"/>
  <c r="D94" i="23" s="1"/>
  <c r="L14" i="33" s="1"/>
  <c r="W560" i="33" l="1"/>
  <c r="X560" i="33" s="1"/>
  <c r="W485" i="33"/>
  <c r="X485" i="33" s="1"/>
  <c r="W861" i="33"/>
  <c r="X861" i="33" s="1"/>
  <c r="W689" i="33"/>
  <c r="X689" i="33" s="1"/>
  <c r="W772" i="33"/>
  <c r="X772" i="33" s="1"/>
  <c r="W463" i="33"/>
  <c r="X463" i="33" s="1"/>
  <c r="W981" i="33"/>
  <c r="X981" i="33" s="1"/>
  <c r="W757" i="33"/>
  <c r="X757" i="33" s="1"/>
  <c r="W349" i="33"/>
  <c r="X349" i="33" s="1"/>
  <c r="W1026" i="33"/>
  <c r="X1026" i="33" s="1"/>
  <c r="W1055" i="33"/>
  <c r="X1055" i="33" s="1"/>
  <c r="W667" i="33"/>
  <c r="X667" i="33" s="1"/>
  <c r="W804" i="33"/>
  <c r="X804" i="33" s="1"/>
  <c r="W1028" i="33"/>
  <c r="X1028" i="33" s="1"/>
  <c r="W871" i="33"/>
  <c r="X871" i="33" s="1"/>
  <c r="W702" i="33"/>
  <c r="X702" i="33" s="1"/>
  <c r="W655" i="33"/>
  <c r="X655" i="33" s="1"/>
  <c r="W642" i="33"/>
  <c r="X642" i="33" s="1"/>
  <c r="W983" i="33"/>
  <c r="X983" i="33" s="1"/>
  <c r="W868" i="33"/>
  <c r="X868" i="33" s="1"/>
  <c r="W815" i="33"/>
  <c r="X815" i="33" s="1"/>
  <c r="W1053" i="33"/>
  <c r="X1053" i="33" s="1"/>
  <c r="W828" i="33"/>
  <c r="X828" i="33" s="1"/>
  <c r="W720" i="33"/>
  <c r="X720" i="33" s="1"/>
  <c r="W929" i="33"/>
  <c r="X929" i="33" s="1"/>
  <c r="W621" i="33"/>
  <c r="X621" i="33" s="1"/>
  <c r="W71" i="33"/>
  <c r="X71" i="33" s="1"/>
  <c r="W653" i="33"/>
  <c r="X653" i="33" s="1"/>
  <c r="W273" i="33"/>
  <c r="X273" i="33" s="1"/>
  <c r="W98" i="33"/>
  <c r="X98" i="33" s="1"/>
  <c r="W341" i="33"/>
  <c r="X341" i="33" s="1"/>
  <c r="W765" i="33"/>
  <c r="X765" i="33" s="1"/>
  <c r="W89" i="33"/>
  <c r="X89" i="33" s="1"/>
  <c r="W175" i="33"/>
  <c r="X175" i="33" s="1"/>
  <c r="W460" i="33"/>
  <c r="X460" i="33" s="1"/>
  <c r="W249" i="33"/>
  <c r="X249" i="33" s="1"/>
  <c r="W794" i="33"/>
  <c r="X794" i="33" s="1"/>
  <c r="W1045" i="33"/>
  <c r="X1045" i="33" s="1"/>
  <c r="W577" i="33"/>
  <c r="X577" i="33" s="1"/>
  <c r="W901" i="33"/>
  <c r="X901" i="33" s="1"/>
  <c r="W731" i="33"/>
  <c r="X731" i="33" s="1"/>
  <c r="W909" i="33"/>
  <c r="X909" i="33" s="1"/>
  <c r="W873" i="33"/>
  <c r="X873" i="33" s="1"/>
  <c r="W842" i="33"/>
  <c r="X842" i="33" s="1"/>
  <c r="W73" i="33"/>
  <c r="X73" i="33" s="1"/>
  <c r="W268" i="33"/>
  <c r="X268" i="33" s="1"/>
  <c r="W152" i="33"/>
  <c r="X152" i="33" s="1"/>
  <c r="W952" i="33"/>
  <c r="X952" i="33" s="1"/>
  <c r="W643" i="33"/>
  <c r="X643" i="33" s="1"/>
  <c r="W610" i="33"/>
  <c r="X610" i="33" s="1"/>
  <c r="W1051" i="33"/>
  <c r="X1051" i="33" s="1"/>
  <c r="W978" i="33"/>
  <c r="X978" i="33" s="1"/>
  <c r="W974" i="33"/>
  <c r="X974" i="33" s="1"/>
  <c r="W507" i="33"/>
  <c r="X507" i="33" s="1"/>
  <c r="W97" i="33"/>
  <c r="X97" i="33" s="1"/>
  <c r="W226" i="33"/>
  <c r="X226" i="33" s="1"/>
  <c r="W500" i="33"/>
  <c r="X500" i="33" s="1"/>
  <c r="W597" i="33"/>
  <c r="X597" i="33" s="1"/>
  <c r="W619" i="33"/>
  <c r="X619" i="33" s="1"/>
  <c r="W575" i="33"/>
  <c r="X575" i="33" s="1"/>
  <c r="W784" i="33"/>
  <c r="X784" i="33" s="1"/>
  <c r="W851" i="33"/>
  <c r="X851" i="33" s="1"/>
  <c r="W1000" i="33"/>
  <c r="X1000" i="33" s="1"/>
  <c r="W911" i="33"/>
  <c r="X911" i="33" s="1"/>
  <c r="W915" i="33"/>
  <c r="X915" i="33" s="1"/>
  <c r="W241" i="33"/>
  <c r="X241" i="33" s="1"/>
  <c r="W213" i="33"/>
  <c r="X213" i="33" s="1"/>
  <c r="W511" i="33"/>
  <c r="X511" i="33" s="1"/>
  <c r="W450" i="33"/>
  <c r="X450" i="33" s="1"/>
  <c r="W682" i="33"/>
  <c r="X682" i="33" s="1"/>
  <c r="W993" i="33"/>
  <c r="X993" i="33" s="1"/>
  <c r="W502" i="33"/>
  <c r="X502" i="33" s="1"/>
  <c r="W108" i="33"/>
  <c r="X108" i="33" s="1"/>
  <c r="W368" i="33"/>
  <c r="X368" i="33" s="1"/>
  <c r="W814" i="33"/>
  <c r="X814" i="33" s="1"/>
  <c r="W1056" i="33"/>
  <c r="X1056" i="33" s="1"/>
  <c r="W740" i="33"/>
  <c r="X740" i="33" s="1"/>
  <c r="W1002" i="33"/>
  <c r="X1002" i="33" s="1"/>
  <c r="W593" i="33"/>
  <c r="X593" i="33" s="1"/>
  <c r="W859" i="33"/>
  <c r="X859" i="33" s="1"/>
  <c r="W1030" i="33"/>
  <c r="X1030" i="33" s="1"/>
  <c r="W706" i="33"/>
  <c r="X706" i="33" s="1"/>
  <c r="W635" i="33"/>
  <c r="X635" i="33" s="1"/>
  <c r="W205" i="33"/>
  <c r="X205" i="33" s="1"/>
  <c r="W64" i="33"/>
  <c r="X64" i="33" s="1"/>
  <c r="W162" i="33"/>
  <c r="X162" i="33" s="1"/>
  <c r="W276" i="33"/>
  <c r="X276" i="33" s="1"/>
  <c r="W650" i="33"/>
  <c r="X650" i="33" s="1"/>
  <c r="W925" i="33"/>
  <c r="X925" i="33" s="1"/>
  <c r="W723" i="33"/>
  <c r="X723" i="33" s="1"/>
  <c r="W737" i="33"/>
  <c r="X737" i="33" s="1"/>
  <c r="W785" i="33"/>
  <c r="X785" i="33" s="1"/>
  <c r="W714" i="33"/>
  <c r="X714" i="33" s="1"/>
  <c r="W633" i="33"/>
  <c r="X633" i="33" s="1"/>
  <c r="W574" i="33"/>
  <c r="X574" i="33" s="1"/>
  <c r="W282" i="33"/>
  <c r="X282" i="33" s="1"/>
  <c r="W179" i="33"/>
  <c r="X179" i="33" s="1"/>
  <c r="W333" i="33"/>
  <c r="X333" i="33" s="1"/>
  <c r="W95" i="33"/>
  <c r="X95" i="33" s="1"/>
  <c r="W254" i="33"/>
  <c r="X254" i="33" s="1"/>
  <c r="W131" i="33"/>
  <c r="X131" i="33" s="1"/>
  <c r="W103" i="33"/>
  <c r="X103" i="33" s="1"/>
  <c r="W895" i="33"/>
  <c r="X895" i="33" s="1"/>
  <c r="W935" i="33"/>
  <c r="X935" i="33" s="1"/>
  <c r="W739" i="33"/>
  <c r="X739" i="33" s="1"/>
  <c r="W622" i="33"/>
  <c r="X622" i="33" s="1"/>
  <c r="W887" i="33"/>
  <c r="X887" i="33" s="1"/>
  <c r="W963" i="33"/>
  <c r="X963" i="33" s="1"/>
  <c r="W853" i="33"/>
  <c r="X853" i="33" s="1"/>
  <c r="W25" i="33"/>
  <c r="X25" i="33" s="1"/>
  <c r="W399" i="33"/>
  <c r="X399" i="33" s="1"/>
  <c r="W357" i="33"/>
  <c r="X357" i="33" s="1"/>
  <c r="W451" i="33"/>
  <c r="X451" i="33" s="1"/>
  <c r="W314" i="33"/>
  <c r="X314" i="33" s="1"/>
  <c r="W92" i="33"/>
  <c r="X92" i="33" s="1"/>
  <c r="W461" i="33"/>
  <c r="X461" i="33" s="1"/>
  <c r="W320" i="33"/>
  <c r="X320" i="33" s="1"/>
  <c r="W105" i="33"/>
  <c r="X105" i="33" s="1"/>
  <c r="W472" i="33"/>
  <c r="X472" i="33" s="1"/>
  <c r="W335" i="33"/>
  <c r="X335" i="33" s="1"/>
  <c r="W60" i="33"/>
  <c r="X60" i="33" s="1"/>
  <c r="W562" i="33"/>
  <c r="X562" i="33" s="1"/>
  <c r="W729" i="33"/>
  <c r="X729" i="33" s="1"/>
  <c r="W875" i="33"/>
  <c r="X875" i="33" s="1"/>
  <c r="W969" i="33"/>
  <c r="X969" i="33" s="1"/>
  <c r="W359" i="33"/>
  <c r="X359" i="33" s="1"/>
  <c r="W81" i="33"/>
  <c r="X81" i="33" s="1"/>
  <c r="W155" i="33"/>
  <c r="X155" i="33" s="1"/>
  <c r="W215" i="33"/>
  <c r="X215" i="33" s="1"/>
  <c r="W207" i="33"/>
  <c r="X207" i="33" s="1"/>
  <c r="W363" i="33"/>
  <c r="X363" i="33" s="1"/>
  <c r="W517" i="33"/>
  <c r="X517" i="33" s="1"/>
  <c r="W397" i="33"/>
  <c r="X397" i="33" s="1"/>
  <c r="W66" i="33"/>
  <c r="X66" i="33" s="1"/>
  <c r="W971" i="33"/>
  <c r="X971" i="33" s="1"/>
  <c r="W931" i="33"/>
  <c r="X931" i="33" s="1"/>
  <c r="W1062" i="33"/>
  <c r="X1062" i="33" s="1"/>
  <c r="W809" i="33"/>
  <c r="X809" i="33" s="1"/>
  <c r="W185" i="33"/>
  <c r="X185" i="33" s="1"/>
  <c r="W426" i="33"/>
  <c r="X426" i="33" s="1"/>
  <c r="W294" i="33"/>
  <c r="X294" i="33" s="1"/>
  <c r="W199" i="33"/>
  <c r="X199" i="33" s="1"/>
  <c r="W170" i="33"/>
  <c r="X170" i="33" s="1"/>
  <c r="W343" i="33"/>
  <c r="X343" i="33" s="1"/>
  <c r="W393" i="33"/>
  <c r="X393" i="33" s="1"/>
  <c r="W443" i="33"/>
  <c r="X443" i="33" s="1"/>
  <c r="W505" i="33"/>
  <c r="X505" i="33" s="1"/>
  <c r="W184" i="33"/>
  <c r="X184" i="33" s="1"/>
  <c r="W434" i="33"/>
  <c r="X434" i="33" s="1"/>
  <c r="W338" i="33"/>
  <c r="X338" i="33" s="1"/>
  <c r="W309" i="33"/>
  <c r="X309" i="33" s="1"/>
  <c r="W436" i="33"/>
  <c r="X436" i="33" s="1"/>
  <c r="W200" i="33"/>
  <c r="X200" i="33" s="1"/>
  <c r="W529" i="33"/>
  <c r="X529" i="33" s="1"/>
  <c r="W112" i="33"/>
  <c r="X112" i="33" s="1"/>
  <c r="W244" i="33"/>
  <c r="X244" i="33" s="1"/>
  <c r="W109" i="33"/>
  <c r="X109" i="33" s="1"/>
  <c r="W811" i="33"/>
  <c r="X811" i="33" s="1"/>
  <c r="W725" i="33"/>
  <c r="X725" i="33" s="1"/>
  <c r="W602" i="33"/>
  <c r="X602" i="33" s="1"/>
  <c r="W285" i="33"/>
  <c r="X285" i="33" s="1"/>
  <c r="W46" i="33"/>
  <c r="X46" i="33" s="1"/>
  <c r="W385" i="33"/>
  <c r="X385" i="33" s="1"/>
  <c r="W230" i="33"/>
  <c r="X230" i="33" s="1"/>
  <c r="W528" i="33"/>
  <c r="X528" i="33" s="1"/>
  <c r="W452" i="33"/>
  <c r="X452" i="33" s="1"/>
  <c r="W355" i="33"/>
  <c r="X355" i="33" s="1"/>
  <c r="W38" i="33"/>
  <c r="X38" i="33" s="1"/>
  <c r="W361" i="33"/>
  <c r="X361" i="33" s="1"/>
  <c r="W91" i="33"/>
  <c r="X91" i="33" s="1"/>
  <c r="W75" i="33"/>
  <c r="X75" i="33" s="1"/>
  <c r="W445" i="33"/>
  <c r="X445" i="33" s="1"/>
  <c r="W331" i="33"/>
  <c r="X331" i="33" s="1"/>
  <c r="W269" i="33"/>
  <c r="X269" i="33" s="1"/>
  <c r="W94" i="33"/>
  <c r="X94" i="33" s="1"/>
  <c r="W79" i="33"/>
  <c r="X79" i="33" s="1"/>
  <c r="W319" i="33"/>
  <c r="X319" i="33" s="1"/>
  <c r="W345" i="33"/>
  <c r="X345" i="33" s="1"/>
  <c r="W328" i="33"/>
  <c r="X328" i="33" s="1"/>
  <c r="W937" i="33"/>
  <c r="X937" i="33" s="1"/>
  <c r="W910" i="33"/>
  <c r="X910" i="33" s="1"/>
  <c r="W387" i="33"/>
  <c r="X387" i="33" s="1"/>
  <c r="W525" i="33"/>
  <c r="X525" i="33" s="1"/>
  <c r="W371" i="33"/>
  <c r="X371" i="33" s="1"/>
  <c r="W381" i="33"/>
  <c r="X381" i="33" s="1"/>
  <c r="W239" i="33"/>
  <c r="X239" i="33" s="1"/>
  <c r="W193" i="33"/>
  <c r="X193" i="33" s="1"/>
  <c r="W487" i="33"/>
  <c r="X487" i="33" s="1"/>
  <c r="W202" i="33"/>
  <c r="X202" i="33" s="1"/>
  <c r="W247" i="33"/>
  <c r="X247" i="33" s="1"/>
  <c r="W287" i="33"/>
  <c r="X287" i="33" s="1"/>
  <c r="W104" i="33"/>
  <c r="X104" i="33" s="1"/>
  <c r="W358" i="33"/>
  <c r="X358" i="33" s="1"/>
  <c r="W369" i="33"/>
  <c r="X369" i="33" s="1"/>
  <c r="W491" i="33"/>
  <c r="X491" i="33" s="1"/>
  <c r="W378" i="33"/>
  <c r="X378" i="33" s="1"/>
  <c r="W136" i="33"/>
  <c r="X136" i="33" s="1"/>
  <c r="W107" i="33"/>
  <c r="X107" i="33" s="1"/>
  <c r="W143" i="33"/>
  <c r="X143" i="33" s="1"/>
  <c r="W69" i="33"/>
  <c r="X69" i="33" s="1"/>
  <c r="W383" i="33"/>
  <c r="X383" i="33" s="1"/>
  <c r="W515" i="33"/>
  <c r="X515" i="33" s="1"/>
  <c r="W24" i="33"/>
  <c r="X24" i="33" s="1"/>
  <c r="W322" i="33"/>
  <c r="X322" i="33" s="1"/>
  <c r="W150" i="33"/>
  <c r="X150" i="33" s="1"/>
  <c r="W253" i="33"/>
  <c r="X253" i="33" s="1"/>
  <c r="W477" i="33"/>
  <c r="X477" i="33" s="1"/>
  <c r="W486" i="33"/>
  <c r="X486" i="33" s="1"/>
  <c r="W137" i="33"/>
  <c r="X137" i="33" s="1"/>
  <c r="W336" i="33"/>
  <c r="X336" i="33" s="1"/>
  <c r="W504" i="33"/>
  <c r="X504" i="33" s="1"/>
  <c r="W232" i="33"/>
  <c r="X232" i="33" s="1"/>
  <c r="W401" i="33"/>
  <c r="X401" i="33" s="1"/>
  <c r="W82" i="33"/>
  <c r="X82" i="33" s="1"/>
  <c r="W475" i="33"/>
  <c r="X475" i="33" s="1"/>
  <c r="W90" i="33"/>
  <c r="X90" i="33" s="1"/>
  <c r="W310" i="33"/>
  <c r="X310" i="33" s="1"/>
  <c r="W356" i="33"/>
  <c r="X356" i="33" s="1"/>
  <c r="W251" i="33"/>
  <c r="X251" i="33" s="1"/>
  <c r="W284" i="33"/>
  <c r="X284" i="33" s="1"/>
  <c r="W298" i="33"/>
  <c r="X298" i="33" s="1"/>
  <c r="W173" i="33"/>
  <c r="X173" i="33" s="1"/>
  <c r="W407" i="33"/>
  <c r="X407" i="33" s="1"/>
  <c r="W360" i="33"/>
  <c r="X360" i="33" s="1"/>
  <c r="W367" i="33"/>
  <c r="X367" i="33" s="1"/>
  <c r="W110" i="33"/>
  <c r="X110" i="33" s="1"/>
  <c r="W340" i="33"/>
  <c r="X340" i="33" s="1"/>
  <c r="W204" i="33"/>
  <c r="X204" i="33" s="1"/>
  <c r="W174" i="33"/>
  <c r="X174" i="33" s="1"/>
  <c r="W414" i="33"/>
  <c r="X414" i="33" s="1"/>
  <c r="W453" i="33"/>
  <c r="X453" i="33" s="1"/>
  <c r="W216" i="33"/>
  <c r="X216" i="33" s="1"/>
  <c r="W153" i="33"/>
  <c r="X153" i="33" s="1"/>
  <c r="W490" i="33"/>
  <c r="X490" i="33" s="1"/>
  <c r="W240" i="33"/>
  <c r="X240" i="33" s="1"/>
  <c r="W394" i="33"/>
  <c r="X394" i="33" s="1"/>
  <c r="W523" i="33"/>
  <c r="X523" i="33" s="1"/>
  <c r="W696" i="33"/>
  <c r="X696" i="33" s="1"/>
  <c r="W847" i="33"/>
  <c r="X847" i="33" s="1"/>
  <c r="W900" i="33"/>
  <c r="X900" i="33" s="1"/>
  <c r="W1006" i="33"/>
  <c r="X1006" i="33" s="1"/>
  <c r="W922" i="33"/>
  <c r="X922" i="33" s="1"/>
  <c r="W647" i="33"/>
  <c r="X647" i="33" s="1"/>
  <c r="W1031" i="33"/>
  <c r="X1031" i="33" s="1"/>
  <c r="W671" i="33"/>
  <c r="X671" i="33" s="1"/>
  <c r="W1001" i="33"/>
  <c r="X1001" i="33" s="1"/>
  <c r="W829" i="33"/>
  <c r="X829" i="33" s="1"/>
  <c r="W630" i="33"/>
  <c r="X630" i="33" s="1"/>
  <c r="W654" i="33"/>
  <c r="X654" i="33" s="1"/>
  <c r="W881" i="33"/>
  <c r="X881" i="33" s="1"/>
  <c r="W708" i="33"/>
  <c r="X708" i="33" s="1"/>
  <c r="W812" i="33"/>
  <c r="X812" i="33" s="1"/>
  <c r="W994" i="33"/>
  <c r="X994" i="33" s="1"/>
  <c r="W976" i="33"/>
  <c r="X976" i="33" s="1"/>
  <c r="W679" i="33"/>
  <c r="X679" i="33" s="1"/>
  <c r="W863" i="33"/>
  <c r="X863" i="33" s="1"/>
  <c r="W556" i="33"/>
  <c r="X556" i="33" s="1"/>
  <c r="W1024" i="33"/>
  <c r="X1024" i="33" s="1"/>
  <c r="W888" i="33"/>
  <c r="X888" i="33" s="1"/>
  <c r="W1010" i="33"/>
  <c r="X1010" i="33" s="1"/>
  <c r="W921" i="33"/>
  <c r="X921" i="33" s="1"/>
  <c r="W902" i="33"/>
  <c r="X902" i="33" s="1"/>
  <c r="W559" i="33"/>
  <c r="X559" i="33" s="1"/>
  <c r="W950" i="33"/>
  <c r="X950" i="33" s="1"/>
  <c r="W977" i="33"/>
  <c r="X977" i="33" s="1"/>
  <c r="W763" i="33"/>
  <c r="X763" i="33" s="1"/>
  <c r="W760" i="33"/>
  <c r="X760" i="33" s="1"/>
  <c r="W719" i="33"/>
  <c r="X719" i="33" s="1"/>
  <c r="W554" i="33"/>
  <c r="X554" i="33" s="1"/>
  <c r="W713" i="33"/>
  <c r="X713" i="33" s="1"/>
  <c r="W568" i="33"/>
  <c r="X568" i="33" s="1"/>
  <c r="W957" i="33"/>
  <c r="X957" i="33" s="1"/>
  <c r="W592" i="33"/>
  <c r="X592" i="33" s="1"/>
  <c r="W1014" i="33"/>
  <c r="X1014" i="33" s="1"/>
  <c r="W1019" i="33"/>
  <c r="X1019" i="33" s="1"/>
  <c r="W565" i="33"/>
  <c r="X565" i="33" s="1"/>
  <c r="W951" i="33"/>
  <c r="X951" i="33" s="1"/>
  <c r="W742" i="33"/>
  <c r="X742" i="33" s="1"/>
  <c r="W927" i="33"/>
  <c r="X927" i="33" s="1"/>
  <c r="W666" i="33"/>
  <c r="X666" i="33" s="1"/>
  <c r="W1013" i="33"/>
  <c r="X1013" i="33" s="1"/>
  <c r="W940" i="33"/>
  <c r="X940" i="33" s="1"/>
  <c r="W849" i="33"/>
  <c r="X849" i="33" s="1"/>
  <c r="W917" i="33"/>
  <c r="X917" i="33" s="1"/>
  <c r="W726" i="33"/>
  <c r="X726" i="33" s="1"/>
  <c r="W979" i="33"/>
  <c r="X979" i="33" s="1"/>
  <c r="W817" i="33"/>
  <c r="X817" i="33" s="1"/>
  <c r="W678" i="33"/>
  <c r="X678" i="33" s="1"/>
  <c r="W889" i="33"/>
  <c r="X889" i="33" s="1"/>
  <c r="W607" i="33"/>
  <c r="X607" i="33" s="1"/>
  <c r="W743" i="33"/>
  <c r="X743" i="33" s="1"/>
  <c r="W821" i="33"/>
  <c r="X821" i="33" s="1"/>
  <c r="W609" i="33"/>
  <c r="X609" i="33" s="1"/>
  <c r="W590" i="33"/>
  <c r="X590" i="33" s="1"/>
  <c r="W773" i="33"/>
  <c r="X773" i="33" s="1"/>
  <c r="W988" i="33"/>
  <c r="X988" i="33" s="1"/>
  <c r="W913" i="33"/>
  <c r="X913" i="33" s="1"/>
  <c r="W675" i="33"/>
  <c r="X675" i="33" s="1"/>
  <c r="W569" i="33"/>
  <c r="X569" i="33" s="1"/>
  <c r="W822" i="33"/>
  <c r="X822" i="33" s="1"/>
  <c r="W946" i="33"/>
  <c r="X946" i="33" s="1"/>
  <c r="W860" i="33"/>
  <c r="X860" i="33" s="1"/>
  <c r="W618" i="33"/>
  <c r="X618" i="33" s="1"/>
  <c r="W896" i="33"/>
  <c r="X896" i="33" s="1"/>
  <c r="W810" i="33"/>
  <c r="X810" i="33" s="1"/>
  <c r="W628" i="33"/>
  <c r="X628" i="33" s="1"/>
  <c r="W894" i="33"/>
  <c r="X894" i="33" s="1"/>
  <c r="W615" i="33"/>
  <c r="X615" i="33" s="1"/>
  <c r="W852" i="33"/>
  <c r="X852" i="33" s="1"/>
  <c r="W716" i="33"/>
  <c r="X716" i="33" s="1"/>
  <c r="W659" i="33"/>
  <c r="X659" i="33" s="1"/>
  <c r="W707" i="33"/>
  <c r="X707" i="33" s="1"/>
  <c r="W606" i="33"/>
  <c r="X606" i="33" s="1"/>
  <c r="W624" i="33"/>
  <c r="X624" i="33" s="1"/>
  <c r="W626" i="33"/>
  <c r="X626" i="33" s="1"/>
  <c r="W721" i="33"/>
  <c r="X721" i="33" s="1"/>
  <c r="W762" i="33"/>
  <c r="X762" i="33" s="1"/>
  <c r="W1044" i="33"/>
  <c r="X1044" i="33" s="1"/>
  <c r="W614" i="33"/>
  <c r="X614" i="33" s="1"/>
  <c r="W805" i="33"/>
  <c r="X805" i="33" s="1"/>
  <c r="W640" i="33"/>
  <c r="X640" i="33" s="1"/>
  <c r="W718" i="33"/>
  <c r="X718" i="33" s="1"/>
  <c r="W840" i="33"/>
  <c r="X840" i="33" s="1"/>
  <c r="W756" i="33"/>
  <c r="X756" i="33" s="1"/>
  <c r="W753" i="33"/>
  <c r="X753" i="33" s="1"/>
  <c r="W617" i="33"/>
  <c r="X617" i="33" s="1"/>
  <c r="W930" i="33"/>
  <c r="X930" i="33" s="1"/>
  <c r="W1008" i="33"/>
  <c r="X1008" i="33" s="1"/>
  <c r="W792" i="33"/>
  <c r="X792" i="33" s="1"/>
  <c r="W770" i="33"/>
  <c r="X770" i="33" s="1"/>
  <c r="W629" i="33"/>
  <c r="X629" i="33" s="1"/>
  <c r="W1021" i="33"/>
  <c r="X1021" i="33" s="1"/>
  <c r="W573" i="33"/>
  <c r="X573" i="33" s="1"/>
  <c r="W749" i="33"/>
  <c r="X749" i="33" s="1"/>
  <c r="W608" i="33"/>
  <c r="X608" i="33" s="1"/>
  <c r="W734" i="33"/>
  <c r="X734" i="33" s="1"/>
  <c r="W1029" i="33"/>
  <c r="X1029" i="33" s="1"/>
  <c r="W975" i="33"/>
  <c r="X975" i="33" s="1"/>
  <c r="W985" i="33"/>
  <c r="X985" i="33" s="1"/>
  <c r="W670" i="33"/>
  <c r="X670" i="33" s="1"/>
  <c r="W839" i="33"/>
  <c r="X839" i="33" s="1"/>
  <c r="W570" i="33"/>
  <c r="X570" i="33" s="1"/>
  <c r="W704" i="33"/>
  <c r="X704" i="33" s="1"/>
  <c r="W802" i="33"/>
  <c r="X802" i="33" s="1"/>
  <c r="W907" i="33"/>
  <c r="X907" i="33" s="1"/>
  <c r="W928" i="33"/>
  <c r="X928" i="33" s="1"/>
  <c r="W982" i="33"/>
  <c r="X982" i="33" s="1"/>
  <c r="W884" i="33"/>
  <c r="X884" i="33" s="1"/>
  <c r="W701" i="33"/>
  <c r="X701" i="33" s="1"/>
  <c r="W1012" i="33"/>
  <c r="X1012" i="33" s="1"/>
  <c r="W638" i="33"/>
  <c r="X638" i="33" s="1"/>
  <c r="W705" i="33"/>
  <c r="X705" i="33" s="1"/>
  <c r="W903" i="33"/>
  <c r="X903" i="33" s="1"/>
  <c r="W890" i="33"/>
  <c r="X890" i="33" s="1"/>
  <c r="W709" i="33"/>
  <c r="X709" i="33" s="1"/>
  <c r="W754" i="33"/>
  <c r="X754" i="33" s="1"/>
  <c r="W690" i="33"/>
  <c r="X690" i="33" s="1"/>
  <c r="W919" i="33"/>
  <c r="X919" i="33" s="1"/>
  <c r="W777" i="33"/>
  <c r="X777" i="33" s="1"/>
  <c r="W703" i="33"/>
  <c r="X703" i="33" s="1"/>
  <c r="W572" i="33"/>
  <c r="X572" i="33" s="1"/>
  <c r="W1020" i="33"/>
  <c r="X1020" i="33" s="1"/>
  <c r="W692" i="33"/>
  <c r="X692" i="33" s="1"/>
  <c r="W1041" i="33"/>
  <c r="X1041" i="33" s="1"/>
  <c r="W1059" i="33"/>
  <c r="X1059" i="33" s="1"/>
  <c r="W916" i="33"/>
  <c r="X916" i="33" s="1"/>
  <c r="W972" i="33"/>
  <c r="X972" i="33" s="1"/>
  <c r="W938" i="33"/>
  <c r="X938" i="33" s="1"/>
  <c r="W991" i="33"/>
  <c r="X991" i="33" s="1"/>
  <c r="W727" i="33"/>
  <c r="X727" i="33" s="1"/>
  <c r="W580" i="33"/>
  <c r="X580" i="33" s="1"/>
  <c r="W778" i="33"/>
  <c r="X778" i="33" s="1"/>
  <c r="W798" i="33"/>
  <c r="X798" i="33" s="1"/>
  <c r="W733" i="33"/>
  <c r="X733" i="33" s="1"/>
  <c r="W866" i="33"/>
  <c r="X866" i="33" s="1"/>
  <c r="W632" i="33"/>
  <c r="X632" i="33" s="1"/>
  <c r="W864" i="33"/>
  <c r="X864" i="33" s="1"/>
  <c r="W620" i="33"/>
  <c r="X620" i="33" s="1"/>
  <c r="W551" i="33"/>
  <c r="X551" i="33" s="1"/>
  <c r="W880" i="33"/>
  <c r="X880" i="33" s="1"/>
  <c r="W563" i="33"/>
  <c r="X563" i="33" s="1"/>
  <c r="W674" i="33"/>
  <c r="X674" i="33" s="1"/>
  <c r="W970" i="33"/>
  <c r="X970" i="33" s="1"/>
  <c r="W986" i="33"/>
  <c r="X986" i="33" s="1"/>
  <c r="W660" i="33"/>
  <c r="X660" i="33" s="1"/>
  <c r="W961" i="33"/>
  <c r="X961" i="33" s="1"/>
  <c r="W799" i="33"/>
  <c r="X799" i="33" s="1"/>
  <c r="W959" i="33"/>
  <c r="X959" i="33" s="1"/>
  <c r="W755" i="33"/>
  <c r="X755" i="33" s="1"/>
  <c r="W616" i="33"/>
  <c r="X616" i="33" s="1"/>
  <c r="W552" i="33"/>
  <c r="X552" i="33" s="1"/>
  <c r="W724" i="33"/>
  <c r="X724" i="33" s="1"/>
  <c r="W652" i="33"/>
  <c r="X652" i="33" s="1"/>
  <c r="W949" i="33"/>
  <c r="X949" i="33" s="1"/>
  <c r="W581" i="33"/>
  <c r="X581" i="33" s="1"/>
  <c r="W746" i="33"/>
  <c r="X746" i="33" s="1"/>
  <c r="W710" i="33"/>
  <c r="X710" i="33" s="1"/>
  <c r="W656" i="33"/>
  <c r="X656" i="33" s="1"/>
  <c r="W801" i="33"/>
  <c r="X801" i="33" s="1"/>
  <c r="W827" i="33"/>
  <c r="X827" i="33" s="1"/>
  <c r="W745" i="33"/>
  <c r="X745" i="33" s="1"/>
  <c r="W588" i="33"/>
  <c r="X588" i="33" s="1"/>
  <c r="W823" i="33"/>
  <c r="X823" i="33" s="1"/>
  <c r="W684" i="33"/>
  <c r="X684" i="33" s="1"/>
  <c r="W816" i="33"/>
  <c r="X816" i="33" s="1"/>
  <c r="W813" i="33"/>
  <c r="X813" i="33" s="1"/>
  <c r="W825" i="33"/>
  <c r="X825" i="33" s="1"/>
  <c r="W835" i="33"/>
  <c r="X835" i="33" s="1"/>
  <c r="W661" i="33"/>
  <c r="X661" i="33" s="1"/>
  <c r="W795" i="33"/>
  <c r="X795" i="33" s="1"/>
  <c r="W1047" i="33"/>
  <c r="X1047" i="33" s="1"/>
  <c r="W945" i="33"/>
  <c r="X945" i="33" s="1"/>
  <c r="W686" i="33"/>
  <c r="X686" i="33" s="1"/>
  <c r="W926" i="33"/>
  <c r="X926" i="33" s="1"/>
  <c r="W932" i="33"/>
  <c r="X932" i="33" s="1"/>
  <c r="W598" i="33"/>
  <c r="X598" i="33" s="1"/>
  <c r="W1040" i="33"/>
  <c r="X1040" i="33" s="1"/>
  <c r="W850" i="33"/>
  <c r="X850" i="33" s="1"/>
  <c r="W658" i="33"/>
  <c r="X658" i="33" s="1"/>
  <c r="W558" i="33"/>
  <c r="X558" i="33" s="1"/>
  <c r="W735" i="33"/>
  <c r="X735" i="33" s="1"/>
  <c r="W651" i="33"/>
  <c r="X651" i="33" s="1"/>
  <c r="W920" i="33"/>
  <c r="X920" i="33" s="1"/>
  <c r="W806" i="33"/>
  <c r="X806" i="33" s="1"/>
  <c r="W712" i="33"/>
  <c r="X712" i="33" s="1"/>
  <c r="W984" i="33"/>
  <c r="X984" i="33" s="1"/>
  <c r="W897" i="33"/>
  <c r="X897" i="33" s="1"/>
  <c r="W844" i="33"/>
  <c r="X844" i="33" s="1"/>
  <c r="W1060" i="33"/>
  <c r="X1060" i="33" s="1"/>
  <c r="W571" i="33"/>
  <c r="X571" i="33" s="1"/>
  <c r="W1038" i="33"/>
  <c r="X1038" i="33" s="1"/>
  <c r="W761" i="33"/>
  <c r="X761" i="33" s="1"/>
  <c r="W956" i="33"/>
  <c r="X956" i="33" s="1"/>
  <c r="W646" i="33"/>
  <c r="X646" i="33" s="1"/>
  <c r="W596" i="33"/>
  <c r="X596" i="33" s="1"/>
  <c r="W879" i="33"/>
  <c r="X879" i="33" s="1"/>
  <c r="W680" i="33"/>
  <c r="X680" i="33" s="1"/>
  <c r="W750" i="33"/>
  <c r="X750" i="33" s="1"/>
  <c r="W764" i="33"/>
  <c r="X764" i="33" s="1"/>
  <c r="W954" i="33"/>
  <c r="X954" i="33" s="1"/>
  <c r="W968" i="33"/>
  <c r="X968" i="33" s="1"/>
  <c r="W711" i="33"/>
  <c r="X711" i="33" s="1"/>
  <c r="W962" i="33"/>
  <c r="X962" i="33" s="1"/>
  <c r="W730" i="33"/>
  <c r="X730" i="33" s="1"/>
  <c r="W818" i="33"/>
  <c r="X818" i="33" s="1"/>
  <c r="W599" i="33"/>
  <c r="X599" i="33" s="1"/>
  <c r="W789" i="33"/>
  <c r="X789" i="33" s="1"/>
  <c r="W636" i="33"/>
  <c r="X636" i="33" s="1"/>
  <c r="W800" i="33"/>
  <c r="X800" i="33" s="1"/>
  <c r="W914" i="33"/>
  <c r="X914" i="33" s="1"/>
  <c r="W553" i="33"/>
  <c r="X553" i="33" s="1"/>
  <c r="W691" i="33"/>
  <c r="X691" i="33" s="1"/>
  <c r="W885" i="33"/>
  <c r="X885" i="33" s="1"/>
  <c r="W595" i="33"/>
  <c r="X595" i="33" s="1"/>
  <c r="W648" i="33"/>
  <c r="X648" i="33" s="1"/>
  <c r="W980" i="33"/>
  <c r="X980" i="33" s="1"/>
  <c r="W699" i="33"/>
  <c r="X699" i="33" s="1"/>
  <c r="W870" i="33"/>
  <c r="X870" i="33" s="1"/>
  <c r="W1009" i="33"/>
  <c r="X1009" i="33" s="1"/>
  <c r="W583" i="33"/>
  <c r="X583" i="33" s="1"/>
  <c r="W1043" i="33"/>
  <c r="X1043" i="33" s="1"/>
  <c r="W1036" i="33"/>
  <c r="X1036" i="33" s="1"/>
  <c r="W882" i="33"/>
  <c r="X882" i="33" s="1"/>
  <c r="W837" i="33"/>
  <c r="X837" i="33" s="1"/>
  <c r="W604" i="33"/>
  <c r="X604" i="33" s="1"/>
  <c r="W751" i="33"/>
  <c r="X751" i="33" s="1"/>
  <c r="W747" i="33"/>
  <c r="X747" i="33" s="1"/>
  <c r="W1016" i="33"/>
  <c r="X1016" i="33" s="1"/>
  <c r="W923" i="33"/>
  <c r="X923" i="33" s="1"/>
  <c r="W934" i="33"/>
  <c r="X934" i="33" s="1"/>
  <c r="W1048" i="33"/>
  <c r="X1048" i="33" s="1"/>
  <c r="W657" i="33"/>
  <c r="X657" i="33" s="1"/>
  <c r="W644" i="33"/>
  <c r="X644" i="33" s="1"/>
  <c r="W999" i="33"/>
  <c r="X999" i="33" s="1"/>
  <c r="W872" i="33"/>
  <c r="X872" i="33" s="1"/>
  <c r="W672" i="33"/>
  <c r="X672" i="33" s="1"/>
  <c r="W1058" i="33"/>
  <c r="X1058" i="33" s="1"/>
  <c r="W639" i="33"/>
  <c r="X639" i="33" s="1"/>
  <c r="W587" i="33"/>
  <c r="X587" i="33" s="1"/>
  <c r="W732" i="33"/>
  <c r="X732" i="33" s="1"/>
  <c r="W856" i="33"/>
  <c r="X856" i="33" s="1"/>
  <c r="W625" i="33"/>
  <c r="X625" i="33" s="1"/>
  <c r="W698" i="33"/>
  <c r="X698" i="33" s="1"/>
  <c r="W775" i="33"/>
  <c r="X775" i="33" s="1"/>
  <c r="W874" i="33"/>
  <c r="X874" i="33" s="1"/>
  <c r="W973" i="33"/>
  <c r="X973" i="33" s="1"/>
  <c r="W683" i="33"/>
  <c r="X683" i="33" s="1"/>
  <c r="W663" i="33"/>
  <c r="X663" i="33" s="1"/>
  <c r="W1003" i="33"/>
  <c r="X1003" i="33" s="1"/>
  <c r="W715" i="33"/>
  <c r="X715" i="33" s="1"/>
  <c r="W1057" i="33"/>
  <c r="X1057" i="33" s="1"/>
  <c r="W631" i="33"/>
  <c r="X631" i="33" s="1"/>
  <c r="W807" i="33"/>
  <c r="X807" i="33" s="1"/>
  <c r="W736" i="33"/>
  <c r="X736" i="33" s="1"/>
  <c r="W585" i="33"/>
  <c r="X585" i="33" s="1"/>
  <c r="W793" i="33"/>
  <c r="X793" i="33" s="1"/>
  <c r="W867" i="33"/>
  <c r="X867" i="33" s="1"/>
  <c r="W826" i="33"/>
  <c r="X826" i="33" s="1"/>
  <c r="W1061" i="33"/>
  <c r="X1061" i="33" s="1"/>
  <c r="W1025" i="33"/>
  <c r="X1025" i="33" s="1"/>
  <c r="W1017" i="33"/>
  <c r="X1017" i="33" s="1"/>
  <c r="W1032" i="33"/>
  <c r="X1032" i="33" s="1"/>
  <c r="W967" i="33"/>
  <c r="X967" i="33" s="1"/>
  <c r="W865" i="33"/>
  <c r="X865" i="33" s="1"/>
  <c r="W838" i="33"/>
  <c r="X838" i="33" s="1"/>
  <c r="W768" i="33"/>
  <c r="X768" i="33" s="1"/>
  <c r="W576" i="33"/>
  <c r="X576" i="33" s="1"/>
  <c r="W924" i="33"/>
  <c r="X924" i="33" s="1"/>
  <c r="W627" i="33"/>
  <c r="X627" i="33" s="1"/>
  <c r="W738" i="33"/>
  <c r="X738" i="33" s="1"/>
  <c r="W841" i="33"/>
  <c r="X841" i="33" s="1"/>
  <c r="W997" i="33"/>
  <c r="X997" i="33" s="1"/>
  <c r="W564" i="33"/>
  <c r="X564" i="33" s="1"/>
  <c r="W591" i="33"/>
  <c r="X591" i="33" s="1"/>
  <c r="W677" i="33"/>
  <c r="X677" i="33" s="1"/>
  <c r="W904" i="33"/>
  <c r="X904" i="33" s="1"/>
  <c r="W820" i="33"/>
  <c r="X820" i="33" s="1"/>
  <c r="W1035" i="33"/>
  <c r="X1035" i="33" s="1"/>
  <c r="W948" i="33"/>
  <c r="X948" i="33" s="1"/>
  <c r="W555" i="33"/>
  <c r="X555" i="33" s="1"/>
  <c r="W693" i="33"/>
  <c r="X693" i="33" s="1"/>
  <c r="W780" i="33"/>
  <c r="X780" i="33" s="1"/>
  <c r="W832" i="33"/>
  <c r="X832" i="33" s="1"/>
  <c r="W748" i="33"/>
  <c r="X748" i="33" s="1"/>
  <c r="W776" i="33"/>
  <c r="X776" i="33" s="1"/>
  <c r="W676" i="33"/>
  <c r="X676" i="33" s="1"/>
  <c r="W561" i="33"/>
  <c r="X561" i="33" s="1"/>
  <c r="W695" i="33"/>
  <c r="X695" i="33" s="1"/>
  <c r="W912" i="33"/>
  <c r="X912" i="33" s="1"/>
  <c r="W891" i="33"/>
  <c r="X891" i="33" s="1"/>
  <c r="W584" i="33"/>
  <c r="X584" i="33" s="1"/>
  <c r="W1005" i="33"/>
  <c r="X1005" i="33" s="1"/>
  <c r="W611" i="33"/>
  <c r="X611" i="33" s="1"/>
  <c r="W998" i="33"/>
  <c r="X998" i="33" s="1"/>
  <c r="W1022" i="33"/>
  <c r="X1022" i="33" s="1"/>
  <c r="W992" i="33"/>
  <c r="X992" i="33" s="1"/>
  <c r="W933" i="33"/>
  <c r="X933" i="33" s="1"/>
  <c r="W613" i="33"/>
  <c r="X613" i="33" s="1"/>
  <c r="W781" i="33"/>
  <c r="X781" i="33" s="1"/>
  <c r="W600" i="33"/>
  <c r="X600" i="33" s="1"/>
  <c r="W697" i="33"/>
  <c r="X697" i="33" s="1"/>
  <c r="W846" i="33"/>
  <c r="X846" i="33" s="1"/>
  <c r="W623" i="33"/>
  <c r="X623" i="33" s="1"/>
  <c r="W808" i="33"/>
  <c r="X808" i="33" s="1"/>
  <c r="W960" i="33"/>
  <c r="X960" i="33" s="1"/>
  <c r="W700" i="33"/>
  <c r="X700" i="33" s="1"/>
  <c r="W943" i="33"/>
  <c r="X943" i="33" s="1"/>
  <c r="W1039" i="33"/>
  <c r="X1039" i="33" s="1"/>
  <c r="W1034" i="33"/>
  <c r="X1034" i="33" s="1"/>
  <c r="W893" i="33"/>
  <c r="X893" i="33" s="1"/>
  <c r="W786" i="33"/>
  <c r="X786" i="33" s="1"/>
  <c r="W996" i="33"/>
  <c r="X996" i="33" s="1"/>
  <c r="W1018" i="33"/>
  <c r="X1018" i="33" s="1"/>
  <c r="W766" i="33"/>
  <c r="X766" i="33" s="1"/>
  <c r="W787" i="33"/>
  <c r="X787" i="33" s="1"/>
  <c r="W955" i="33"/>
  <c r="X955" i="33" s="1"/>
  <c r="W578" i="33"/>
  <c r="X578" i="33" s="1"/>
  <c r="W1050" i="33"/>
  <c r="X1050" i="33" s="1"/>
  <c r="W641" i="33"/>
  <c r="X641" i="33" s="1"/>
  <c r="W582" i="33"/>
  <c r="X582" i="33" s="1"/>
  <c r="W566" i="33"/>
  <c r="X566" i="33" s="1"/>
  <c r="W836" i="33"/>
  <c r="X836" i="33" s="1"/>
  <c r="W741" i="33"/>
  <c r="X741" i="33" s="1"/>
  <c r="W918" i="33"/>
  <c r="X918" i="33" s="1"/>
  <c r="W898" i="33"/>
  <c r="X898" i="33" s="1"/>
  <c r="W774" i="33"/>
  <c r="X774" i="33" s="1"/>
  <c r="W694" i="33"/>
  <c r="X694" i="33" s="1"/>
  <c r="W129" i="33"/>
  <c r="X129" i="33" s="1"/>
  <c r="W439" i="33"/>
  <c r="X439" i="33" s="1"/>
  <c r="W481" i="33"/>
  <c r="X481" i="33" s="1"/>
  <c r="W353" i="33"/>
  <c r="X353" i="33" s="1"/>
  <c r="W416" i="33"/>
  <c r="X416" i="33" s="1"/>
  <c r="W54" i="33"/>
  <c r="X54" i="33" s="1"/>
  <c r="W161" i="33"/>
  <c r="X161" i="33" s="1"/>
  <c r="W501" i="33"/>
  <c r="X501" i="33" s="1"/>
  <c r="W62" i="33"/>
  <c r="X62" i="33" s="1"/>
  <c r="W409" i="33"/>
  <c r="X409" i="33" s="1"/>
  <c r="W267" i="33"/>
  <c r="X267" i="33" s="1"/>
  <c r="W156" i="33"/>
  <c r="X156" i="33" s="1"/>
  <c r="W324" i="33"/>
  <c r="X324" i="33" s="1"/>
  <c r="W300" i="33"/>
  <c r="X300" i="33" s="1"/>
  <c r="W350" i="33"/>
  <c r="X350" i="33" s="1"/>
  <c r="W88" i="33"/>
  <c r="X88" i="33" s="1"/>
  <c r="W223" i="33"/>
  <c r="X223" i="33" s="1"/>
  <c r="W457" i="33"/>
  <c r="X457" i="33" s="1"/>
  <c r="W27" i="33"/>
  <c r="X27" i="33" s="1"/>
  <c r="W404" i="33"/>
  <c r="X404" i="33" s="1"/>
  <c r="W30" i="33"/>
  <c r="X30" i="33" s="1"/>
  <c r="W53" i="33"/>
  <c r="X53" i="33" s="1"/>
  <c r="W307" i="33"/>
  <c r="X307" i="33" s="1"/>
  <c r="W106" i="33"/>
  <c r="X106" i="33" s="1"/>
  <c r="W39" i="33"/>
  <c r="X39" i="33" s="1"/>
  <c r="W264" i="33"/>
  <c r="X264" i="33" s="1"/>
  <c r="W364" i="33"/>
  <c r="X364" i="33" s="1"/>
  <c r="W466" i="33"/>
  <c r="X466" i="33" s="1"/>
  <c r="W55" i="33"/>
  <c r="X55" i="33" s="1"/>
  <c r="W78" i="33"/>
  <c r="X78" i="33" s="1"/>
  <c r="W989" i="33"/>
  <c r="X989" i="33" s="1"/>
  <c r="W231" i="33"/>
  <c r="X231" i="33" s="1"/>
  <c r="W117" i="33"/>
  <c r="X117" i="33" s="1"/>
  <c r="W496" i="33"/>
  <c r="X496" i="33" s="1"/>
  <c r="W138" i="33"/>
  <c r="X138" i="33" s="1"/>
  <c r="W492" i="33"/>
  <c r="X492" i="33" s="1"/>
  <c r="W165" i="33"/>
  <c r="X165" i="33" s="1"/>
  <c r="W263" i="33"/>
  <c r="X263" i="33" s="1"/>
  <c r="W115" i="33"/>
  <c r="X115" i="33" s="1"/>
  <c r="W190" i="33"/>
  <c r="X190" i="33" s="1"/>
  <c r="W274" i="33"/>
  <c r="X274" i="33" s="1"/>
  <c r="W366" i="33"/>
  <c r="X366" i="33" s="1"/>
  <c r="W151" i="33"/>
  <c r="X151" i="33" s="1"/>
  <c r="W42" i="33"/>
  <c r="X42" i="33" s="1"/>
  <c r="W58" i="33"/>
  <c r="X58" i="33" s="1"/>
  <c r="W330" i="33"/>
  <c r="X330" i="33" s="1"/>
  <c r="W372" i="33"/>
  <c r="X372" i="33" s="1"/>
  <c r="W157" i="33"/>
  <c r="X157" i="33" s="1"/>
  <c r="W473" i="33"/>
  <c r="X473" i="33" s="1"/>
  <c r="W313" i="33"/>
  <c r="X313" i="33" s="1"/>
  <c r="W508" i="33"/>
  <c r="X508" i="33" s="1"/>
  <c r="W432" i="33"/>
  <c r="X432" i="33" s="1"/>
  <c r="W389" i="33"/>
  <c r="X389" i="33" s="1"/>
  <c r="W198" i="33"/>
  <c r="X198" i="33" s="1"/>
  <c r="W72" i="33"/>
  <c r="X72" i="33" s="1"/>
  <c r="W499" i="33"/>
  <c r="X499" i="33" s="1"/>
  <c r="W102" i="33"/>
  <c r="X102" i="33" s="1"/>
  <c r="W76" i="33"/>
  <c r="X76" i="33" s="1"/>
  <c r="W423" i="33"/>
  <c r="X423" i="33" s="1"/>
  <c r="W524" i="33"/>
  <c r="X524" i="33" s="1"/>
  <c r="W483" i="33"/>
  <c r="X483" i="33" s="1"/>
  <c r="W206" i="33"/>
  <c r="X206" i="33" s="1"/>
  <c r="W85" i="33"/>
  <c r="X85" i="33" s="1"/>
  <c r="W306" i="33"/>
  <c r="X306" i="33" s="1"/>
  <c r="W421" i="33"/>
  <c r="X421" i="33" s="1"/>
  <c r="W26" i="33"/>
  <c r="X26" i="33" s="1"/>
  <c r="W513" i="33"/>
  <c r="X513" i="33" s="1"/>
  <c r="W315" i="33"/>
  <c r="X315" i="33" s="1"/>
  <c r="W476" i="33"/>
  <c r="X476" i="33" s="1"/>
  <c r="W470" i="33"/>
  <c r="X470" i="33" s="1"/>
  <c r="W291" i="33"/>
  <c r="X291" i="33" s="1"/>
  <c r="W242" i="33"/>
  <c r="X242" i="33" s="1"/>
  <c r="W308" i="33"/>
  <c r="X308" i="33" s="1"/>
  <c r="W468" i="33"/>
  <c r="X468" i="33" s="1"/>
  <c r="W375" i="33"/>
  <c r="X375" i="33" s="1"/>
  <c r="W380" i="33"/>
  <c r="X380" i="33" s="1"/>
  <c r="W288" i="33"/>
  <c r="X288" i="33" s="1"/>
  <c r="W471" i="33"/>
  <c r="X471" i="33" s="1"/>
  <c r="W176" i="33"/>
  <c r="X176" i="33" s="1"/>
  <c r="W187" i="33"/>
  <c r="X187" i="33" s="1"/>
  <c r="W506" i="33"/>
  <c r="X506" i="33" s="1"/>
  <c r="W99" i="33"/>
  <c r="X99" i="33" s="1"/>
  <c r="W478" i="33"/>
  <c r="X478" i="33" s="1"/>
  <c r="W429" i="33"/>
  <c r="X429" i="33" s="1"/>
  <c r="W351" i="33"/>
  <c r="X351" i="33" s="1"/>
  <c r="W23" i="33"/>
  <c r="X23" i="33" s="1"/>
  <c r="W164" i="33"/>
  <c r="X164" i="33" s="1"/>
  <c r="W236" i="33"/>
  <c r="X236" i="33" s="1"/>
  <c r="W257" i="33"/>
  <c r="X257" i="33" s="1"/>
  <c r="W197" i="33"/>
  <c r="X197" i="33" s="1"/>
  <c r="W392" i="33"/>
  <c r="X392" i="33" s="1"/>
  <c r="W758" i="33"/>
  <c r="X758" i="33" s="1"/>
  <c r="W65" i="33"/>
  <c r="X65" i="33" s="1"/>
  <c r="W283" i="33"/>
  <c r="X283" i="33" s="1"/>
  <c r="W354" i="33"/>
  <c r="X354" i="33" s="1"/>
  <c r="W374" i="33"/>
  <c r="X374" i="33" s="1"/>
  <c r="W135" i="33"/>
  <c r="X135" i="33" s="1"/>
  <c r="W261" i="33"/>
  <c r="X261" i="33" s="1"/>
  <c r="W311" i="33"/>
  <c r="X311" i="33" s="1"/>
  <c r="W293" i="33"/>
  <c r="X293" i="33" s="1"/>
  <c r="W235" i="33"/>
  <c r="X235" i="33" s="1"/>
  <c r="W47" i="33"/>
  <c r="X47" i="33" s="1"/>
  <c r="W238" i="33"/>
  <c r="X238" i="33" s="1"/>
  <c r="W337" i="33"/>
  <c r="X337" i="33" s="1"/>
  <c r="W74" i="33"/>
  <c r="X74" i="33" s="1"/>
  <c r="W299" i="33"/>
  <c r="X299" i="33" s="1"/>
  <c r="W87" i="33"/>
  <c r="X87" i="33" s="1"/>
  <c r="W83" i="33"/>
  <c r="X83" i="33" s="1"/>
  <c r="W435" i="33"/>
  <c r="X435" i="33" s="1"/>
  <c r="W281" i="33"/>
  <c r="X281" i="33" s="1"/>
  <c r="W167" i="33"/>
  <c r="X167" i="33" s="1"/>
  <c r="W49" i="33"/>
  <c r="X49" i="33" s="1"/>
  <c r="W19" i="33"/>
  <c r="X19" i="33" s="1"/>
  <c r="W425" i="33"/>
  <c r="X425" i="33" s="1"/>
  <c r="W454" i="33"/>
  <c r="X454" i="33" s="1"/>
  <c r="W148" i="33"/>
  <c r="X148" i="33" s="1"/>
  <c r="W417" i="33"/>
  <c r="X417" i="33" s="1"/>
  <c r="W386" i="33"/>
  <c r="X386" i="33" s="1"/>
  <c r="W405" i="33"/>
  <c r="X405" i="33" s="1"/>
  <c r="W479" i="33"/>
  <c r="X479" i="33" s="1"/>
  <c r="W442" i="33"/>
  <c r="X442" i="33" s="1"/>
  <c r="W181" i="33"/>
  <c r="X181" i="33" s="1"/>
  <c r="W419" i="33"/>
  <c r="X419" i="33" s="1"/>
  <c r="W304" i="33"/>
  <c r="X304" i="33" s="1"/>
  <c r="W428" i="33"/>
  <c r="X428" i="33" s="1"/>
  <c r="W321" i="33"/>
  <c r="X321" i="33" s="1"/>
  <c r="W462" i="33"/>
  <c r="X462" i="33" s="1"/>
  <c r="W329" i="33"/>
  <c r="X329" i="33" s="1"/>
  <c r="W233" i="33"/>
  <c r="X233" i="33" s="1"/>
  <c r="W188" i="33"/>
  <c r="X188" i="33" s="1"/>
  <c r="W52" i="33"/>
  <c r="X52" i="33" s="1"/>
  <c r="W61" i="33"/>
  <c r="X61" i="33" s="1"/>
  <c r="W35" i="33"/>
  <c r="X35" i="33" s="1"/>
  <c r="W418" i="33"/>
  <c r="X418" i="33" s="1"/>
  <c r="W192" i="33"/>
  <c r="X192" i="33" s="1"/>
  <c r="W183" i="33"/>
  <c r="X183" i="33" s="1"/>
  <c r="W44" i="33"/>
  <c r="X44" i="33" s="1"/>
  <c r="W458" i="33"/>
  <c r="X458" i="33" s="1"/>
  <c r="W245" i="33"/>
  <c r="X245" i="33" s="1"/>
  <c r="W48" i="33"/>
  <c r="X48" i="33" s="1"/>
  <c r="W133" i="33"/>
  <c r="X133" i="33" s="1"/>
  <c r="W246" i="33"/>
  <c r="X246" i="33" s="1"/>
  <c r="W301" i="33"/>
  <c r="X301" i="33" s="1"/>
  <c r="W498" i="33"/>
  <c r="X498" i="33" s="1"/>
  <c r="W255" i="33"/>
  <c r="X255" i="33" s="1"/>
  <c r="W376" i="33"/>
  <c r="X376" i="33" s="1"/>
  <c r="W509" i="33"/>
  <c r="X509" i="33" s="1"/>
  <c r="W140" i="33"/>
  <c r="X140" i="33" s="1"/>
  <c r="W113" i="33"/>
  <c r="X113" i="33" s="1"/>
  <c r="W163" i="33"/>
  <c r="X163" i="33" s="1"/>
  <c r="W488" i="33"/>
  <c r="X488" i="33" s="1"/>
  <c r="W433" i="33"/>
  <c r="X433" i="33" s="1"/>
  <c r="W119" i="33"/>
  <c r="X119" i="33" s="1"/>
  <c r="W326" i="33"/>
  <c r="X326" i="33" s="1"/>
  <c r="W191" i="33"/>
  <c r="X191" i="33" s="1"/>
  <c r="W225" i="33"/>
  <c r="X225" i="33" s="1"/>
  <c r="W100" i="33"/>
  <c r="X100" i="33" s="1"/>
  <c r="W262" i="33"/>
  <c r="X262" i="33" s="1"/>
  <c r="W503" i="33"/>
  <c r="X503" i="33" s="1"/>
  <c r="W519" i="33"/>
  <c r="X519" i="33" s="1"/>
  <c r="W208" i="33"/>
  <c r="X208" i="33" s="1"/>
  <c r="W32" i="33"/>
  <c r="X32" i="33" s="1"/>
  <c r="W312" i="33"/>
  <c r="X312" i="33" s="1"/>
  <c r="W28" i="33"/>
  <c r="X28" i="33" s="1"/>
  <c r="W318" i="33"/>
  <c r="X318" i="33" s="1"/>
  <c r="W292" i="33"/>
  <c r="X292" i="33" s="1"/>
  <c r="W480" i="33"/>
  <c r="X480" i="33" s="1"/>
  <c r="W125" i="33"/>
  <c r="X125" i="33" s="1"/>
  <c r="W130" i="33"/>
  <c r="X130" i="33" s="1"/>
  <c r="W114" i="33"/>
  <c r="X114" i="33" s="1"/>
  <c r="W342" i="33"/>
  <c r="X342" i="33" s="1"/>
  <c r="W177" i="33"/>
  <c r="X177" i="33" s="1"/>
  <c r="W286" i="33"/>
  <c r="X286" i="33" s="1"/>
  <c r="W289" i="33"/>
  <c r="X289" i="33" s="1"/>
  <c r="W120" i="33"/>
  <c r="X120" i="33" s="1"/>
  <c r="W41" i="33"/>
  <c r="X41" i="33" s="1"/>
  <c r="W408" i="33"/>
  <c r="X408" i="33" s="1"/>
  <c r="W228" i="33"/>
  <c r="X228" i="33" s="1"/>
  <c r="W186" i="33"/>
  <c r="X186" i="33" s="1"/>
  <c r="W362" i="33"/>
  <c r="X362" i="33" s="1"/>
  <c r="W139" i="33"/>
  <c r="X139" i="33" s="1"/>
  <c r="W431" i="33"/>
  <c r="X431" i="33" s="1"/>
  <c r="W160" i="33"/>
  <c r="X160" i="33" s="1"/>
  <c r="W278" i="33"/>
  <c r="X278" i="33" s="1"/>
  <c r="W455" i="33"/>
  <c r="X455" i="33" s="1"/>
  <c r="W402" i="33"/>
  <c r="X402" i="33" s="1"/>
  <c r="W196" i="33"/>
  <c r="X196" i="33" s="1"/>
  <c r="W412" i="33"/>
  <c r="X412" i="33" s="1"/>
  <c r="W272" i="33"/>
  <c r="X272" i="33" s="1"/>
  <c r="W96" i="33"/>
  <c r="X96" i="33" s="1"/>
  <c r="W168" i="33"/>
  <c r="X168" i="33" s="1"/>
  <c r="W51" i="33"/>
  <c r="X51" i="33" s="1"/>
  <c r="W279" i="33"/>
  <c r="X279" i="33" s="1"/>
  <c r="W142" i="33"/>
  <c r="X142" i="33" s="1"/>
  <c r="W80" i="33"/>
  <c r="X80" i="33" s="1"/>
  <c r="W146" i="33"/>
  <c r="X146" i="33" s="1"/>
  <c r="W437" i="33"/>
  <c r="X437" i="33" s="1"/>
  <c r="W29" i="33"/>
  <c r="X29" i="33" s="1"/>
  <c r="W512" i="33"/>
  <c r="X512" i="33" s="1"/>
  <c r="W296" i="33"/>
  <c r="X296" i="33" s="1"/>
  <c r="W36" i="33"/>
  <c r="X36" i="33" s="1"/>
  <c r="W154" i="33"/>
  <c r="X154" i="33" s="1"/>
  <c r="W526" i="33"/>
  <c r="X526" i="33" s="1"/>
  <c r="W427" i="33"/>
  <c r="X427" i="33" s="1"/>
  <c r="W373" i="33"/>
  <c r="X373" i="33" s="1"/>
  <c r="W467" i="33"/>
  <c r="X467" i="33" s="1"/>
  <c r="W271" i="33"/>
  <c r="X271" i="33" s="1"/>
  <c r="W316" i="33"/>
  <c r="X316" i="33" s="1"/>
  <c r="W128" i="33"/>
  <c r="X128" i="33" s="1"/>
  <c r="W258" i="33"/>
  <c r="X258" i="33" s="1"/>
  <c r="W189" i="33"/>
  <c r="X189" i="33" s="1"/>
  <c r="W222" i="33"/>
  <c r="X222" i="33" s="1"/>
  <c r="W68" i="33"/>
  <c r="X68" i="33" s="1"/>
  <c r="W448" i="33"/>
  <c r="X448" i="33" s="1"/>
  <c r="W210" i="33"/>
  <c r="X210" i="33" s="1"/>
  <c r="W93" i="33"/>
  <c r="X93" i="33" s="1"/>
  <c r="W323" i="33"/>
  <c r="X323" i="33" s="1"/>
  <c r="W305" i="33"/>
  <c r="X305" i="33" s="1"/>
  <c r="W195" i="33"/>
  <c r="X195" i="33" s="1"/>
  <c r="W497" i="33"/>
  <c r="X497" i="33" s="1"/>
  <c r="W522" i="33"/>
  <c r="X522" i="33" s="1"/>
  <c r="W469" i="33"/>
  <c r="X469" i="33" s="1"/>
  <c r="W447" i="33"/>
  <c r="X447" i="33" s="1"/>
  <c r="W384" i="33"/>
  <c r="X384" i="33" s="1"/>
  <c r="W252" i="33"/>
  <c r="X252" i="33" s="1"/>
  <c r="W211" i="33"/>
  <c r="X211" i="33" s="1"/>
  <c r="W518" i="33"/>
  <c r="X518" i="33" s="1"/>
  <c r="W388" i="33"/>
  <c r="X388" i="33" s="1"/>
  <c r="W270" i="33"/>
  <c r="X270" i="33" s="1"/>
  <c r="W144" i="33"/>
  <c r="X144" i="33" s="1"/>
  <c r="W489" i="33"/>
  <c r="X489" i="33" s="1"/>
  <c r="W438" i="33"/>
  <c r="X438" i="33" s="1"/>
  <c r="W327" i="33"/>
  <c r="X327" i="33" s="1"/>
  <c r="W77" i="33"/>
  <c r="X77" i="33" s="1"/>
  <c r="W250" i="33"/>
  <c r="X250" i="33" s="1"/>
  <c r="W484" i="33"/>
  <c r="X484" i="33" s="1"/>
  <c r="W344" i="33"/>
  <c r="X344" i="33" s="1"/>
  <c r="W212" i="33"/>
  <c r="X212" i="33" s="1"/>
  <c r="W122" i="33"/>
  <c r="X122" i="33" s="1"/>
  <c r="W290" i="33"/>
  <c r="X290" i="33" s="1"/>
  <c r="W132" i="33"/>
  <c r="X132" i="33" s="1"/>
  <c r="W413" i="33"/>
  <c r="X413" i="33" s="1"/>
  <c r="W464" i="33"/>
  <c r="X464" i="33" s="1"/>
  <c r="W352" i="33"/>
  <c r="X352" i="33" s="1"/>
  <c r="W302" i="33"/>
  <c r="X302" i="33" s="1"/>
  <c r="W256" i="33"/>
  <c r="X256" i="33" s="1"/>
  <c r="W141" i="33"/>
  <c r="X141" i="33" s="1"/>
  <c r="W127" i="33"/>
  <c r="X127" i="33" s="1"/>
  <c r="W145" i="33"/>
  <c r="X145" i="33" s="1"/>
  <c r="W325" i="33"/>
  <c r="X325" i="33" s="1"/>
  <c r="W266" i="33"/>
  <c r="X266" i="33" s="1"/>
  <c r="W410" i="33"/>
  <c r="X410" i="33" s="1"/>
  <c r="W171" i="33"/>
  <c r="X171" i="33" s="1"/>
  <c r="W86" i="33"/>
  <c r="X86" i="33" s="1"/>
  <c r="W182" i="33"/>
  <c r="X182" i="33" s="1"/>
  <c r="W277" i="33"/>
  <c r="X277" i="33" s="1"/>
  <c r="W441" i="33"/>
  <c r="X441" i="33" s="1"/>
  <c r="W220" i="33"/>
  <c r="X220" i="33" s="1"/>
  <c r="W34" i="33"/>
  <c r="X34" i="33" s="1"/>
  <c r="W440" i="33"/>
  <c r="X440" i="33" s="1"/>
  <c r="W111" i="33"/>
  <c r="X111" i="33" s="1"/>
  <c r="W495" i="33"/>
  <c r="X495" i="33" s="1"/>
  <c r="W172" i="33"/>
  <c r="X172" i="33" s="1"/>
  <c r="W297" i="33"/>
  <c r="X297" i="33" s="1"/>
  <c r="W377" i="33"/>
  <c r="X377" i="33" s="1"/>
  <c r="W116" i="33"/>
  <c r="X116" i="33" s="1"/>
  <c r="W395" i="33"/>
  <c r="X395" i="33" s="1"/>
  <c r="W134" i="33"/>
  <c r="X134" i="33" s="1"/>
  <c r="W379" i="33"/>
  <c r="X379" i="33" s="1"/>
  <c r="W20" i="33"/>
  <c r="X20" i="33" s="1"/>
  <c r="W201" i="33"/>
  <c r="X201" i="33" s="1"/>
  <c r="W224" i="33"/>
  <c r="X224" i="33" s="1"/>
  <c r="W159" i="33"/>
  <c r="X159" i="33" s="1"/>
  <c r="W521" i="33"/>
  <c r="X521" i="33" s="1"/>
  <c r="W118" i="33"/>
  <c r="X118" i="33" s="1"/>
  <c r="W59" i="33"/>
  <c r="X59" i="33" s="1"/>
  <c r="W40" i="33"/>
  <c r="X40" i="33" s="1"/>
  <c r="W494" i="33"/>
  <c r="X494" i="33" s="1"/>
  <c r="W295" i="33"/>
  <c r="X295" i="33" s="1"/>
  <c r="W403" i="33"/>
  <c r="X403" i="33" s="1"/>
  <c r="W260" i="33"/>
  <c r="X260" i="33" s="1"/>
  <c r="W43" i="33"/>
  <c r="X43" i="33" s="1"/>
  <c r="W219" i="33"/>
  <c r="X219" i="33" s="1"/>
  <c r="W400" i="33"/>
  <c r="X400" i="33" s="1"/>
  <c r="W275" i="33"/>
  <c r="X275" i="33" s="1"/>
  <c r="W67" i="33"/>
  <c r="X67" i="33" s="1"/>
  <c r="W218" i="33"/>
  <c r="X218" i="33" s="1"/>
  <c r="W18" i="33"/>
  <c r="X18" i="33" s="1"/>
  <c r="W21" i="33"/>
  <c r="X21" i="33" s="1"/>
  <c r="W229" i="33"/>
  <c r="X229" i="33" s="1"/>
  <c r="W516" i="33"/>
  <c r="X516" i="33" s="1"/>
  <c r="W221" i="33"/>
  <c r="X221" i="33" s="1"/>
  <c r="W527" i="33"/>
  <c r="X527" i="33" s="1"/>
  <c r="W514" i="33"/>
  <c r="X514" i="33" s="1"/>
  <c r="W382" i="33"/>
  <c r="X382" i="33" s="1"/>
  <c r="W178" i="33"/>
  <c r="X178" i="33" s="1"/>
  <c r="W31" i="33"/>
  <c r="X31" i="33" s="1"/>
  <c r="W370" i="33"/>
  <c r="X370" i="33" s="1"/>
  <c r="W158" i="33"/>
  <c r="X158" i="33" s="1"/>
  <c r="W194" i="33"/>
  <c r="X194" i="33" s="1"/>
  <c r="W390" i="33"/>
  <c r="X390" i="33" s="1"/>
  <c r="W169" i="33"/>
  <c r="X169" i="33" s="1"/>
  <c r="W56" i="33"/>
  <c r="X56" i="33" s="1"/>
  <c r="W234" i="33"/>
  <c r="X234" i="33" s="1"/>
  <c r="W347" i="33"/>
  <c r="X347" i="33" s="1"/>
  <c r="W214" i="33"/>
  <c r="X214" i="33" s="1"/>
  <c r="W317" i="33"/>
  <c r="X317" i="33" s="1"/>
  <c r="W180" i="33"/>
  <c r="X180" i="33" s="1"/>
  <c r="W424" i="33"/>
  <c r="X424" i="33" s="1"/>
  <c r="W63" i="33"/>
  <c r="X63" i="33" s="1"/>
  <c r="W149" i="33"/>
  <c r="X149" i="33" s="1"/>
  <c r="W449" i="33"/>
  <c r="X449" i="33" s="1"/>
  <c r="W126" i="33"/>
  <c r="X126" i="33" s="1"/>
  <c r="W237" i="33"/>
  <c r="X237" i="33" s="1"/>
  <c r="W415" i="33"/>
  <c r="X415" i="33" s="1"/>
  <c r="W37" i="33"/>
  <c r="X37" i="33" s="1"/>
  <c r="W465" i="33"/>
  <c r="X465" i="33" s="1"/>
  <c r="W474" i="33"/>
  <c r="X474" i="33" s="1"/>
  <c r="W280" i="33"/>
  <c r="X280" i="33" s="1"/>
  <c r="W420" i="33"/>
  <c r="X420" i="33" s="1"/>
  <c r="W259" i="33"/>
  <c r="X259" i="33" s="1"/>
  <c r="W406" i="33"/>
  <c r="X406" i="33" s="1"/>
  <c r="W459" i="33"/>
  <c r="X459" i="33" s="1"/>
  <c r="W334" i="33"/>
  <c r="X334" i="33" s="1"/>
  <c r="W166" i="33"/>
  <c r="X166" i="33" s="1"/>
  <c r="W430" i="33"/>
  <c r="X430" i="33" s="1"/>
  <c r="W348" i="33"/>
  <c r="X348" i="33" s="1"/>
  <c r="W70" i="33"/>
  <c r="X70" i="33" s="1"/>
  <c r="W510" i="33"/>
  <c r="X510" i="33" s="1"/>
  <c r="W124" i="33"/>
  <c r="X124" i="33" s="1"/>
  <c r="W217" i="33"/>
  <c r="X217" i="33" s="1"/>
  <c r="W446" i="33"/>
  <c r="X446" i="33" s="1"/>
  <c r="W22" i="33"/>
  <c r="X22" i="33" s="1"/>
  <c r="W339" i="33"/>
  <c r="X339" i="33" s="1"/>
  <c r="W33" i="33"/>
  <c r="X33" i="33" s="1"/>
  <c r="W456" i="33"/>
  <c r="X456" i="33" s="1"/>
  <c r="W520" i="33"/>
  <c r="X520" i="33" s="1"/>
  <c r="W57" i="33"/>
  <c r="X57" i="33" s="1"/>
  <c r="W147" i="33"/>
  <c r="X147" i="33" s="1"/>
  <c r="W243" i="33"/>
  <c r="X243" i="33" s="1"/>
  <c r="W84" i="33"/>
  <c r="X84" i="33" s="1"/>
  <c r="W411" i="33"/>
  <c r="X411" i="33" s="1"/>
  <c r="W209" i="33"/>
  <c r="X209" i="33" s="1"/>
  <c r="W482" i="33"/>
  <c r="X482" i="33" s="1"/>
  <c r="W123" i="33"/>
  <c r="X123" i="33" s="1"/>
  <c r="W422" i="33"/>
  <c r="X422" i="33" s="1"/>
  <c r="W45" i="33"/>
  <c r="X45" i="33" s="1"/>
  <c r="W444" i="33"/>
  <c r="X444" i="33" s="1"/>
  <c r="W396" i="33"/>
  <c r="X396" i="33" s="1"/>
  <c r="W265" i="33"/>
  <c r="X265" i="33" s="1"/>
  <c r="W493" i="33"/>
  <c r="X493" i="33" s="1"/>
  <c r="W346" i="33"/>
  <c r="X346" i="33" s="1"/>
  <c r="W398" i="33"/>
  <c r="X398" i="33" s="1"/>
  <c r="W303" i="33"/>
  <c r="X303" i="33" s="1"/>
  <c r="W101" i="33"/>
  <c r="X101" i="33" s="1"/>
  <c r="W391" i="33"/>
  <c r="X391" i="33" s="1"/>
  <c r="W203" i="33"/>
  <c r="X203" i="33" s="1"/>
  <c r="W227" i="33"/>
  <c r="X227" i="33" s="1"/>
  <c r="W332" i="33"/>
  <c r="X332" i="33" s="1"/>
  <c r="W121" i="33"/>
  <c r="X121" i="33" s="1"/>
  <c r="W248" i="33"/>
  <c r="X248" i="33" s="1"/>
  <c r="W365" i="33"/>
  <c r="X365" i="33" s="1"/>
  <c r="W50" i="33"/>
  <c r="X50" i="33" s="1"/>
  <c r="W905" i="33"/>
  <c r="X905" i="33" s="1"/>
  <c r="W947" i="33"/>
  <c r="X947" i="33" s="1"/>
  <c r="W899" i="33"/>
  <c r="X899" i="33" s="1"/>
  <c r="W854" i="33"/>
  <c r="X854" i="33" s="1"/>
  <c r="W744" i="33"/>
  <c r="X744" i="33" s="1"/>
  <c r="W601" i="33"/>
  <c r="X601" i="33" s="1"/>
  <c r="W668" i="33"/>
  <c r="X668" i="33" s="1"/>
  <c r="W848" i="33"/>
  <c r="X848" i="33" s="1"/>
  <c r="W586" i="33"/>
  <c r="X586" i="33" s="1"/>
  <c r="W803" i="33"/>
  <c r="X803" i="33" s="1"/>
  <c r="W612" i="33"/>
  <c r="X612" i="33" s="1"/>
  <c r="W791" i="33"/>
  <c r="X791" i="33" s="1"/>
  <c r="W944" i="33"/>
  <c r="X944" i="33" s="1"/>
  <c r="W589" i="33"/>
  <c r="X589" i="33" s="1"/>
  <c r="W673" i="33"/>
  <c r="X673" i="33" s="1"/>
  <c r="W797" i="33"/>
  <c r="X797" i="33" s="1"/>
  <c r="W942" i="33"/>
  <c r="X942" i="33" s="1"/>
  <c r="W665" i="33"/>
  <c r="X665" i="33" s="1"/>
  <c r="W681" i="33"/>
  <c r="X681" i="33" s="1"/>
  <c r="W594" i="33"/>
  <c r="X594" i="33" s="1"/>
  <c r="W876" i="33"/>
  <c r="X876" i="33" s="1"/>
  <c r="W717" i="33"/>
  <c r="X717" i="33" s="1"/>
  <c r="W788" i="33"/>
  <c r="X788" i="33" s="1"/>
  <c r="W845" i="33"/>
  <c r="X845" i="33" s="1"/>
  <c r="W965" i="33"/>
  <c r="X965" i="33" s="1"/>
  <c r="W767" i="33"/>
  <c r="X767" i="33" s="1"/>
  <c r="W878" i="33"/>
  <c r="X878" i="33" s="1"/>
  <c r="W941" i="33"/>
  <c r="X941" i="33" s="1"/>
  <c r="W966" i="33"/>
  <c r="X966" i="33" s="1"/>
  <c r="W783" i="33"/>
  <c r="X783" i="33" s="1"/>
  <c r="W779" i="33"/>
  <c r="X779" i="33" s="1"/>
  <c r="W858" i="33"/>
  <c r="X858" i="33" s="1"/>
  <c r="W833" i="33"/>
  <c r="X833" i="33" s="1"/>
  <c r="W886" i="33"/>
  <c r="X886" i="33" s="1"/>
  <c r="W908" i="33"/>
  <c r="X908" i="33" s="1"/>
  <c r="W830" i="33"/>
  <c r="X830" i="33" s="1"/>
  <c r="W995" i="33"/>
  <c r="X995" i="33" s="1"/>
  <c r="W649" i="33"/>
  <c r="X649" i="33" s="1"/>
  <c r="W752" i="33"/>
  <c r="X752" i="33" s="1"/>
  <c r="W1037" i="33"/>
  <c r="X1037" i="33" s="1"/>
  <c r="W855" i="33"/>
  <c r="X855" i="33" s="1"/>
  <c r="W771" i="33"/>
  <c r="X771" i="33" s="1"/>
  <c r="W936" i="33"/>
  <c r="X936" i="33" s="1"/>
  <c r="W892" i="33"/>
  <c r="X892" i="33" s="1"/>
  <c r="W759" i="33"/>
  <c r="X759" i="33" s="1"/>
  <c r="W1007" i="33"/>
  <c r="X1007" i="33" s="1"/>
  <c r="W687" i="33"/>
  <c r="X687" i="33" s="1"/>
  <c r="W634" i="33"/>
  <c r="X634" i="33" s="1"/>
  <c r="W964" i="33"/>
  <c r="X964" i="33" s="1"/>
  <c r="W605" i="33"/>
  <c r="X605" i="33" s="1"/>
  <c r="W1004" i="33"/>
  <c r="X1004" i="33" s="1"/>
  <c r="W1042" i="33"/>
  <c r="X1042" i="33" s="1"/>
  <c r="W1052" i="33"/>
  <c r="X1052" i="33" s="1"/>
  <c r="W883" i="33"/>
  <c r="X883" i="33" s="1"/>
  <c r="W1023" i="33"/>
  <c r="X1023" i="33" s="1"/>
  <c r="W688" i="33"/>
  <c r="X688" i="33" s="1"/>
  <c r="W857" i="33"/>
  <c r="X857" i="33" s="1"/>
  <c r="W567" i="33"/>
  <c r="X567" i="33" s="1"/>
  <c r="W1033" i="33"/>
  <c r="X1033" i="33" s="1"/>
  <c r="W685" i="33"/>
  <c r="X685" i="33" s="1"/>
  <c r="W987" i="33"/>
  <c r="X987" i="33" s="1"/>
  <c r="W579" i="33"/>
  <c r="X579" i="33" s="1"/>
  <c r="W1049" i="33"/>
  <c r="X1049" i="33" s="1"/>
  <c r="W669" i="33"/>
  <c r="X669" i="33" s="1"/>
  <c r="W603" i="33"/>
  <c r="X603" i="33" s="1"/>
  <c r="W637" i="33"/>
  <c r="X637" i="33" s="1"/>
  <c r="W877" i="33"/>
  <c r="X877" i="33" s="1"/>
  <c r="W843" i="33"/>
  <c r="X843" i="33" s="1"/>
  <c r="W990" i="33"/>
  <c r="X990" i="33" s="1"/>
  <c r="W819" i="33"/>
  <c r="X819" i="33" s="1"/>
  <c r="W664" i="33"/>
  <c r="X664" i="33" s="1"/>
  <c r="W1046" i="33"/>
  <c r="X1046" i="33" s="1"/>
  <c r="W1011" i="33"/>
  <c r="X1011" i="33" s="1"/>
  <c r="W769" i="33"/>
  <c r="X769" i="33" s="1"/>
  <c r="W869" i="33"/>
  <c r="X869" i="33" s="1"/>
  <c r="W862" i="33"/>
  <c r="X862" i="33" s="1"/>
  <c r="W790" i="33"/>
  <c r="X790" i="33" s="1"/>
  <c r="W1054" i="33"/>
  <c r="X1054" i="33" s="1"/>
  <c r="W1027" i="33"/>
  <c r="X1027" i="33" s="1"/>
  <c r="W645" i="33"/>
  <c r="X645" i="33" s="1"/>
  <c r="W939" i="33"/>
  <c r="X939" i="33" s="1"/>
  <c r="W953" i="33"/>
  <c r="X953" i="33" s="1"/>
  <c r="W958" i="33"/>
  <c r="X958" i="33" s="1"/>
  <c r="W834" i="33"/>
  <c r="X834" i="33" s="1"/>
  <c r="W831" i="33"/>
  <c r="X831" i="33" s="1"/>
  <c r="W906" i="33"/>
  <c r="X906" i="33" s="1"/>
  <c r="W728" i="33"/>
  <c r="X728" i="33" s="1"/>
  <c r="W782" i="33"/>
  <c r="X782" i="33" s="1"/>
  <c r="W1015" i="33"/>
  <c r="X1015" i="33" s="1"/>
  <c r="W557" i="33"/>
  <c r="X557" i="33" s="1"/>
  <c r="W824" i="33"/>
  <c r="X824" i="33" s="1"/>
  <c r="W722" i="33"/>
  <c r="X722" i="33" s="1"/>
  <c r="W796" i="33"/>
  <c r="X796" i="33" s="1"/>
  <c r="W662" i="33"/>
  <c r="X662" i="33" s="1"/>
  <c r="X1064" i="33" l="1"/>
  <c r="R3" i="33" s="1"/>
  <c r="E282" i="23" s="1"/>
  <c r="Z47" i="2" s="1"/>
  <c r="X531" i="33"/>
  <c r="Q3" i="33" s="1"/>
  <c r="D282" i="23" s="1"/>
  <c r="B37" i="24" s="1"/>
  <c r="D285" i="23" l="1"/>
  <c r="B39" i="24" s="1"/>
  <c r="E285" i="23"/>
  <c r="E286" i="23" s="1"/>
  <c r="C37" i="24"/>
  <c r="B47" i="2"/>
  <c r="C39" i="24" l="1"/>
  <c r="D286" i="23"/>
  <c r="B23" i="2" s="1"/>
  <c r="Z23" i="2"/>
  <c r="C43" i="24"/>
  <c r="B43" i="24" l="1"/>
  <c r="B48" i="24" s="1"/>
</calcChain>
</file>

<file path=xl/sharedStrings.xml><?xml version="1.0" encoding="utf-8"?>
<sst xmlns="http://schemas.openxmlformats.org/spreadsheetml/2006/main" count="2721" uniqueCount="921">
  <si>
    <t>Race</t>
  </si>
  <si>
    <t>Hume</t>
  </si>
  <si>
    <t>Job</t>
  </si>
  <si>
    <t>Str</t>
  </si>
  <si>
    <t>Dex</t>
  </si>
  <si>
    <t>Vit</t>
  </si>
  <si>
    <t>Merits</t>
  </si>
  <si>
    <t>Total</t>
  </si>
  <si>
    <t>Slot</t>
  </si>
  <si>
    <t>Att</t>
  </si>
  <si>
    <t>Acc</t>
  </si>
  <si>
    <t>Haste</t>
  </si>
  <si>
    <t>DA</t>
  </si>
  <si>
    <t>Store TP</t>
  </si>
  <si>
    <t>Gear</t>
  </si>
  <si>
    <t>Ammo</t>
  </si>
  <si>
    <t>Head</t>
  </si>
  <si>
    <t>Neck</t>
  </si>
  <si>
    <t>Body</t>
  </si>
  <si>
    <t>Hands</t>
  </si>
  <si>
    <t>Back</t>
  </si>
  <si>
    <t>Waist</t>
  </si>
  <si>
    <t>Legs</t>
  </si>
  <si>
    <t>Feet</t>
  </si>
  <si>
    <t>Set Bonus</t>
  </si>
  <si>
    <t>Brutal</t>
  </si>
  <si>
    <t>Rajas</t>
  </si>
  <si>
    <t>Gorget</t>
  </si>
  <si>
    <t>Stat</t>
  </si>
  <si>
    <t>WS</t>
  </si>
  <si>
    <t>Skill</t>
  </si>
  <si>
    <t>Target</t>
  </si>
  <si>
    <t>Level</t>
  </si>
  <si>
    <t>Defense</t>
  </si>
  <si>
    <t>Evasion</t>
  </si>
  <si>
    <t>Defbuffed:</t>
  </si>
  <si>
    <t>Level Corr:</t>
  </si>
  <si>
    <t>cRatio</t>
  </si>
  <si>
    <t>Hit Rate</t>
  </si>
  <si>
    <t>Raw Hit Rate</t>
  </si>
  <si>
    <t>WS Dmg</t>
  </si>
  <si>
    <t>Total Haste</t>
  </si>
  <si>
    <t>Agi</t>
  </si>
  <si>
    <t>DA:</t>
  </si>
  <si>
    <t>Swings</t>
  </si>
  <si>
    <t>Probability</t>
  </si>
  <si>
    <t>Sum:</t>
  </si>
  <si>
    <t>Avg:</t>
  </si>
  <si>
    <t>Hits remaining</t>
  </si>
  <si>
    <t>Melee TP/Hit:</t>
  </si>
  <si>
    <t>WS TP/Hit:</t>
  </si>
  <si>
    <t>Melee Hit rate:</t>
  </si>
  <si>
    <t>WS Hit rate:</t>
  </si>
  <si>
    <t>Avg rounds</t>
  </si>
  <si>
    <t>None</t>
  </si>
  <si>
    <t>Food Att</t>
  </si>
  <si>
    <t>Food Acc</t>
  </si>
  <si>
    <t>Add</t>
  </si>
  <si>
    <t>Cap</t>
  </si>
  <si>
    <t>Base Att</t>
  </si>
  <si>
    <t>Base Acc</t>
  </si>
  <si>
    <t>Dmg</t>
  </si>
  <si>
    <t>Dly</t>
  </si>
  <si>
    <t>Earrings</t>
  </si>
  <si>
    <t>Rings</t>
  </si>
  <si>
    <t>Gear Haste</t>
  </si>
  <si>
    <t>Dex Crit</t>
  </si>
  <si>
    <t>Over-TP Rnds:</t>
  </si>
  <si>
    <t>Sam Roll</t>
  </si>
  <si>
    <t>Usukane</t>
  </si>
  <si>
    <t>Earring</t>
  </si>
  <si>
    <t>Ring</t>
  </si>
  <si>
    <t>Ulthalam</t>
  </si>
  <si>
    <t>Denali</t>
  </si>
  <si>
    <t>White Tathlum</t>
  </si>
  <si>
    <t>Anguinus</t>
  </si>
  <si>
    <t>Tiercel</t>
  </si>
  <si>
    <t>Black Tathlum</t>
  </si>
  <si>
    <t>Food</t>
  </si>
  <si>
    <t>Att Mult</t>
  </si>
  <si>
    <t>Att Mult Cap</t>
  </si>
  <si>
    <t>Att Add</t>
  </si>
  <si>
    <t>Acc Mult</t>
  </si>
  <si>
    <t>Acc Mult Cap</t>
  </si>
  <si>
    <t>Acc Add</t>
  </si>
  <si>
    <t>Mithkabob</t>
  </si>
  <si>
    <t>Chiefkabob</t>
  </si>
  <si>
    <t>Coeurl Sub +1</t>
  </si>
  <si>
    <t>Coeurl Sub</t>
  </si>
  <si>
    <t>Bison Steak</t>
  </si>
  <si>
    <t>Sole Sushi</t>
  </si>
  <si>
    <t>Bream Sushi</t>
  </si>
  <si>
    <t>Crab Sushi</t>
  </si>
  <si>
    <t>Yellow Curry</t>
  </si>
  <si>
    <t>Pizza</t>
  </si>
  <si>
    <t>Pizza +1</t>
  </si>
  <si>
    <t>Squid Sushi</t>
  </si>
  <si>
    <t>Minuet</t>
  </si>
  <si>
    <t>WSC:</t>
  </si>
  <si>
    <t>fTP:</t>
  </si>
  <si>
    <t>Crit%:</t>
  </si>
  <si>
    <t>WS Dmg:</t>
  </si>
  <si>
    <t>Set DPS:</t>
  </si>
  <si>
    <t>Red C Bun</t>
  </si>
  <si>
    <t>Yellow C Bun</t>
  </si>
  <si>
    <t>Yellow C Bun +1</t>
  </si>
  <si>
    <t>Crit Rate</t>
  </si>
  <si>
    <t>Atmas</t>
  </si>
  <si>
    <t>Crit Dmg</t>
  </si>
  <si>
    <t>Stout Arm</t>
  </si>
  <si>
    <t>Harvester</t>
  </si>
  <si>
    <t>V. Violet</t>
  </si>
  <si>
    <t>Gnarled Horn</t>
  </si>
  <si>
    <t>Razed Ruin</t>
  </si>
  <si>
    <t>S. Scythe</t>
  </si>
  <si>
    <t>Demonic Lash</t>
  </si>
  <si>
    <t>Regain</t>
  </si>
  <si>
    <t>Regain:</t>
  </si>
  <si>
    <t>C.Dmg</t>
  </si>
  <si>
    <t>C.Rate</t>
  </si>
  <si>
    <t>Berserk</t>
  </si>
  <si>
    <t>Chaos</t>
  </si>
  <si>
    <t>DW</t>
  </si>
  <si>
    <t>Avg W1</t>
  </si>
  <si>
    <t>Avg W2</t>
  </si>
  <si>
    <t>Blade: Jin</t>
  </si>
  <si>
    <t>Blade: Hi</t>
  </si>
  <si>
    <t>Kamome</t>
  </si>
  <si>
    <t>Ranged</t>
  </si>
  <si>
    <t>Ungur</t>
  </si>
  <si>
    <t>Ifrit's Bow</t>
  </si>
  <si>
    <t>Bomb Core</t>
  </si>
  <si>
    <t>Fire Bomblet</t>
  </si>
  <si>
    <t>Iga</t>
  </si>
  <si>
    <t>Suppanomimi</t>
  </si>
  <si>
    <t>Goading</t>
  </si>
  <si>
    <t>Offhand</t>
  </si>
  <si>
    <t>Off</t>
  </si>
  <si>
    <t>Main</t>
  </si>
  <si>
    <t>D</t>
  </si>
  <si>
    <t>Crudelis</t>
  </si>
  <si>
    <t>Stalwart's (acc)</t>
  </si>
  <si>
    <t>Stalwart's (att)</t>
  </si>
  <si>
    <t>Magic Haste</t>
  </si>
  <si>
    <t>JA Haste</t>
  </si>
  <si>
    <t>Carbonara</t>
  </si>
  <si>
    <t>March 1</t>
  </si>
  <si>
    <t>March 2</t>
  </si>
  <si>
    <t>Acc Bonus</t>
  </si>
  <si>
    <t>Set 1</t>
  </si>
  <si>
    <t>TA:</t>
  </si>
  <si>
    <t>Set 2</t>
  </si>
  <si>
    <t>TA</t>
  </si>
  <si>
    <t>Epona</t>
  </si>
  <si>
    <t>Toggle</t>
  </si>
  <si>
    <t>Combined</t>
  </si>
  <si>
    <t>Prob:</t>
  </si>
  <si>
    <t>Swings:</t>
  </si>
  <si>
    <t>Next TP</t>
  </si>
  <si>
    <t>Avg TP:</t>
  </si>
  <si>
    <t>Twilight</t>
  </si>
  <si>
    <t>Dark Depths</t>
  </si>
  <si>
    <t>Ele.Belt</t>
  </si>
  <si>
    <t>WSDmg</t>
  </si>
  <si>
    <t>Scorpion Queen</t>
  </si>
  <si>
    <t>Alpha &amp; Omega</t>
  </si>
  <si>
    <t>Spiral</t>
  </si>
  <si>
    <t>General</t>
  </si>
  <si>
    <t>Abyssea</t>
  </si>
  <si>
    <t>Tarutaru</t>
  </si>
  <si>
    <t>In Abyssea?</t>
  </si>
  <si>
    <t>Cruor Buff Value</t>
  </si>
  <si>
    <t>Subjob</t>
  </si>
  <si>
    <t>War</t>
  </si>
  <si>
    <t>Atma1</t>
  </si>
  <si>
    <t>Final Def</t>
  </si>
  <si>
    <t>Atma2</t>
  </si>
  <si>
    <t>Atma3</t>
  </si>
  <si>
    <t>Apocalypse</t>
  </si>
  <si>
    <t>Crit</t>
  </si>
  <si>
    <t>Melee / Weaponskill</t>
  </si>
  <si>
    <t>Aggressor</t>
  </si>
  <si>
    <t>Weaponskill</t>
  </si>
  <si>
    <t>Chaos Roll</t>
  </si>
  <si>
    <t>Tactician's Roll</t>
  </si>
  <si>
    <t>Adloquium</t>
  </si>
  <si>
    <t>Stalwart's</t>
  </si>
  <si>
    <t>Results</t>
  </si>
  <si>
    <t>Melee damage per round</t>
  </si>
  <si>
    <t>Melee DPS</t>
  </si>
  <si>
    <t>Rounds/WS</t>
  </si>
  <si>
    <t>Total Cycle Damage</t>
  </si>
  <si>
    <t>Total Cycle Time</t>
  </si>
  <si>
    <t>Total DPS</t>
  </si>
  <si>
    <t>Combined Results</t>
  </si>
  <si>
    <t>Sample split</t>
  </si>
  <si>
    <t>Total:</t>
  </si>
  <si>
    <t>Set Ratios</t>
  </si>
  <si>
    <t>Combined DPS</t>
  </si>
  <si>
    <t>Mobs</t>
  </si>
  <si>
    <t>Subjobs</t>
  </si>
  <si>
    <t>Nin</t>
  </si>
  <si>
    <t>Dnc</t>
  </si>
  <si>
    <t>Races</t>
  </si>
  <si>
    <t>Mithra</t>
  </si>
  <si>
    <t>Galka</t>
  </si>
  <si>
    <t>Elvaan</t>
  </si>
  <si>
    <t>HP</t>
  </si>
  <si>
    <t>Int</t>
  </si>
  <si>
    <t>Mnd</t>
  </si>
  <si>
    <t>Chr</t>
  </si>
  <si>
    <t>B</t>
  </si>
  <si>
    <t>C</t>
  </si>
  <si>
    <t>E</t>
  </si>
  <si>
    <t>F</t>
  </si>
  <si>
    <t>G</t>
  </si>
  <si>
    <t>A</t>
  </si>
  <si>
    <t>HPBase</t>
  </si>
  <si>
    <t>HP60</t>
  </si>
  <si>
    <t>HP75</t>
  </si>
  <si>
    <t>HP99</t>
  </si>
  <si>
    <t>StatBase</t>
  </si>
  <si>
    <t>Stat60</t>
  </si>
  <si>
    <t>Stat99</t>
  </si>
  <si>
    <t>Stat75</t>
  </si>
  <si>
    <t>Final Stats</t>
  </si>
  <si>
    <t>HP30+</t>
  </si>
  <si>
    <t>Calculations</t>
  </si>
  <si>
    <t>Bonus</t>
  </si>
  <si>
    <t>BRD</t>
  </si>
  <si>
    <t>BST</t>
  </si>
  <si>
    <t>BLM</t>
  </si>
  <si>
    <t>BLU</t>
  </si>
  <si>
    <t>COR</t>
  </si>
  <si>
    <t>DNC</t>
  </si>
  <si>
    <t>DRK</t>
  </si>
  <si>
    <t>DRG</t>
  </si>
  <si>
    <t>MNK</t>
  </si>
  <si>
    <t>NIN</t>
  </si>
  <si>
    <t>PLD</t>
  </si>
  <si>
    <t>PUP</t>
  </si>
  <si>
    <t>RNG</t>
  </si>
  <si>
    <t>RDM</t>
  </si>
  <si>
    <t>SAM</t>
  </si>
  <si>
    <t>SCH</t>
  </si>
  <si>
    <t>SMN</t>
  </si>
  <si>
    <t>THF</t>
  </si>
  <si>
    <t>WAR</t>
  </si>
  <si>
    <t>WHM</t>
  </si>
  <si>
    <t>Grades</t>
  </si>
  <si>
    <t>Grade Rates</t>
  </si>
  <si>
    <t>Katana Skill</t>
  </si>
  <si>
    <t>Innin</t>
  </si>
  <si>
    <t>Yonin</t>
  </si>
  <si>
    <t>TP Set 1</t>
  </si>
  <si>
    <t>TP Set 2</t>
  </si>
  <si>
    <t>WS Set 1</t>
  </si>
  <si>
    <t>WS Set 2</t>
  </si>
  <si>
    <t>Base+M</t>
  </si>
  <si>
    <t>Atma 1</t>
  </si>
  <si>
    <t>Total 1</t>
  </si>
  <si>
    <t>Atma 2</t>
  </si>
  <si>
    <t>Total 2</t>
  </si>
  <si>
    <t>Mult.</t>
  </si>
  <si>
    <t>Att Bonus</t>
  </si>
  <si>
    <t>Atmas (1)</t>
  </si>
  <si>
    <t>Atmas (2)</t>
  </si>
  <si>
    <t>Zanshin:</t>
  </si>
  <si>
    <t>Food STP</t>
  </si>
  <si>
    <t>TPSet1</t>
  </si>
  <si>
    <t>TPSet2</t>
  </si>
  <si>
    <t>WSSet1</t>
  </si>
  <si>
    <t>WSSet2</t>
  </si>
  <si>
    <t>Emp Bonus</t>
  </si>
  <si>
    <t>Round Delay</t>
  </si>
  <si>
    <t>TP Delay</t>
  </si>
  <si>
    <t>Base TP/Hit</t>
  </si>
  <si>
    <t>TP/Hit</t>
  </si>
  <si>
    <t>Total C.Rate</t>
  </si>
  <si>
    <t>Total C.Dmg</t>
  </si>
  <si>
    <t>Avg Dmg/Rnd</t>
  </si>
  <si>
    <t>Nom. Delay</t>
  </si>
  <si>
    <t>Min Delay</t>
  </si>
  <si>
    <t>Delay/Round</t>
  </si>
  <si>
    <t>Regain/WS</t>
  </si>
  <si>
    <t>Base TP Rnds</t>
  </si>
  <si>
    <t>Base TP Time</t>
  </si>
  <si>
    <t>Total Damage</t>
  </si>
  <si>
    <t>Smiting Blow</t>
  </si>
  <si>
    <t>TP Bonus</t>
  </si>
  <si>
    <t>dDex</t>
  </si>
  <si>
    <t>Innin Crit Rate</t>
  </si>
  <si>
    <t>Hits/Rnd 1</t>
  </si>
  <si>
    <t>Hits/Rnd 2</t>
  </si>
  <si>
    <t>Rnds</t>
  </si>
  <si>
    <t>Fracas Grenade</t>
  </si>
  <si>
    <t>Breeze Sachet</t>
  </si>
  <si>
    <t>Ocelomeh</t>
  </si>
  <si>
    <t>Ocelomeh +1</t>
  </si>
  <si>
    <t>Portus</t>
  </si>
  <si>
    <t>Moepapa</t>
  </si>
  <si>
    <t>Beir +1</t>
  </si>
  <si>
    <t>Aliyat</t>
  </si>
  <si>
    <t>Demonry Core</t>
  </si>
  <si>
    <t>Rancor Max</t>
  </si>
  <si>
    <t>Offhand C.Rate</t>
  </si>
  <si>
    <t>Total Offhand C.Rate</t>
  </si>
  <si>
    <t>WS 1</t>
  </si>
  <si>
    <t>WS 2</t>
  </si>
  <si>
    <t>QA:</t>
  </si>
  <si>
    <t>WS TP/add. Hit:</t>
  </si>
  <si>
    <t>+fTP:</t>
  </si>
  <si>
    <t>Avg fTP:</t>
  </si>
  <si>
    <t>Extra hits:</t>
  </si>
  <si>
    <t>WS Crit%:</t>
  </si>
  <si>
    <t>Over-TP:</t>
  </si>
  <si>
    <t>Offhand:</t>
  </si>
  <si>
    <t>First</t>
  </si>
  <si>
    <t>AddMain</t>
  </si>
  <si>
    <t>Real Ex1</t>
  </si>
  <si>
    <t>+Swings</t>
  </si>
  <si>
    <t>Main hit</t>
  </si>
  <si>
    <t>Off hit</t>
  </si>
  <si>
    <t>Add hit</t>
  </si>
  <si>
    <t>P(hits)</t>
  </si>
  <si>
    <t>P(ws)</t>
  </si>
  <si>
    <t>TP</t>
  </si>
  <si>
    <t>Rounds</t>
  </si>
  <si>
    <t>CTP1</t>
  </si>
  <si>
    <t>CTP2</t>
  </si>
  <si>
    <t>CTP Rnd</t>
  </si>
  <si>
    <t>A.Rnds</t>
  </si>
  <si>
    <t>P(rnds)</t>
  </si>
  <si>
    <t>P(tp)</t>
  </si>
  <si>
    <t>P(dmg)</t>
  </si>
  <si>
    <t>Sum P:</t>
  </si>
  <si>
    <t>Avg Rnd:</t>
  </si>
  <si>
    <t>Avg Dmg:</t>
  </si>
  <si>
    <t>Blade: Shun</t>
  </si>
  <si>
    <t>CTP</t>
  </si>
  <si>
    <t>Weaponskills</t>
  </si>
  <si>
    <t>WS Bonus</t>
  </si>
  <si>
    <t>TP Adjustments</t>
  </si>
  <si>
    <t>Save TP:</t>
  </si>
  <si>
    <t>Conserve TP:</t>
  </si>
  <si>
    <t>QA</t>
  </si>
  <si>
    <t>Voidwatch</t>
  </si>
  <si>
    <t>N/A</t>
  </si>
  <si>
    <t>Prosilio</t>
  </si>
  <si>
    <t>Windbuffet</t>
  </si>
  <si>
    <t>Qilin</t>
  </si>
  <si>
    <t>Thaumas</t>
  </si>
  <si>
    <t>Minimum WS TP</t>
  </si>
  <si>
    <t>Other TP Gain/Loss</t>
  </si>
  <si>
    <t>Embrava</t>
  </si>
  <si>
    <t>Min TP:</t>
  </si>
  <si>
    <t>TP&gt;Ready</t>
  </si>
  <si>
    <t>Hits&gt;Ready</t>
  </si>
  <si>
    <t>Relic Bonus</t>
  </si>
  <si>
    <t>Blade: Metsu</t>
  </si>
  <si>
    <t>Set1</t>
  </si>
  <si>
    <t>WS Store TP:</t>
  </si>
  <si>
    <t>Extra 1</t>
  </si>
  <si>
    <t>Extra 2</t>
  </si>
  <si>
    <t>P(extra)</t>
  </si>
  <si>
    <t>Set2</t>
  </si>
  <si>
    <t>Extra Hits</t>
  </si>
  <si>
    <t>WSC1 Name</t>
  </si>
  <si>
    <t>WSC1 Value</t>
  </si>
  <si>
    <t>WSC2 Name</t>
  </si>
  <si>
    <t>WSC2 Value</t>
  </si>
  <si>
    <t>FTP1</t>
  </si>
  <si>
    <t>FTP2</t>
  </si>
  <si>
    <t>FTP3</t>
  </si>
  <si>
    <t>FTPCarry</t>
  </si>
  <si>
    <t>Crit0</t>
  </si>
  <si>
    <t>Crit1</t>
  </si>
  <si>
    <t>Crit2</t>
  </si>
  <si>
    <t>Att1</t>
  </si>
  <si>
    <t>Att2</t>
  </si>
  <si>
    <t>KA:</t>
  </si>
  <si>
    <t>OAx (1)</t>
  </si>
  <si>
    <t>OA2</t>
  </si>
  <si>
    <t>OA3</t>
  </si>
  <si>
    <t>OA4</t>
  </si>
  <si>
    <t>OA5</t>
  </si>
  <si>
    <t>OA6</t>
  </si>
  <si>
    <t>OA7</t>
  </si>
  <si>
    <t>OA8</t>
  </si>
  <si>
    <t>OAx (2)</t>
  </si>
  <si>
    <t>OAx</t>
  </si>
  <si>
    <t>WSDmg:</t>
  </si>
  <si>
    <t>Patentia</t>
  </si>
  <si>
    <t>Job Buffs</t>
  </si>
  <si>
    <t>Other Player Buffs</t>
  </si>
  <si>
    <t>Main Job</t>
  </si>
  <si>
    <t>Mage</t>
  </si>
  <si>
    <t>Whm</t>
  </si>
  <si>
    <t>Enhancing Skill</t>
  </si>
  <si>
    <t>Boost-Str</t>
  </si>
  <si>
    <t>Boost-Dex</t>
  </si>
  <si>
    <t>Support Job</t>
  </si>
  <si>
    <t>Brd</t>
  </si>
  <si>
    <t>Soul Voice</t>
  </si>
  <si>
    <t>Haste Samba (5%)</t>
  </si>
  <si>
    <t>Area Buffs</t>
  </si>
  <si>
    <t>Minuet 5</t>
  </si>
  <si>
    <t>Minuet 4</t>
  </si>
  <si>
    <t>Madrigal 2</t>
  </si>
  <si>
    <t>Madrigal 1</t>
  </si>
  <si>
    <t>Smn</t>
  </si>
  <si>
    <t>Summoning Skill</t>
  </si>
  <si>
    <t>Atmacite 1</t>
  </si>
  <si>
    <t>Ifrit Enfire</t>
  </si>
  <si>
    <t>Atmacite 2</t>
  </si>
  <si>
    <t>Atmacite 3</t>
  </si>
  <si>
    <t>Sch</t>
  </si>
  <si>
    <t>Enspell</t>
  </si>
  <si>
    <t>Haste Samba (10%)</t>
  </si>
  <si>
    <t>Cor</t>
  </si>
  <si>
    <t>Fighter's Roll</t>
  </si>
  <si>
    <t>Rogue's Roll</t>
  </si>
  <si>
    <t>Miser's Roll</t>
  </si>
  <si>
    <t>Def Down %</t>
  </si>
  <si>
    <t>CritDef</t>
  </si>
  <si>
    <t>CritRate</t>
  </si>
  <si>
    <t>Bluffalo EM</t>
  </si>
  <si>
    <t>Ig-Alima</t>
  </si>
  <si>
    <t>Crit Def Bonus</t>
  </si>
  <si>
    <t>Crit Rate Mod</t>
  </si>
  <si>
    <t>Att %</t>
  </si>
  <si>
    <t>DA %</t>
  </si>
  <si>
    <t>Crit %</t>
  </si>
  <si>
    <t>Save TP</t>
  </si>
  <si>
    <t>Mythic AM2</t>
  </si>
  <si>
    <t>AM2 TP</t>
  </si>
  <si>
    <t>Mythic AM3</t>
  </si>
  <si>
    <t>Cruor 1</t>
  </si>
  <si>
    <t>Cruor 2</t>
  </si>
  <si>
    <t>AM3</t>
  </si>
  <si>
    <t>AM3-2</t>
  </si>
  <si>
    <t>AM3-3</t>
  </si>
  <si>
    <t>AEDmg</t>
  </si>
  <si>
    <t>AE Dmg 2</t>
  </si>
  <si>
    <t>Boost Potency</t>
  </si>
  <si>
    <t>Brd AF3 Potency</t>
  </si>
  <si>
    <t>Madrigal</t>
  </si>
  <si>
    <t>Mythic Level</t>
  </si>
  <si>
    <t>AM2</t>
  </si>
  <si>
    <t>Ifrit Enspell Dmg</t>
  </si>
  <si>
    <t>Sch Enspell Dmg</t>
  </si>
  <si>
    <t>Enspell Dmg 1</t>
  </si>
  <si>
    <t>Enspell Dmg 2</t>
  </si>
  <si>
    <t>Blade: Kamu</t>
  </si>
  <si>
    <t>Minikin</t>
  </si>
  <si>
    <t>Wanion</t>
  </si>
  <si>
    <t>Day for fTP Bonus</t>
  </si>
  <si>
    <t>fTP</t>
  </si>
  <si>
    <t>DfTP</t>
  </si>
  <si>
    <t>Arrabbiata</t>
  </si>
  <si>
    <t>Caudata</t>
  </si>
  <si>
    <t>Usukane +1</t>
  </si>
  <si>
    <t>Dumakulem</t>
  </si>
  <si>
    <t>Pieces</t>
  </si>
  <si>
    <t>Gear sets</t>
  </si>
  <si>
    <t>Mod</t>
  </si>
  <si>
    <t>TPSet1Gear</t>
  </si>
  <si>
    <t>TPSet2Gear</t>
  </si>
  <si>
    <t>WSSet1Gear</t>
  </si>
  <si>
    <t>WSSet2Gear</t>
  </si>
  <si>
    <t>Custom</t>
  </si>
  <si>
    <t>Level Correct</t>
  </si>
  <si>
    <t>Yes</t>
  </si>
  <si>
    <t>Chapuli (102)</t>
  </si>
  <si>
    <t>No</t>
  </si>
  <si>
    <t>Chapuli (100)</t>
  </si>
  <si>
    <t>Whirlpool</t>
  </si>
  <si>
    <t>Gear2</t>
  </si>
  <si>
    <t>Ej Necklace +1</t>
  </si>
  <si>
    <t>Att%</t>
  </si>
  <si>
    <t>KA</t>
  </si>
  <si>
    <t>Zan</t>
  </si>
  <si>
    <t>Hurch'lan</t>
  </si>
  <si>
    <t>Asperity</t>
  </si>
  <si>
    <t>S3</t>
  </si>
  <si>
    <t>Pya'ekue</t>
  </si>
  <si>
    <t>K'ayres</t>
  </si>
  <si>
    <t>Tati +1</t>
  </si>
  <si>
    <t>Dudgeon</t>
  </si>
  <si>
    <t>Heartseeker</t>
  </si>
  <si>
    <t>Bladeborn</t>
  </si>
  <si>
    <t>Steelflash</t>
  </si>
  <si>
    <t>Delve Fodder</t>
  </si>
  <si>
    <t>Moonshade AccRg</t>
  </si>
  <si>
    <t>Moonshade AccTP</t>
  </si>
  <si>
    <t>Moonshade AttRg</t>
  </si>
  <si>
    <t>Moonshade AttTP</t>
  </si>
  <si>
    <t>Hunter's Roll</t>
  </si>
  <si>
    <t>dStr</t>
  </si>
  <si>
    <t>Lambda</t>
  </si>
  <si>
    <t>Hand 1</t>
  </si>
  <si>
    <t>Str Att</t>
  </si>
  <si>
    <t>Dex Acc</t>
  </si>
  <si>
    <t>Total Att</t>
  </si>
  <si>
    <t>Total Acc</t>
  </si>
  <si>
    <t>D Rating</t>
  </si>
  <si>
    <t>Hand 2</t>
  </si>
  <si>
    <t>WRank</t>
  </si>
  <si>
    <t>fStr</t>
  </si>
  <si>
    <t>Damage</t>
  </si>
  <si>
    <t>Other modifiers</t>
  </si>
  <si>
    <t>CombatSkill</t>
  </si>
  <si>
    <t>Uk'uxkaj</t>
  </si>
  <si>
    <t>Yokaze</t>
  </si>
  <si>
    <t>Tojil</t>
  </si>
  <si>
    <t>Otronif</t>
  </si>
  <si>
    <t>Skills</t>
  </si>
  <si>
    <t>Dagger</t>
  </si>
  <si>
    <t>DSkill</t>
  </si>
  <si>
    <t>Katana</t>
  </si>
  <si>
    <t>Dagger Skill</t>
  </si>
  <si>
    <t>Offhand Weapon Type</t>
  </si>
  <si>
    <t>Katanas</t>
  </si>
  <si>
    <t>Daggers</t>
  </si>
  <si>
    <t>Weapon 1</t>
  </si>
  <si>
    <t>AE Dmg</t>
  </si>
  <si>
    <t>Weapon 2</t>
  </si>
  <si>
    <t>Rounds/WS:</t>
  </si>
  <si>
    <t>Buquwik</t>
  </si>
  <si>
    <t>Adoulin</t>
  </si>
  <si>
    <t>Ionis</t>
  </si>
  <si>
    <t>Ionis C.Rate</t>
  </si>
  <si>
    <t>Ionis Att</t>
  </si>
  <si>
    <t>Ionis Acc</t>
  </si>
  <si>
    <t>Kannagi 99</t>
  </si>
  <si>
    <t>Kikoku 99</t>
  </si>
  <si>
    <t>Nagi 99</t>
  </si>
  <si>
    <t>Kannagi 119</t>
  </si>
  <si>
    <t>Kikoku 119</t>
  </si>
  <si>
    <t>Nagi 119</t>
  </si>
  <si>
    <t>Jukukik Feather</t>
  </si>
  <si>
    <t>Hachiya</t>
  </si>
  <si>
    <t>Relic Level</t>
  </si>
  <si>
    <t>Relic Dmg/Rnd</t>
  </si>
  <si>
    <t>DA Hits 1</t>
  </si>
  <si>
    <t>DA Hits 2</t>
  </si>
  <si>
    <t>DA Dmg/Rnd</t>
  </si>
  <si>
    <t>pDif (non-crit)</t>
  </si>
  <si>
    <t>wRatio</t>
  </si>
  <si>
    <t>Min 1</t>
  </si>
  <si>
    <t>Min Limit</t>
  </si>
  <si>
    <t>Min</t>
  </si>
  <si>
    <t>Cap Min</t>
  </si>
  <si>
    <t>Max 1</t>
  </si>
  <si>
    <t>Max Limit</t>
  </si>
  <si>
    <t>Max</t>
  </si>
  <si>
    <t>Cap Max</t>
  </si>
  <si>
    <t>Full Range</t>
  </si>
  <si>
    <t>Cap Range</t>
  </si>
  <si>
    <t>Low Cap %</t>
  </si>
  <si>
    <t>High Cap %</t>
  </si>
  <si>
    <t>Spike %</t>
  </si>
  <si>
    <t>Avg non-crit pDif</t>
  </si>
  <si>
    <t>pDif (crit)</t>
  </si>
  <si>
    <t>Avg crit pDif</t>
  </si>
  <si>
    <t>Avg pDif 1:</t>
  </si>
  <si>
    <t>Avg pDif 2:</t>
  </si>
  <si>
    <t>Att Boost:</t>
  </si>
  <si>
    <t>Felistris Mask</t>
  </si>
  <si>
    <t>Hachiya +1</t>
  </si>
  <si>
    <t>Patricius</t>
  </si>
  <si>
    <t>Tripudio</t>
  </si>
  <si>
    <t>Trux</t>
  </si>
  <si>
    <t>Ighwa</t>
  </si>
  <si>
    <t>Yetshila</t>
  </si>
  <si>
    <t>Yetshila +1</t>
  </si>
  <si>
    <t>Otronif +1</t>
  </si>
  <si>
    <t>Ginsen</t>
  </si>
  <si>
    <t>Trivial</t>
  </si>
  <si>
    <t>DC Dynamis</t>
  </si>
  <si>
    <t>Serac Rabbit</t>
  </si>
  <si>
    <t>Metalsinger</t>
  </si>
  <si>
    <t>Mochizuki</t>
  </si>
  <si>
    <t>Mochizuki +1</t>
  </si>
  <si>
    <t>Sabebus</t>
  </si>
  <si>
    <t>Sabebus R15 A</t>
  </si>
  <si>
    <t>Sabebus R15 B</t>
  </si>
  <si>
    <t>Sabebus R15 C</t>
  </si>
  <si>
    <t>Magma Steak</t>
  </si>
  <si>
    <t>S. Salis. Steak</t>
  </si>
  <si>
    <t>C. Salis. Steak</t>
  </si>
  <si>
    <t>Minuet 3</t>
  </si>
  <si>
    <t>AF3+2 Set</t>
  </si>
  <si>
    <t>March</t>
  </si>
  <si>
    <t>Minuet Merit</t>
  </si>
  <si>
    <t>Madrigal Merit</t>
  </si>
  <si>
    <t>Tengu-no-Hane (Day)</t>
  </si>
  <si>
    <t>Senkutanto</t>
  </si>
  <si>
    <t>Senkutanto (reive)</t>
  </si>
  <si>
    <t>Blade: Rin</t>
  </si>
  <si>
    <t>Blade: Retsu</t>
  </si>
  <si>
    <t>Blade: Ten</t>
  </si>
  <si>
    <t>Blade: Ku</t>
  </si>
  <si>
    <t>Kamihr Raaz</t>
  </si>
  <si>
    <t>Hastes</t>
  </si>
  <si>
    <t>Haste II</t>
  </si>
  <si>
    <t>Boosts</t>
  </si>
  <si>
    <t>Onimusha-No-Kote</t>
  </si>
  <si>
    <t>Chidori</t>
  </si>
  <si>
    <t>Taikogane (OAT/ws)</t>
  </si>
  <si>
    <t>Taikogane (OAT/crit)</t>
  </si>
  <si>
    <t>Trepidity (latent)</t>
  </si>
  <si>
    <t>Ifrit</t>
  </si>
  <si>
    <t>Ifrit +1</t>
  </si>
  <si>
    <t>Ramuh</t>
  </si>
  <si>
    <t>Ramuh +1</t>
  </si>
  <si>
    <t>Titan</t>
  </si>
  <si>
    <t>Titan +1</t>
  </si>
  <si>
    <t>Garuda</t>
  </si>
  <si>
    <t>Garuda +1</t>
  </si>
  <si>
    <t>Shiva</t>
  </si>
  <si>
    <t>Shiva +1</t>
  </si>
  <si>
    <t>Leviathan</t>
  </si>
  <si>
    <t>Leviathan +1</t>
  </si>
  <si>
    <t>Fenrir</t>
  </si>
  <si>
    <t>Fenrir +1</t>
  </si>
  <si>
    <t>Sweordfaetels +1</t>
  </si>
  <si>
    <t>Ygnas +1 (reive)</t>
  </si>
  <si>
    <t>Ygnas (reive)</t>
  </si>
  <si>
    <t>Jushimatsu</t>
  </si>
  <si>
    <t>Ombre Tathlum +1</t>
  </si>
  <si>
    <t>Smilodon +1</t>
  </si>
  <si>
    <t>Gavialis</t>
  </si>
  <si>
    <t>Argochampsa</t>
  </si>
  <si>
    <t>Mekosuchinae</t>
  </si>
  <si>
    <t>R.Acc</t>
  </si>
  <si>
    <t>R.Att</t>
  </si>
  <si>
    <t>M.Acc</t>
  </si>
  <si>
    <t>MAB</t>
  </si>
  <si>
    <t>MDmg</t>
  </si>
  <si>
    <t>Lacono +1</t>
  </si>
  <si>
    <t>Nefarious +1</t>
  </si>
  <si>
    <t>Prosilio +1 (ws)</t>
  </si>
  <si>
    <t>Windbuffet +1</t>
  </si>
  <si>
    <t>Olseni</t>
  </si>
  <si>
    <t>Arvina +1</t>
  </si>
  <si>
    <t>Zennaroi</t>
  </si>
  <si>
    <t>Shetal</t>
  </si>
  <si>
    <t>Sange</t>
  </si>
  <si>
    <t>Daken</t>
  </si>
  <si>
    <t>Ammo Weapon Type</t>
  </si>
  <si>
    <t>Throwing</t>
  </si>
  <si>
    <t>TSkill</t>
  </si>
  <si>
    <t>Throwing Skill</t>
  </si>
  <si>
    <t>Shuriken</t>
  </si>
  <si>
    <t>Roppo</t>
  </si>
  <si>
    <t>Roppo +1</t>
  </si>
  <si>
    <t>Happo</t>
  </si>
  <si>
    <t>Happo +1</t>
  </si>
  <si>
    <t>Suppa</t>
  </si>
  <si>
    <t>Togakushi</t>
  </si>
  <si>
    <t>Shurikens</t>
  </si>
  <si>
    <t>Agi Acc</t>
  </si>
  <si>
    <t>Avg Shr</t>
  </si>
  <si>
    <t>Crit cRatio</t>
  </si>
  <si>
    <t>dAgi</t>
  </si>
  <si>
    <t>Ionis Crit Rate</t>
  </si>
  <si>
    <t>Total Crit Rate</t>
  </si>
  <si>
    <t>Throw Hit Rate</t>
  </si>
  <si>
    <t>Shr/Rnd</t>
  </si>
  <si>
    <t>Innate Acc</t>
  </si>
  <si>
    <t>Sange Acc</t>
  </si>
  <si>
    <t>Sange Att</t>
  </si>
  <si>
    <t>Achiuchikapu</t>
  </si>
  <si>
    <t>Raicho +1</t>
  </si>
  <si>
    <t>Kujaku +1</t>
  </si>
  <si>
    <t>Floestone</t>
  </si>
  <si>
    <t>Lilitu</t>
  </si>
  <si>
    <t>Skormoth</t>
  </si>
  <si>
    <t>Taeon Crit</t>
  </si>
  <si>
    <t>Taeon TP</t>
  </si>
  <si>
    <t>Rawhide A</t>
  </si>
  <si>
    <t>Erudit. Necklace</t>
  </si>
  <si>
    <t>Ishvara</t>
  </si>
  <si>
    <t>Lugra</t>
  </si>
  <si>
    <t>Lugra +1</t>
  </si>
  <si>
    <t>Neritic</t>
  </si>
  <si>
    <t>Abnoba</t>
  </si>
  <si>
    <t>Enforcer's</t>
  </si>
  <si>
    <t>Rawhide D</t>
  </si>
  <si>
    <t>Floral</t>
  </si>
  <si>
    <t>Petrov</t>
  </si>
  <si>
    <t>Bleating</t>
  </si>
  <si>
    <t>Eschan</t>
  </si>
  <si>
    <t>Grunfeld</t>
  </si>
  <si>
    <t>Samnuha</t>
  </si>
  <si>
    <t>Ta'lab</t>
  </si>
  <si>
    <t>Taeon DW</t>
  </si>
  <si>
    <t>Telos</t>
  </si>
  <si>
    <t>Dedition</t>
  </si>
  <si>
    <t>Jokushu</t>
  </si>
  <si>
    <t>Reiki</t>
  </si>
  <si>
    <t>Combatant</t>
  </si>
  <si>
    <t>Cacoethic</t>
  </si>
  <si>
    <t>Adhemar HQ A</t>
  </si>
  <si>
    <t>Adhemar HQ B</t>
  </si>
  <si>
    <t>Adhemar NQ A</t>
  </si>
  <si>
    <t>Adhemar NQ B</t>
  </si>
  <si>
    <t>Damp. Tam (Max)</t>
  </si>
  <si>
    <t>Caro Necklace</t>
  </si>
  <si>
    <t>Clotharius</t>
  </si>
  <si>
    <t>Cessance Earring</t>
  </si>
  <si>
    <t>Foppish NQ</t>
  </si>
  <si>
    <t>Foppish HQ</t>
  </si>
  <si>
    <t>Rawhide B</t>
  </si>
  <si>
    <t>Apate</t>
  </si>
  <si>
    <t>Begrudging (Max)</t>
  </si>
  <si>
    <t>Hetairaoi Ring</t>
  </si>
  <si>
    <t>Shukuyu Ring</t>
  </si>
  <si>
    <t>Artful +1</t>
  </si>
  <si>
    <t>Adhemar HQ D</t>
  </si>
  <si>
    <t>Herc. Dex TA +</t>
  </si>
  <si>
    <t>Herc. Dex STP +</t>
  </si>
  <si>
    <t>Herc. Dex CritR +</t>
  </si>
  <si>
    <t>Herc. Dex CritD +</t>
  </si>
  <si>
    <t>Herc. Agi CritR +</t>
  </si>
  <si>
    <t>Herc. Agi CritD +</t>
  </si>
  <si>
    <t>Herc. Agi TA +</t>
  </si>
  <si>
    <t>Kanaria TA +</t>
  </si>
  <si>
    <t>Ochu Max</t>
  </si>
  <si>
    <t>Hattori +1</t>
  </si>
  <si>
    <t>Taka</t>
  </si>
  <si>
    <t>Geo</t>
  </si>
  <si>
    <t>Bolster</t>
  </si>
  <si>
    <t>Blaze of Glory</t>
  </si>
  <si>
    <t>Ecliptic Attrition</t>
  </si>
  <si>
    <t>Torpor</t>
  </si>
  <si>
    <t>Frailty</t>
  </si>
  <si>
    <t>Precision</t>
  </si>
  <si>
    <t>Fury</t>
  </si>
  <si>
    <t>Eva Down</t>
  </si>
  <si>
    <t>Def Down</t>
  </si>
  <si>
    <t>Acc Up</t>
  </si>
  <si>
    <t>Att Up</t>
  </si>
  <si>
    <t>Geo Acc</t>
  </si>
  <si>
    <t>Sublime Sushi</t>
  </si>
  <si>
    <t>Geo Attk</t>
  </si>
  <si>
    <t>Kikoku 121</t>
  </si>
  <si>
    <t>Nagi 121</t>
  </si>
  <si>
    <t>Kannagi 121</t>
  </si>
  <si>
    <t>ODD/OTD Rate (mainhand)</t>
  </si>
  <si>
    <t>ODD/OTD</t>
  </si>
  <si>
    <t>ODD/OTD Dmg/Rnd</t>
  </si>
  <si>
    <t>Fotia</t>
  </si>
  <si>
    <t>Kikoku 119 III AM</t>
  </si>
  <si>
    <t>Lissome Necklace</t>
  </si>
  <si>
    <t>Aftermath Attk</t>
  </si>
  <si>
    <t>Ecliptic</t>
  </si>
  <si>
    <t>Shigi +</t>
  </si>
  <si>
    <t>Andartia DEX DA</t>
  </si>
  <si>
    <t>Andartia AGI WSD</t>
  </si>
  <si>
    <t>Andartia DEX WSD</t>
  </si>
  <si>
    <t>Andartia DEX STP</t>
  </si>
  <si>
    <t>Andartia AGI CritR</t>
  </si>
  <si>
    <t>Andartia DEX CritR</t>
  </si>
  <si>
    <t>Heishi Shorinken</t>
  </si>
  <si>
    <t>Hiza. Hizayoroi +1</t>
  </si>
  <si>
    <t>My Herc. Gloves</t>
  </si>
  <si>
    <t>Herc. Dex WSD +</t>
  </si>
  <si>
    <t>Herc. Agi WSD +</t>
  </si>
  <si>
    <t>Hizamaru Sune-Ate +1</t>
  </si>
  <si>
    <t>Andartia STR WSD</t>
  </si>
  <si>
    <t>Innin Effect</t>
  </si>
  <si>
    <t>Job Points Total</t>
  </si>
  <si>
    <t>Physical Attack Bonus</t>
  </si>
  <si>
    <t>Physical Accuracy Bonus</t>
  </si>
  <si>
    <t>Magic Attack Bonus</t>
  </si>
  <si>
    <t>Ninjutsu Skill Bonus</t>
  </si>
  <si>
    <t>Daken Effect</t>
  </si>
  <si>
    <t>WS Dmg Bonus</t>
  </si>
  <si>
    <t>Magic Accuracy Bonus</t>
  </si>
  <si>
    <t>Gifts</t>
  </si>
  <si>
    <t>Dia</t>
  </si>
  <si>
    <t>Dias</t>
  </si>
  <si>
    <t>Value</t>
  </si>
  <si>
    <t>Seki Shuriken</t>
  </si>
  <si>
    <t>Ainia Collar</t>
  </si>
  <si>
    <t>Ttl</t>
  </si>
  <si>
    <t>WSDmg (Gifts)</t>
  </si>
  <si>
    <t>Hachiya +2</t>
  </si>
  <si>
    <t>Hachiya +3</t>
  </si>
  <si>
    <t>Iskur Gorget</t>
  </si>
  <si>
    <t>Ashera Harness</t>
  </si>
  <si>
    <t>Dingir Ring</t>
  </si>
  <si>
    <t>Ilabrat Ring</t>
  </si>
  <si>
    <t>Yamarang</t>
  </si>
  <si>
    <t>Sveltesse +1</t>
  </si>
  <si>
    <t>Moonlight Nodowa</t>
  </si>
  <si>
    <t>Moonbeam Nodowa</t>
  </si>
  <si>
    <t>Moonlight Ring</t>
  </si>
  <si>
    <t>Moonbeam Ring</t>
  </si>
  <si>
    <t>Apex Leech (127)</t>
  </si>
  <si>
    <t>Apex Toad (131)</t>
  </si>
  <si>
    <t>Apex Bhoot (139)</t>
  </si>
  <si>
    <t>NM iLvl 140 (Theorized)</t>
  </si>
  <si>
    <t>Chiner's +1</t>
  </si>
  <si>
    <t xml:space="preserve">Kendatsuba </t>
  </si>
  <si>
    <t>Kendatsuba +1</t>
  </si>
  <si>
    <t>Kendatsuba</t>
  </si>
  <si>
    <t>Hiza. Hizayoroi +2</t>
  </si>
  <si>
    <t>Apex Bat (136)</t>
  </si>
  <si>
    <t>Kakka: Ichi</t>
  </si>
  <si>
    <t>Arasy +1</t>
  </si>
  <si>
    <t>Malevolence Max</t>
  </si>
  <si>
    <t>!Daken:</t>
  </si>
  <si>
    <t>Difference:</t>
  </si>
  <si>
    <t>Kat vs Shr</t>
  </si>
  <si>
    <t>Katana TP:</t>
  </si>
  <si>
    <t>Shr TP:</t>
  </si>
  <si>
    <t>Distributed:</t>
  </si>
  <si>
    <t>TP/Hit + ShrDist</t>
  </si>
  <si>
    <t>Mummu +2</t>
  </si>
  <si>
    <t>Hizamaru Sune-Ate +2</t>
  </si>
  <si>
    <t>Kobo Kote</t>
  </si>
  <si>
    <t>Ryuo NQ A</t>
  </si>
  <si>
    <t>Ryuo HQ A</t>
  </si>
  <si>
    <t>Ryuo NQ C</t>
  </si>
  <si>
    <t>Ryuo HQ C</t>
  </si>
  <si>
    <t>Ryuo NQ D</t>
  </si>
  <si>
    <t>Ryuo HQ D</t>
  </si>
  <si>
    <t>Kanaria (yours)</t>
  </si>
  <si>
    <t>Mochizuki +2</t>
  </si>
  <si>
    <t>Mochizuki +3</t>
  </si>
  <si>
    <t>Kikoku Aug 121</t>
  </si>
  <si>
    <t>Kannagi Aug 121</t>
  </si>
  <si>
    <t>Heishi Shorinken Aug</t>
  </si>
  <si>
    <t>R.acc</t>
  </si>
  <si>
    <t>M.acc</t>
  </si>
  <si>
    <t>Regal</t>
  </si>
  <si>
    <t>Fudo Masamune (No Aug)</t>
  </si>
  <si>
    <t>Odium</t>
  </si>
  <si>
    <t>Hizamaru +2</t>
  </si>
  <si>
    <t>Hizamaru +1</t>
  </si>
  <si>
    <t>Dignitary's Earring</t>
  </si>
  <si>
    <t>FollowUp</t>
  </si>
  <si>
    <t>PDL</t>
  </si>
  <si>
    <t>Ninja's (Aug)</t>
  </si>
  <si>
    <t>Ninja's +1 (Aug)</t>
  </si>
  <si>
    <t>Fudo Masamune (A)</t>
  </si>
  <si>
    <t>Fudo Masamune (B)</t>
  </si>
  <si>
    <t>Ninja's +2 (Aug)</t>
  </si>
  <si>
    <t>!FollowUp</t>
  </si>
  <si>
    <t>Honor March</t>
  </si>
  <si>
    <t>Epaminondas</t>
  </si>
  <si>
    <t>Karieyh +1</t>
  </si>
  <si>
    <t>Eabani Earring</t>
  </si>
  <si>
    <t>Andartia DEX DW</t>
  </si>
  <si>
    <t>Haverton</t>
  </si>
  <si>
    <t>Haverton +1</t>
  </si>
  <si>
    <t>Warder of Courage</t>
  </si>
  <si>
    <t>Mache</t>
  </si>
  <si>
    <t>Mache +1</t>
  </si>
  <si>
    <t>RMEA Aug Bonus</t>
  </si>
  <si>
    <t>Offand Hit Rate:</t>
  </si>
  <si>
    <t>Offhand Hit Rate:</t>
  </si>
  <si>
    <t>Kanaria AGI TA+</t>
  </si>
  <si>
    <t>Ratio crit cap</t>
  </si>
  <si>
    <t>Ratio non-crit cap</t>
  </si>
  <si>
    <t>Hitaki TP Bonus</t>
  </si>
  <si>
    <t>Chirich</t>
  </si>
  <si>
    <t>Chirich +1</t>
  </si>
  <si>
    <t>Gokotai</t>
  </si>
  <si>
    <t>Gere</t>
  </si>
  <si>
    <t>Herc. Dark Matter</t>
  </si>
  <si>
    <t>Kanaria (yours#2)</t>
  </si>
  <si>
    <t>Tauret</t>
  </si>
  <si>
    <t>C. Palug Stone</t>
  </si>
  <si>
    <t>Malignance Chapeau</t>
  </si>
  <si>
    <t>Lugra +1 (Aug)</t>
  </si>
  <si>
    <t>Malignance Tabard</t>
  </si>
  <si>
    <t>Malignance Gloves</t>
  </si>
  <si>
    <t>Sailfi +1 (Aug)</t>
  </si>
  <si>
    <t>Malignance Tights</t>
  </si>
  <si>
    <t>Malignance Boots</t>
  </si>
  <si>
    <t>Voluspa Tathlum</t>
  </si>
  <si>
    <t>Odr Earring</t>
  </si>
  <si>
    <t>Aurgelmir +1</t>
  </si>
  <si>
    <t>Balder +1 (Right)</t>
  </si>
  <si>
    <t>Gerdr Belt +1</t>
  </si>
  <si>
    <t>Avg pDif</t>
  </si>
  <si>
    <t>Imperial Hairpin +1 (Aug)</t>
  </si>
  <si>
    <t>Blurred +1</t>
  </si>
  <si>
    <t>Unused</t>
  </si>
  <si>
    <t>PDL Gear</t>
  </si>
  <si>
    <t>Nagi Aug 121</t>
  </si>
  <si>
    <t>Herc. Str TA +</t>
  </si>
  <si>
    <t>Notes:</t>
  </si>
  <si>
    <t>Magic Haste Capped</t>
  </si>
  <si>
    <t>Dia III From Koru-Moru</t>
  </si>
  <si>
    <t>Ternion +1 (Aug)</t>
  </si>
  <si>
    <t>Rao HQ B</t>
  </si>
  <si>
    <t>Dominance Earring</t>
  </si>
  <si>
    <t>Herc. Str WSD +</t>
  </si>
  <si>
    <t>Agony Jerkin +1</t>
  </si>
  <si>
    <t>Tatenashi +1 (Aug)</t>
  </si>
  <si>
    <t>Kentarch Belt +1</t>
  </si>
  <si>
    <t>Rao HQ A</t>
  </si>
  <si>
    <t>Sublime Sushi +1</t>
  </si>
  <si>
    <t>Seething+1 (Aug)</t>
  </si>
  <si>
    <t>Zoar Subligar +1</t>
  </si>
  <si>
    <t>Blistering Sallet +1</t>
  </si>
  <si>
    <t>Alhazen Hat +1</t>
  </si>
  <si>
    <t>Kachimusha Kote +1 (Aug)</t>
  </si>
  <si>
    <t>Cacoethic+1 (Aug)</t>
  </si>
  <si>
    <t>Andartia STR DA</t>
  </si>
  <si>
    <t>Wingcutter +1</t>
  </si>
  <si>
    <t>Karieyh</t>
  </si>
  <si>
    <t>47 Ranged Accuracy is needed to achiave best DPS</t>
  </si>
  <si>
    <t>Herc Boots BiS w/ STR10 WSD5</t>
  </si>
  <si>
    <t>Blade: Ten Setup</t>
  </si>
  <si>
    <t>Blade: Metsu Setup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</si>
</sst>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(* #,##0.00_);_(* \(#,##0.00\);_(* &quot;-&quot;??_);_(@_)"/>
    <numFmt numFmtId="164" formatCode="0.0000"/>
    <numFmt numFmtId="165" formatCode="0.0%"/>
    <numFmt numFmtId="166" formatCode="0.000"/>
    <numFmt numFmtId="167" formatCode="0.0"/>
    <numFmt numFmtId="168" formatCode="0.00000"/>
  </numFmts>
  <fonts count="1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sz val="10"/>
      <name val="Meiryo UI"/>
      <family val="2"/>
    </font>
    <font>
      <sz val="10"/>
      <color rgb="FFFF0000"/>
      <name val="Arial"/>
      <family val="2"/>
    </font>
    <font>
      <sz val="10"/>
      <color theme="7" tint="-0.24997711111789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rgb="FFCCFFFF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/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239">
    <xf numFmtId="0" fontId="0" fillId="0" borderId="0" xfId="0"/>
    <xf numFmtId="10" fontId="0" fillId="0" borderId="0" xfId="0" applyNumberFormat="1"/>
    <xf numFmtId="9" fontId="0" fillId="0" borderId="0" xfId="0" applyNumberFormat="1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166" fontId="0" fillId="0" borderId="0" xfId="0" applyNumberFormat="1"/>
    <xf numFmtId="1" fontId="0" fillId="0" borderId="0" xfId="0" applyNumberFormat="1"/>
    <xf numFmtId="166" fontId="3" fillId="0" borderId="0" xfId="0" applyNumberFormat="1" applyFont="1"/>
    <xf numFmtId="0" fontId="3" fillId="0" borderId="0" xfId="0" applyFont="1"/>
    <xf numFmtId="0" fontId="4" fillId="0" borderId="0" xfId="0" applyFont="1"/>
    <xf numFmtId="9" fontId="4" fillId="0" borderId="0" xfId="0" applyNumberFormat="1" applyFont="1"/>
    <xf numFmtId="9" fontId="1" fillId="0" borderId="0" xfId="0" applyNumberFormat="1" applyFont="1"/>
    <xf numFmtId="167" fontId="0" fillId="0" borderId="0" xfId="0" applyNumberFormat="1"/>
    <xf numFmtId="0" fontId="0" fillId="0" borderId="1" xfId="0" applyBorder="1"/>
    <xf numFmtId="9" fontId="0" fillId="0" borderId="2" xfId="0" applyNumberFormat="1" applyBorder="1"/>
    <xf numFmtId="10" fontId="0" fillId="0" borderId="2" xfId="0" applyNumberFormat="1" applyBorder="1"/>
    <xf numFmtId="10" fontId="0" fillId="0" borderId="3" xfId="0" applyNumberFormat="1" applyBorder="1"/>
    <xf numFmtId="10" fontId="0" fillId="0" borderId="1" xfId="0" applyNumberFormat="1" applyBorder="1"/>
    <xf numFmtId="164" fontId="0" fillId="0" borderId="0" xfId="0" applyNumberFormat="1" applyFill="1" applyBorder="1"/>
    <xf numFmtId="0" fontId="0" fillId="0" borderId="0" xfId="0" applyFill="1"/>
    <xf numFmtId="0" fontId="0" fillId="0" borderId="1" xfId="0" quotePrefix="1" applyBorder="1"/>
    <xf numFmtId="0" fontId="5" fillId="0" borderId="0" xfId="0" applyFont="1"/>
    <xf numFmtId="0" fontId="0" fillId="0" borderId="0" xfId="0" quotePrefix="1" applyBorder="1"/>
    <xf numFmtId="0" fontId="0" fillId="0" borderId="0" xfId="0" applyFill="1" applyBorder="1"/>
    <xf numFmtId="0" fontId="0" fillId="0" borderId="1" xfId="0" applyFill="1" applyBorder="1"/>
    <xf numFmtId="0" fontId="1" fillId="0" borderId="1" xfId="0" applyFont="1" applyBorder="1"/>
    <xf numFmtId="0" fontId="3" fillId="0" borderId="1" xfId="0" applyFont="1" applyBorder="1"/>
    <xf numFmtId="165" fontId="0" fillId="0" borderId="1" xfId="0" applyNumberFormat="1" applyBorder="1"/>
    <xf numFmtId="0" fontId="1" fillId="0" borderId="0" xfId="0" applyFont="1" applyBorder="1"/>
    <xf numFmtId="0" fontId="0" fillId="0" borderId="0" xfId="0" quotePrefix="1"/>
    <xf numFmtId="0" fontId="1" fillId="0" borderId="0" xfId="0" applyFont="1"/>
    <xf numFmtId="0" fontId="0" fillId="2" borderId="0" xfId="0" applyFill="1" applyProtection="1">
      <protection locked="0"/>
    </xf>
    <xf numFmtId="0" fontId="1" fillId="2" borderId="0" xfId="0" applyFont="1" applyFill="1" applyProtection="1">
      <protection locked="0"/>
    </xf>
    <xf numFmtId="9" fontId="0" fillId="2" borderId="0" xfId="0" applyNumberFormat="1" applyFill="1" applyProtection="1">
      <protection locked="0"/>
    </xf>
    <xf numFmtId="0" fontId="0" fillId="0" borderId="0" xfId="0" applyNumberFormat="1"/>
    <xf numFmtId="0" fontId="0" fillId="2" borderId="0" xfId="0" applyNumberFormat="1" applyFill="1" applyProtection="1">
      <protection locked="0"/>
    </xf>
    <xf numFmtId="1" fontId="0" fillId="0" borderId="0" xfId="0" quotePrefix="1" applyNumberFormat="1" applyBorder="1"/>
    <xf numFmtId="1" fontId="0" fillId="0" borderId="1" xfId="0" quotePrefix="1" applyNumberFormat="1" applyBorder="1"/>
    <xf numFmtId="1" fontId="1" fillId="0" borderId="0" xfId="0" applyNumberFormat="1" applyFont="1"/>
    <xf numFmtId="10" fontId="0" fillId="0" borderId="0" xfId="0" applyNumberFormat="1" applyBorder="1"/>
    <xf numFmtId="0" fontId="0" fillId="2" borderId="1" xfId="0" applyFill="1" applyBorder="1" applyProtection="1">
      <protection locked="0"/>
    </xf>
    <xf numFmtId="0" fontId="0" fillId="2" borderId="0" xfId="0" applyFill="1" applyBorder="1" applyProtection="1">
      <protection locked="0"/>
    </xf>
    <xf numFmtId="9" fontId="0" fillId="0" borderId="0" xfId="0" applyNumberFormat="1" applyBorder="1"/>
    <xf numFmtId="0" fontId="0" fillId="0" borderId="0" xfId="0" applyBorder="1"/>
    <xf numFmtId="165" fontId="0" fillId="0" borderId="0" xfId="0" applyNumberFormat="1" applyBorder="1"/>
    <xf numFmtId="2" fontId="0" fillId="0" borderId="0" xfId="0" applyNumberFormat="1" applyBorder="1"/>
    <xf numFmtId="164" fontId="0" fillId="0" borderId="0" xfId="0" applyNumberFormat="1" applyBorder="1"/>
    <xf numFmtId="10" fontId="0" fillId="0" borderId="0" xfId="0" applyNumberFormat="1" applyFill="1" applyBorder="1"/>
    <xf numFmtId="0" fontId="0" fillId="0" borderId="0" xfId="0" applyNumberFormat="1" applyFill="1" applyBorder="1"/>
    <xf numFmtId="0" fontId="1" fillId="0" borderId="0" xfId="0" applyNumberFormat="1" applyFont="1"/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16" fontId="0" fillId="0" borderId="0" xfId="0" quotePrefix="1" applyNumberFormat="1"/>
    <xf numFmtId="0" fontId="4" fillId="0" borderId="0" xfId="0" applyNumberFormat="1" applyFont="1"/>
    <xf numFmtId="0" fontId="3" fillId="0" borderId="3" xfId="0" applyFont="1" applyBorder="1"/>
    <xf numFmtId="0" fontId="0" fillId="0" borderId="4" xfId="0" quotePrefix="1" applyBorder="1"/>
    <xf numFmtId="0" fontId="0" fillId="0" borderId="2" xfId="0" quotePrefix="1" applyBorder="1"/>
    <xf numFmtId="1" fontId="0" fillId="0" borderId="2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5" xfId="0" quotePrefix="1" applyNumberFormat="1" applyBorder="1"/>
    <xf numFmtId="1" fontId="0" fillId="0" borderId="2" xfId="0" quotePrefix="1" applyNumberFormat="1" applyBorder="1"/>
    <xf numFmtId="0" fontId="1" fillId="0" borderId="2" xfId="0" applyFont="1" applyBorder="1"/>
    <xf numFmtId="0" fontId="1" fillId="0" borderId="5" xfId="0" applyFont="1" applyBorder="1"/>
    <xf numFmtId="1" fontId="3" fillId="0" borderId="1" xfId="0" applyNumberFormat="1" applyFont="1" applyBorder="1"/>
    <xf numFmtId="0" fontId="0" fillId="0" borderId="0" xfId="0" applyNumberFormat="1" applyBorder="1"/>
    <xf numFmtId="0" fontId="0" fillId="0" borderId="2" xfId="0" applyNumberFormat="1" applyBorder="1"/>
    <xf numFmtId="1" fontId="0" fillId="0" borderId="0" xfId="0" applyNumberFormat="1" applyBorder="1"/>
    <xf numFmtId="167" fontId="0" fillId="0" borderId="2" xfId="0" applyNumberFormat="1" applyBorder="1"/>
    <xf numFmtId="0" fontId="0" fillId="0" borderId="1" xfId="0" applyNumberFormat="1" applyBorder="1"/>
    <xf numFmtId="0" fontId="0" fillId="0" borderId="5" xfId="0" applyNumberFormat="1" applyBorder="1"/>
    <xf numFmtId="9" fontId="1" fillId="0" borderId="2" xfId="0" applyNumberFormat="1" applyFont="1" applyBorder="1"/>
    <xf numFmtId="0" fontId="3" fillId="0" borderId="6" xfId="0" applyFont="1" applyBorder="1"/>
    <xf numFmtId="0" fontId="3" fillId="0" borderId="0" xfId="0" applyFont="1" applyBorder="1"/>
    <xf numFmtId="0" fontId="0" fillId="0" borderId="6" xfId="0" applyBorder="1"/>
    <xf numFmtId="166" fontId="0" fillId="0" borderId="1" xfId="0" applyNumberFormat="1" applyBorder="1"/>
    <xf numFmtId="0" fontId="0" fillId="0" borderId="3" xfId="0" applyBorder="1"/>
    <xf numFmtId="167" fontId="0" fillId="0" borderId="1" xfId="0" applyNumberFormat="1" applyBorder="1"/>
    <xf numFmtId="0" fontId="3" fillId="0" borderId="7" xfId="0" applyFont="1" applyBorder="1"/>
    <xf numFmtId="166" fontId="0" fillId="0" borderId="7" xfId="0" applyNumberFormat="1" applyBorder="1"/>
    <xf numFmtId="0" fontId="0" fillId="0" borderId="8" xfId="0" applyBorder="1"/>
    <xf numFmtId="0" fontId="0" fillId="0" borderId="7" xfId="0" applyBorder="1"/>
    <xf numFmtId="1" fontId="4" fillId="0" borderId="0" xfId="0" applyNumberFormat="1" applyFont="1"/>
    <xf numFmtId="1" fontId="5" fillId="0" borderId="0" xfId="0" applyNumberFormat="1" applyFont="1"/>
    <xf numFmtId="2" fontId="5" fillId="0" borderId="0" xfId="0" applyNumberFormat="1" applyFont="1"/>
    <xf numFmtId="9" fontId="0" fillId="0" borderId="1" xfId="0" applyNumberFormat="1" applyBorder="1"/>
    <xf numFmtId="9" fontId="0" fillId="0" borderId="5" xfId="0" applyNumberFormat="1" applyBorder="1"/>
    <xf numFmtId="1" fontId="0" fillId="0" borderId="4" xfId="0" applyNumberFormat="1" applyBorder="1"/>
    <xf numFmtId="9" fontId="0" fillId="0" borderId="0" xfId="3" applyFont="1"/>
    <xf numFmtId="0" fontId="6" fillId="0" borderId="0" xfId="0" applyFont="1"/>
    <xf numFmtId="9" fontId="1" fillId="0" borderId="0" xfId="3" applyFont="1"/>
    <xf numFmtId="9" fontId="1" fillId="0" borderId="0" xfId="3"/>
    <xf numFmtId="166" fontId="0" fillId="0" borderId="0" xfId="0" applyNumberFormat="1" applyBorder="1"/>
    <xf numFmtId="2" fontId="0" fillId="0" borderId="0" xfId="0" applyNumberFormat="1" applyFill="1" applyBorder="1"/>
    <xf numFmtId="9" fontId="0" fillId="0" borderId="0" xfId="3" applyFont="1" applyBorder="1"/>
    <xf numFmtId="9" fontId="0" fillId="0" borderId="0" xfId="0" applyNumberFormat="1" applyFill="1" applyBorder="1"/>
    <xf numFmtId="9" fontId="0" fillId="0" borderId="0" xfId="3" applyFont="1" applyFill="1" applyBorder="1"/>
    <xf numFmtId="10" fontId="1" fillId="0" borderId="2" xfId="3" applyNumberFormat="1" applyBorder="1"/>
    <xf numFmtId="0" fontId="1" fillId="0" borderId="0" xfId="1" applyNumberFormat="1" applyBorder="1"/>
    <xf numFmtId="10" fontId="1" fillId="0" borderId="0" xfId="2" applyNumberFormat="1"/>
    <xf numFmtId="0" fontId="3" fillId="0" borderId="0" xfId="0" applyFont="1" applyFill="1"/>
    <xf numFmtId="0" fontId="1" fillId="0" borderId="0" xfId="0" applyFont="1" applyFill="1"/>
    <xf numFmtId="0" fontId="0" fillId="0" borderId="0" xfId="0" applyFont="1"/>
    <xf numFmtId="0" fontId="0" fillId="3" borderId="0" xfId="0" applyFill="1"/>
    <xf numFmtId="0" fontId="1" fillId="3" borderId="0" xfId="0" applyFont="1" applyFill="1"/>
    <xf numFmtId="0" fontId="7" fillId="0" borderId="0" xfId="0" applyFont="1"/>
    <xf numFmtId="9" fontId="1" fillId="3" borderId="0" xfId="0" applyNumberFormat="1" applyFont="1" applyFill="1"/>
    <xf numFmtId="9" fontId="1" fillId="3" borderId="0" xfId="3" applyFont="1" applyFill="1"/>
    <xf numFmtId="0" fontId="0" fillId="0" borderId="0" xfId="0" applyNumberFormat="1" applyFill="1"/>
    <xf numFmtId="9" fontId="0" fillId="0" borderId="4" xfId="0" applyNumberFormat="1" applyBorder="1"/>
    <xf numFmtId="0" fontId="5" fillId="0" borderId="0" xfId="0" applyFont="1" applyBorder="1"/>
    <xf numFmtId="0" fontId="5" fillId="0" borderId="6" xfId="0" applyFont="1" applyBorder="1"/>
    <xf numFmtId="0" fontId="5" fillId="0" borderId="1" xfId="0" applyFont="1" applyBorder="1"/>
    <xf numFmtId="0" fontId="5" fillId="0" borderId="3" xfId="0" applyFont="1" applyBorder="1"/>
    <xf numFmtId="0" fontId="5" fillId="0" borderId="5" xfId="0" applyFont="1" applyBorder="1"/>
    <xf numFmtId="0" fontId="5" fillId="0" borderId="0" xfId="0" applyNumberFormat="1" applyFont="1"/>
    <xf numFmtId="9" fontId="5" fillId="0" borderId="0" xfId="0" applyNumberFormat="1" applyFont="1"/>
    <xf numFmtId="0" fontId="0" fillId="0" borderId="0" xfId="0" applyFill="1" applyProtection="1"/>
    <xf numFmtId="0" fontId="0" fillId="0" borderId="0" xfId="0" applyFont="1" applyFill="1" applyBorder="1"/>
    <xf numFmtId="9" fontId="0" fillId="0" borderId="0" xfId="3" quotePrefix="1" applyFont="1" applyBorder="1"/>
    <xf numFmtId="9" fontId="0" fillId="0" borderId="4" xfId="3" quotePrefix="1" applyFont="1" applyBorder="1"/>
    <xf numFmtId="0" fontId="0" fillId="0" borderId="1" xfId="0" applyFont="1" applyFill="1" applyBorder="1"/>
    <xf numFmtId="9" fontId="0" fillId="0" borderId="1" xfId="3" quotePrefix="1" applyFont="1" applyBorder="1"/>
    <xf numFmtId="9" fontId="0" fillId="0" borderId="5" xfId="3" quotePrefix="1" applyFont="1" applyBorder="1"/>
    <xf numFmtId="1" fontId="1" fillId="0" borderId="4" xfId="0" applyNumberFormat="1" applyFont="1" applyBorder="1"/>
    <xf numFmtId="1" fontId="1" fillId="0" borderId="1" xfId="0" applyNumberFormat="1" applyFont="1" applyBorder="1"/>
    <xf numFmtId="1" fontId="1" fillId="0" borderId="5" xfId="0" applyNumberFormat="1" applyFont="1" applyBorder="1"/>
    <xf numFmtId="164" fontId="0" fillId="0" borderId="7" xfId="0" applyNumberFormat="1" applyBorder="1"/>
    <xf numFmtId="164" fontId="0" fillId="0" borderId="9" xfId="0" applyNumberFormat="1" applyBorder="1"/>
    <xf numFmtId="165" fontId="0" fillId="0" borderId="2" xfId="0" applyNumberFormat="1" applyBorder="1"/>
    <xf numFmtId="165" fontId="0" fillId="0" borderId="5" xfId="0" applyNumberFormat="1" applyBorder="1"/>
    <xf numFmtId="9" fontId="3" fillId="0" borderId="0" xfId="0" applyNumberFormat="1" applyFont="1"/>
    <xf numFmtId="1" fontId="3" fillId="0" borderId="0" xfId="0" applyNumberFormat="1" applyFont="1"/>
    <xf numFmtId="0" fontId="1" fillId="0" borderId="0" xfId="0" applyFont="1" applyFill="1" applyBorder="1"/>
    <xf numFmtId="1" fontId="1" fillId="0" borderId="0" xfId="0" applyNumberFormat="1" applyFont="1" applyBorder="1"/>
    <xf numFmtId="1" fontId="1" fillId="0" borderId="2" xfId="0" applyNumberFormat="1" applyFont="1" applyBorder="1"/>
    <xf numFmtId="164" fontId="1" fillId="0" borderId="0" xfId="0" applyNumberFormat="1" applyFont="1"/>
    <xf numFmtId="164" fontId="1" fillId="0" borderId="10" xfId="0" applyNumberFormat="1" applyFont="1" applyBorder="1"/>
    <xf numFmtId="164" fontId="1" fillId="0" borderId="2" xfId="0" applyNumberFormat="1" applyFont="1" applyBorder="1"/>
    <xf numFmtId="10" fontId="1" fillId="0" borderId="0" xfId="3" applyNumberFormat="1" applyFont="1"/>
    <xf numFmtId="10" fontId="1" fillId="0" borderId="2" xfId="3" applyNumberFormat="1" applyFont="1" applyBorder="1"/>
    <xf numFmtId="10" fontId="1" fillId="0" borderId="0" xfId="0" applyNumberFormat="1" applyFont="1"/>
    <xf numFmtId="10" fontId="1" fillId="0" borderId="2" xfId="0" applyNumberFormat="1" applyFont="1" applyBorder="1"/>
    <xf numFmtId="168" fontId="0" fillId="0" borderId="0" xfId="0" applyNumberFormat="1"/>
    <xf numFmtId="0" fontId="0" fillId="0" borderId="0" xfId="0" applyNumberFormat="1" applyFont="1"/>
    <xf numFmtId="0" fontId="9" fillId="0" borderId="0" xfId="0" applyFont="1"/>
    <xf numFmtId="0" fontId="1" fillId="0" borderId="1" xfId="0" applyFont="1" applyFill="1" applyBorder="1"/>
    <xf numFmtId="0" fontId="0" fillId="0" borderId="4" xfId="0" applyNumberFormat="1" applyBorder="1"/>
    <xf numFmtId="0" fontId="0" fillId="0" borderId="11" xfId="0" applyBorder="1"/>
    <xf numFmtId="164" fontId="0" fillId="0" borderId="11" xfId="0" applyNumberFormat="1" applyBorder="1"/>
    <xf numFmtId="164" fontId="0" fillId="0" borderId="1" xfId="0" applyNumberFormat="1" applyBorder="1"/>
    <xf numFmtId="9" fontId="0" fillId="0" borderId="2" xfId="3" applyFont="1" applyBorder="1"/>
    <xf numFmtId="10" fontId="0" fillId="0" borderId="0" xfId="3" applyNumberFormat="1" applyFont="1"/>
    <xf numFmtId="0" fontId="1" fillId="0" borderId="7" xfId="0" applyFont="1" applyFill="1" applyBorder="1"/>
    <xf numFmtId="0" fontId="0" fillId="0" borderId="7" xfId="3" quotePrefix="1" applyNumberFormat="1" applyFont="1" applyBorder="1"/>
    <xf numFmtId="0" fontId="0" fillId="0" borderId="9" xfId="3" quotePrefix="1" applyNumberFormat="1" applyFont="1" applyBorder="1"/>
    <xf numFmtId="9" fontId="0" fillId="0" borderId="7" xfId="3" quotePrefix="1" applyFont="1" applyBorder="1"/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right" wrapText="1"/>
    </xf>
    <xf numFmtId="9" fontId="1" fillId="0" borderId="0" xfId="0" applyNumberFormat="1" applyFont="1" applyAlignment="1">
      <alignment horizontal="right" wrapText="1"/>
    </xf>
    <xf numFmtId="10" fontId="1" fillId="0" borderId="0" xfId="0" applyNumberFormat="1" applyFont="1" applyAlignment="1">
      <alignment horizontal="right" wrapText="1"/>
    </xf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9" fontId="0" fillId="0" borderId="0" xfId="0" applyNumberFormat="1"/>
    <xf numFmtId="0" fontId="0" fillId="0" borderId="0" xfId="0" applyNumberFormat="1"/>
    <xf numFmtId="0" fontId="8" fillId="0" borderId="0" xfId="0" applyFont="1"/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9" fontId="0" fillId="0" borderId="0" xfId="0" applyNumberFormat="1"/>
    <xf numFmtId="0" fontId="1" fillId="0" borderId="0" xfId="0" applyFont="1"/>
    <xf numFmtId="0" fontId="0" fillId="0" borderId="0" xfId="0" applyNumberFormat="1"/>
    <xf numFmtId="0" fontId="1" fillId="0" borderId="0" xfId="0" applyNumberFormat="1" applyFont="1"/>
    <xf numFmtId="0" fontId="0" fillId="0" borderId="0" xfId="0"/>
    <xf numFmtId="0" fontId="0" fillId="0" borderId="0" xfId="0" applyNumberFormat="1"/>
    <xf numFmtId="0" fontId="0" fillId="0" borderId="0" xfId="0"/>
    <xf numFmtId="9" fontId="0" fillId="0" borderId="0" xfId="0" applyNumberFormat="1"/>
    <xf numFmtId="0" fontId="1" fillId="0" borderId="0" xfId="0" applyFont="1"/>
    <xf numFmtId="0" fontId="0" fillId="0" borderId="0" xfId="0" applyNumberFormat="1"/>
    <xf numFmtId="0" fontId="0" fillId="0" borderId="0" xfId="0"/>
    <xf numFmtId="9" fontId="0" fillId="0" borderId="0" xfId="0" applyNumberFormat="1"/>
    <xf numFmtId="9" fontId="1" fillId="0" borderId="0" xfId="0" applyNumberFormat="1" applyFont="1"/>
    <xf numFmtId="0" fontId="1" fillId="0" borderId="0" xfId="0" applyFont="1"/>
    <xf numFmtId="0" fontId="0" fillId="0" borderId="0" xfId="0" applyNumberFormat="1"/>
    <xf numFmtId="0" fontId="1" fillId="0" borderId="0" xfId="0" applyNumberFormat="1" applyFont="1"/>
    <xf numFmtId="0" fontId="0" fillId="0" borderId="0" xfId="0"/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9" fontId="0" fillId="0" borderId="0" xfId="0" applyNumberFormat="1"/>
    <xf numFmtId="0" fontId="1" fillId="0" borderId="0" xfId="0" applyFont="1"/>
    <xf numFmtId="0" fontId="0" fillId="0" borderId="0" xfId="0" applyNumberFormat="1"/>
    <xf numFmtId="2" fontId="1" fillId="0" borderId="0" xfId="0" applyNumberFormat="1" applyFont="1" applyAlignment="1">
      <alignment horizontal="left" wrapText="1"/>
    </xf>
    <xf numFmtId="9" fontId="1" fillId="0" borderId="0" xfId="3" applyNumberFormat="1" applyFont="1" applyAlignment="1">
      <alignment horizontal="right" wrapText="1"/>
    </xf>
    <xf numFmtId="0" fontId="1" fillId="0" borderId="0" xfId="0" applyNumberFormat="1" applyFont="1" applyAlignment="1">
      <alignment horizontal="right" wrapText="1"/>
    </xf>
    <xf numFmtId="0" fontId="1" fillId="4" borderId="0" xfId="0" applyFont="1" applyFill="1"/>
    <xf numFmtId="0" fontId="0" fillId="4" borderId="0" xfId="0" applyFill="1"/>
    <xf numFmtId="165" fontId="0" fillId="4" borderId="0" xfId="3" applyNumberFormat="1" applyFont="1" applyFill="1"/>
    <xf numFmtId="0" fontId="0" fillId="5" borderId="0" xfId="0" applyFill="1"/>
    <xf numFmtId="0" fontId="1" fillId="0" borderId="4" xfId="0" applyFont="1" applyBorder="1"/>
    <xf numFmtId="9" fontId="1" fillId="0" borderId="0" xfId="3" applyFont="1" applyAlignment="1">
      <alignment horizontal="right" wrapText="1"/>
    </xf>
    <xf numFmtId="0" fontId="4" fillId="0" borderId="0" xfId="0" applyFont="1" applyAlignment="1"/>
    <xf numFmtId="0" fontId="0" fillId="0" borderId="2" xfId="0" applyBorder="1"/>
    <xf numFmtId="0" fontId="0" fillId="0" borderId="4" xfId="0" applyBorder="1"/>
    <xf numFmtId="9" fontId="0" fillId="0" borderId="0" xfId="0" applyNumberFormat="1" applyFill="1"/>
    <xf numFmtId="9" fontId="5" fillId="0" borderId="0" xfId="0" applyNumberFormat="1" applyFont="1" applyBorder="1"/>
    <xf numFmtId="9" fontId="1" fillId="0" borderId="0" xfId="0" applyNumberFormat="1" applyFont="1" applyFill="1" applyBorder="1"/>
    <xf numFmtId="9" fontId="1" fillId="0" borderId="0" xfId="0" applyNumberFormat="1" applyFont="1" applyAlignment="1">
      <alignment horizontal="left" wrapText="1"/>
    </xf>
    <xf numFmtId="0" fontId="1" fillId="0" borderId="0" xfId="0" applyFont="1" applyAlignment="1">
      <alignment wrapText="1"/>
    </xf>
    <xf numFmtId="2" fontId="1" fillId="0" borderId="1" xfId="0" applyNumberFormat="1" applyFont="1" applyBorder="1"/>
    <xf numFmtId="2" fontId="1" fillId="0" borderId="9" xfId="0" applyNumberFormat="1" applyFont="1" applyBorder="1"/>
    <xf numFmtId="164" fontId="0" fillId="0" borderId="4" xfId="0" applyNumberFormat="1" applyBorder="1"/>
    <xf numFmtId="164" fontId="0" fillId="0" borderId="5" xfId="0" applyNumberFormat="1" applyBorder="1"/>
    <xf numFmtId="1" fontId="1" fillId="0" borderId="0" xfId="0" applyNumberFormat="1" applyFont="1" applyFill="1" applyBorder="1"/>
    <xf numFmtId="164" fontId="9" fillId="0" borderId="0" xfId="0" applyNumberFormat="1" applyFont="1"/>
    <xf numFmtId="164" fontId="9" fillId="0" borderId="2" xfId="0" applyNumberFormat="1" applyFont="1" applyBorder="1"/>
    <xf numFmtId="164" fontId="10" fillId="0" borderId="1" xfId="0" applyNumberFormat="1" applyFont="1" applyBorder="1"/>
    <xf numFmtId="164" fontId="10" fillId="0" borderId="5" xfId="0" applyNumberFormat="1" applyFont="1" applyBorder="1"/>
    <xf numFmtId="164" fontId="10" fillId="0" borderId="0" xfId="0" applyNumberFormat="1" applyFont="1"/>
    <xf numFmtId="164" fontId="10" fillId="0" borderId="2" xfId="0" applyNumberFormat="1" applyFont="1" applyBorder="1"/>
    <xf numFmtId="0" fontId="1" fillId="0" borderId="7" xfId="0" applyFont="1" applyBorder="1"/>
    <xf numFmtId="164" fontId="9" fillId="0" borderId="0" xfId="0" applyNumberFormat="1" applyFont="1" applyBorder="1"/>
    <xf numFmtId="2" fontId="1" fillId="0" borderId="0" xfId="0" applyNumberFormat="1" applyFont="1" applyBorder="1"/>
    <xf numFmtId="2" fontId="1" fillId="0" borderId="4" xfId="0" applyNumberFormat="1" applyFont="1" applyBorder="1"/>
    <xf numFmtId="2" fontId="1" fillId="0" borderId="5" xfId="0" applyNumberFormat="1" applyFont="1" applyBorder="1"/>
    <xf numFmtId="164" fontId="1" fillId="0" borderId="0" xfId="0" applyNumberFormat="1" applyFont="1" applyBorder="1"/>
    <xf numFmtId="1" fontId="0" fillId="0" borderId="0" xfId="0" applyNumberFormat="1" applyFill="1" applyBorder="1"/>
  </cellXfs>
  <cellStyles count="4">
    <cellStyle name="Comma" xfId="1" builtinId="3"/>
    <cellStyle name="Normal" xfId="0" builtinId="0"/>
    <cellStyle name="Normal_DPS Calculator - Mnk" xfId="2"/>
    <cellStyle name="Percent" xfId="3" builtinId="5"/>
  </cellStyles>
  <dxfs count="13">
    <dxf>
      <font>
        <condense val="0"/>
        <extend val="0"/>
        <color indexed="57"/>
      </font>
      <fill>
        <patternFill patternType="none">
          <bgColor indexed="65"/>
        </patternFill>
      </fill>
    </dxf>
    <dxf>
      <fill>
        <patternFill>
          <bgColor indexed="47"/>
        </patternFill>
      </fill>
    </dxf>
    <dxf>
      <fill>
        <patternFill>
          <bgColor indexed="42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>
          <bgColor indexed="47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>
          <bgColor indexed="19"/>
        </patternFill>
      </fill>
    </dxf>
    <dxf>
      <fill>
        <patternFill>
          <bgColor indexed="47"/>
        </patternFill>
      </fill>
    </dxf>
  </dxfs>
  <tableStyles count="0" defaultTableStyle="TableStyleMedium9" defaultPivotStyle="PivotStyleLight16"/>
  <colors>
    <mruColors>
      <color rgb="FF99CC00"/>
      <color rgb="FF99FF99"/>
      <color rgb="FFCCFFFF"/>
      <color rgb="FF00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ustin\Downloads\DW0HiShunTru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Gear"/>
      <sheetName val="Data"/>
      <sheetName val="Weaponskill"/>
      <sheetName val="Melee"/>
      <sheetName val="Gear Lists"/>
      <sheetName val="Other Lists"/>
      <sheetName val="Stats"/>
    </sheetNames>
    <sheetDataSet>
      <sheetData sheetId="0">
        <row r="38">
          <cell r="F38">
            <v>0.5</v>
          </cell>
          <cell r="G38">
            <v>0.5</v>
          </cell>
        </row>
        <row r="40">
          <cell r="F40">
            <v>1000</v>
          </cell>
          <cell r="G40">
            <v>1000</v>
          </cell>
        </row>
      </sheetData>
      <sheetData sheetId="1">
        <row r="3">
          <cell r="A3" t="str">
            <v>Katana</v>
          </cell>
        </row>
        <row r="4">
          <cell r="A4" t="str">
            <v>Dagger</v>
          </cell>
        </row>
        <row r="5">
          <cell r="A5" t="str">
            <v>Ranged</v>
          </cell>
        </row>
        <row r="6">
          <cell r="A6" t="str">
            <v>Shuriken</v>
          </cell>
        </row>
        <row r="7">
          <cell r="A7" t="str">
            <v>Head</v>
          </cell>
        </row>
        <row r="8">
          <cell r="A8" t="str">
            <v>Neck</v>
          </cell>
        </row>
        <row r="9">
          <cell r="A9" t="str">
            <v>Earring</v>
          </cell>
        </row>
        <row r="10">
          <cell r="A10" t="str">
            <v>Earring</v>
          </cell>
        </row>
        <row r="11">
          <cell r="A11" t="str">
            <v>Body</v>
          </cell>
        </row>
        <row r="12">
          <cell r="A12" t="str">
            <v>Hands</v>
          </cell>
        </row>
        <row r="13">
          <cell r="A13" t="str">
            <v>Ring</v>
          </cell>
        </row>
        <row r="14">
          <cell r="A14" t="str">
            <v>Ring</v>
          </cell>
        </row>
        <row r="15">
          <cell r="A15" t="str">
            <v>Back</v>
          </cell>
        </row>
        <row r="16">
          <cell r="A16" t="str">
            <v>Waist</v>
          </cell>
        </row>
        <row r="17">
          <cell r="A17" t="str">
            <v>Legs</v>
          </cell>
        </row>
        <row r="18">
          <cell r="A18" t="str">
            <v>Feet</v>
          </cell>
        </row>
        <row r="19">
          <cell r="A19" t="str">
            <v>Set Bonus</v>
          </cell>
        </row>
        <row r="20">
          <cell r="A20" t="str">
            <v>Custom</v>
          </cell>
        </row>
        <row r="22">
          <cell r="A22" t="str">
            <v>Total</v>
          </cell>
        </row>
      </sheetData>
      <sheetData sheetId="2">
        <row r="20">
          <cell r="K20">
            <v>0</v>
          </cell>
          <cell r="L20">
            <v>0</v>
          </cell>
        </row>
        <row r="42">
          <cell r="G42">
            <v>75</v>
          </cell>
          <cell r="H42">
            <v>24</v>
          </cell>
          <cell r="I42">
            <v>24</v>
          </cell>
        </row>
        <row r="43">
          <cell r="G43">
            <v>80</v>
          </cell>
          <cell r="H43">
            <v>36</v>
          </cell>
          <cell r="I43">
            <v>36</v>
          </cell>
        </row>
        <row r="44">
          <cell r="G44">
            <v>85</v>
          </cell>
          <cell r="H44">
            <v>36</v>
          </cell>
          <cell r="I44">
            <v>36</v>
          </cell>
        </row>
        <row r="45">
          <cell r="G45">
            <v>90</v>
          </cell>
          <cell r="H45">
            <v>36</v>
          </cell>
          <cell r="I45">
            <v>36</v>
          </cell>
        </row>
        <row r="46">
          <cell r="G46">
            <v>95</v>
          </cell>
          <cell r="H46">
            <v>45</v>
          </cell>
          <cell r="I46">
            <v>45</v>
          </cell>
        </row>
        <row r="47">
          <cell r="G47">
            <v>99</v>
          </cell>
          <cell r="H47">
            <v>45</v>
          </cell>
          <cell r="I47">
            <v>45</v>
          </cell>
        </row>
        <row r="48">
          <cell r="G48">
            <v>119</v>
          </cell>
          <cell r="H48">
            <v>45</v>
          </cell>
          <cell r="I48">
            <v>45</v>
          </cell>
        </row>
        <row r="112">
          <cell r="D112">
            <v>0.99</v>
          </cell>
          <cell r="E112">
            <v>0.99</v>
          </cell>
        </row>
        <row r="226">
          <cell r="D226">
            <v>0.18</v>
          </cell>
          <cell r="E226">
            <v>0.23</v>
          </cell>
        </row>
        <row r="227">
          <cell r="D227">
            <v>0.21</v>
          </cell>
          <cell r="E227">
            <v>0.13</v>
          </cell>
        </row>
        <row r="228">
          <cell r="D228">
            <v>0</v>
          </cell>
          <cell r="E228">
            <v>0</v>
          </cell>
        </row>
        <row r="235">
          <cell r="D235">
            <v>17</v>
          </cell>
          <cell r="E235">
            <v>50</v>
          </cell>
        </row>
        <row r="236">
          <cell r="B236">
            <v>81</v>
          </cell>
          <cell r="C236">
            <v>88</v>
          </cell>
          <cell r="D236">
            <v>54</v>
          </cell>
          <cell r="E236">
            <v>81</v>
          </cell>
        </row>
        <row r="274">
          <cell r="D274">
            <v>0</v>
          </cell>
          <cell r="E274">
            <v>0.19073486328125</v>
          </cell>
        </row>
        <row r="275">
          <cell r="D275">
            <v>0</v>
          </cell>
          <cell r="E275">
            <v>750</v>
          </cell>
        </row>
        <row r="276">
          <cell r="D276">
            <v>0</v>
          </cell>
          <cell r="E276">
            <v>0</v>
          </cell>
        </row>
        <row r="277">
          <cell r="D277">
            <v>1.3</v>
          </cell>
          <cell r="E277">
            <v>1.05</v>
          </cell>
        </row>
        <row r="281">
          <cell r="D281">
            <v>0</v>
          </cell>
          <cell r="E281">
            <v>0</v>
          </cell>
        </row>
      </sheetData>
      <sheetData sheetId="3"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539">
          <cell r="E539">
            <v>0</v>
          </cell>
        </row>
        <row r="540">
          <cell r="E540">
            <v>0</v>
          </cell>
        </row>
        <row r="541">
          <cell r="E541">
            <v>0</v>
          </cell>
        </row>
      </sheetData>
      <sheetData sheetId="4">
        <row r="12">
          <cell r="Q12">
            <v>0</v>
          </cell>
          <cell r="R12">
            <v>0</v>
          </cell>
          <cell r="T12">
            <v>0</v>
          </cell>
          <cell r="U12">
            <v>0</v>
          </cell>
        </row>
        <row r="13">
          <cell r="Q13">
            <v>1</v>
          </cell>
          <cell r="R13">
            <v>1.0000302986934979</v>
          </cell>
          <cell r="T13">
            <v>1</v>
          </cell>
          <cell r="U13">
            <v>1.0000375380499644</v>
          </cell>
        </row>
        <row r="14">
          <cell r="Q14">
            <v>2</v>
          </cell>
          <cell r="R14">
            <v>1.0037186388473518</v>
          </cell>
          <cell r="T14">
            <v>2</v>
          </cell>
          <cell r="U14">
            <v>1.0045887818686532</v>
          </cell>
        </row>
        <row r="15">
          <cell r="Q15">
            <v>3</v>
          </cell>
          <cell r="R15">
            <v>1.074168319935511</v>
          </cell>
          <cell r="T15">
            <v>3</v>
          </cell>
          <cell r="U15">
            <v>1.0896891642585884</v>
          </cell>
        </row>
        <row r="16">
          <cell r="Q16">
            <v>4</v>
          </cell>
          <cell r="R16">
            <v>1.3003619399995963</v>
          </cell>
          <cell r="T16">
            <v>4</v>
          </cell>
          <cell r="U16">
            <v>1.3335378878877389</v>
          </cell>
        </row>
        <row r="17">
          <cell r="Q17">
            <v>5</v>
          </cell>
          <cell r="R17">
            <v>1.5317669872768693</v>
          </cell>
          <cell r="T17">
            <v>5</v>
          </cell>
          <cell r="U17">
            <v>1.5860165941228905</v>
          </cell>
        </row>
        <row r="18">
          <cell r="H18">
            <v>1.8438749999999997</v>
          </cell>
          <cell r="Q18">
            <v>6</v>
          </cell>
          <cell r="R18">
            <v>1.8511732336913858</v>
          </cell>
          <cell r="T18">
            <v>6</v>
          </cell>
          <cell r="U18">
            <v>1.8928925627556674</v>
          </cell>
        </row>
        <row r="19">
          <cell r="Q19">
            <v>7</v>
          </cell>
          <cell r="R19">
            <v>2.0496581934446914</v>
          </cell>
          <cell r="T19">
            <v>7</v>
          </cell>
          <cell r="U19">
            <v>2.1011919351360921</v>
          </cell>
        </row>
        <row r="20">
          <cell r="Q20">
            <v>8</v>
          </cell>
          <cell r="R20">
            <v>2.2729941571361403</v>
          </cell>
          <cell r="T20">
            <v>8</v>
          </cell>
          <cell r="U20">
            <v>2.3285927175044696</v>
          </cell>
        </row>
        <row r="21">
          <cell r="Q21">
            <v>9</v>
          </cell>
          <cell r="R21">
            <v>2.4848035864789719</v>
          </cell>
          <cell r="T21">
            <v>9</v>
          </cell>
          <cell r="U21">
            <v>2.5566038459685987</v>
          </cell>
        </row>
        <row r="22">
          <cell r="Q22">
            <v>10</v>
          </cell>
          <cell r="R22">
            <v>2.7150191007763134</v>
          </cell>
          <cell r="T22">
            <v>10</v>
          </cell>
          <cell r="U22">
            <v>2.7989041536175026</v>
          </cell>
        </row>
        <row r="23">
          <cell r="Q23">
            <v>11</v>
          </cell>
          <cell r="R23">
            <v>2.9605788459864253</v>
          </cell>
          <cell r="T23">
            <v>11</v>
          </cell>
          <cell r="U23">
            <v>3.0462489025355759</v>
          </cell>
        </row>
        <row r="24">
          <cell r="Q24">
            <v>12</v>
          </cell>
          <cell r="R24">
            <v>3.186255548938941</v>
          </cell>
          <cell r="T24">
            <v>12</v>
          </cell>
          <cell r="U24">
            <v>3.2798416515533724</v>
          </cell>
        </row>
        <row r="25">
          <cell r="Q25">
            <v>13</v>
          </cell>
          <cell r="R25">
            <v>3.4146651409950675</v>
          </cell>
          <cell r="T25">
            <v>13</v>
          </cell>
          <cell r="U25">
            <v>3.5152632594686182</v>
          </cell>
        </row>
        <row r="26">
          <cell r="Q26">
            <v>14</v>
          </cell>
          <cell r="R26">
            <v>3.6395501815776794</v>
          </cell>
          <cell r="T26">
            <v>14</v>
          </cell>
          <cell r="U26">
            <v>3.750770632055541</v>
          </cell>
        </row>
        <row r="27">
          <cell r="Q27">
            <v>15</v>
          </cell>
          <cell r="R27">
            <v>3.8694361191996993</v>
          </cell>
          <cell r="T27">
            <v>15</v>
          </cell>
          <cell r="U27">
            <v>3.9892272982040899</v>
          </cell>
        </row>
        <row r="28">
          <cell r="Q28">
            <v>16</v>
          </cell>
          <cell r="R28">
            <v>4.1008261463096929</v>
          </cell>
          <cell r="T28">
            <v>16</v>
          </cell>
          <cell r="U28">
            <v>4.2276595093785927</v>
          </cell>
        </row>
        <row r="29">
          <cell r="Q29">
            <v>17</v>
          </cell>
          <cell r="R29">
            <v>4.3298513562087644</v>
          </cell>
          <cell r="T29">
            <v>17</v>
          </cell>
          <cell r="U29">
            <v>4.4645267899826315</v>
          </cell>
        </row>
        <row r="30">
          <cell r="Q30">
            <v>18</v>
          </cell>
          <cell r="R30">
            <v>4.5590168128622652</v>
          </cell>
          <cell r="T30">
            <v>18</v>
          </cell>
          <cell r="U30">
            <v>4.7014567341551308</v>
          </cell>
        </row>
        <row r="31">
          <cell r="Q31">
            <v>19</v>
          </cell>
          <cell r="R31">
            <v>4.7872603348937064</v>
          </cell>
          <cell r="T31">
            <v>19</v>
          </cell>
          <cell r="U31">
            <v>4.9383961437840513</v>
          </cell>
        </row>
        <row r="32">
          <cell r="Q32">
            <v>20</v>
          </cell>
          <cell r="R32">
            <v>5.016554930163772</v>
          </cell>
          <cell r="T32">
            <v>20</v>
          </cell>
          <cell r="U32">
            <v>5.1758437033095541</v>
          </cell>
        </row>
        <row r="33">
          <cell r="F33">
            <v>1.7693749999999997</v>
          </cell>
          <cell r="Q33">
            <v>21</v>
          </cell>
          <cell r="R33">
            <v>5.2460144538951248</v>
          </cell>
          <cell r="T33">
            <v>21</v>
          </cell>
          <cell r="U33">
            <v>5.4132352729786808</v>
          </cell>
        </row>
        <row r="34">
          <cell r="Q34">
            <v>22</v>
          </cell>
          <cell r="R34">
            <v>5.4752485861250246</v>
          </cell>
          <cell r="T34">
            <v>22</v>
          </cell>
          <cell r="U34">
            <v>5.6504405894968475</v>
          </cell>
        </row>
        <row r="35">
          <cell r="Q35">
            <v>23</v>
          </cell>
          <cell r="R35">
            <v>5.7044112163240053</v>
          </cell>
          <cell r="T35">
            <v>23</v>
          </cell>
          <cell r="U35">
            <v>5.8876180360213102</v>
          </cell>
        </row>
        <row r="36">
          <cell r="Q36">
            <v>24</v>
          </cell>
          <cell r="R36">
            <v>5.9334025931291201</v>
          </cell>
          <cell r="T36">
            <v>24</v>
          </cell>
          <cell r="U36">
            <v>6.1248094559449946</v>
          </cell>
        </row>
        <row r="37">
          <cell r="Q37">
            <v>25</v>
          </cell>
          <cell r="R37">
            <v>6.1625814786975246</v>
          </cell>
          <cell r="T37">
            <v>25</v>
          </cell>
          <cell r="U37">
            <v>6.3620779745074003</v>
          </cell>
        </row>
        <row r="38">
          <cell r="Q38">
            <v>26</v>
          </cell>
          <cell r="R38">
            <v>6.391777679150259</v>
          </cell>
          <cell r="T38">
            <v>26</v>
          </cell>
          <cell r="U38">
            <v>6.5993347836099554</v>
          </cell>
        </row>
        <row r="39">
          <cell r="E39">
            <v>4.3637499999999996</v>
          </cell>
          <cell r="Q39">
            <v>27</v>
          </cell>
          <cell r="R39">
            <v>6.6209670365551876</v>
          </cell>
          <cell r="T39">
            <v>27</v>
          </cell>
          <cell r="U39">
            <v>6.8365687515168929</v>
          </cell>
        </row>
        <row r="40">
          <cell r="Q40">
            <v>28</v>
          </cell>
          <cell r="R40">
            <v>6.8501280982640278</v>
          </cell>
          <cell r="T40">
            <v>28</v>
          </cell>
          <cell r="U40">
            <v>7.0737938169544519</v>
          </cell>
        </row>
        <row r="41">
          <cell r="Q41">
            <v>29</v>
          </cell>
          <cell r="R41">
            <v>7.0792603446212672</v>
          </cell>
          <cell r="T41">
            <v>29</v>
          </cell>
          <cell r="U41">
            <v>7.3110229726147677</v>
          </cell>
        </row>
        <row r="42">
          <cell r="Q42">
            <v>30</v>
          </cell>
          <cell r="R42">
            <v>7.3084216127089237</v>
          </cell>
          <cell r="T42">
            <v>30</v>
          </cell>
          <cell r="U42">
            <v>7.5482631556399333</v>
          </cell>
        </row>
        <row r="43">
          <cell r="Q43">
            <v>31</v>
          </cell>
          <cell r="R43">
            <v>7.5375860882660382</v>
          </cell>
          <cell r="T43">
            <v>31</v>
          </cell>
          <cell r="U43">
            <v>7.7855017738688561</v>
          </cell>
        </row>
        <row r="44">
          <cell r="Q44">
            <v>32</v>
          </cell>
          <cell r="R44">
            <v>7.766754100170024</v>
          </cell>
          <cell r="T44">
            <v>32</v>
          </cell>
          <cell r="U44">
            <v>8.0227373042302528</v>
          </cell>
        </row>
        <row r="45">
          <cell r="Q45">
            <v>33</v>
          </cell>
          <cell r="R45">
            <v>7.9959148847274708</v>
          </cell>
          <cell r="T45">
            <v>33</v>
          </cell>
          <cell r="U45">
            <v>8.2599709715518568</v>
          </cell>
        </row>
        <row r="46">
          <cell r="Q46">
            <v>34</v>
          </cell>
          <cell r="R46">
            <v>8.2250711780391814</v>
          </cell>
          <cell r="T46">
            <v>34</v>
          </cell>
          <cell r="U46">
            <v>8.4972055169640868</v>
          </cell>
        </row>
        <row r="47">
          <cell r="Q47">
            <v>35</v>
          </cell>
          <cell r="R47">
            <v>8.4542313392244193</v>
          </cell>
          <cell r="T47">
            <v>35</v>
          </cell>
          <cell r="U47">
            <v>8.7344415996692977</v>
          </cell>
        </row>
        <row r="48">
          <cell r="Q48">
            <v>36</v>
          </cell>
          <cell r="R48">
            <v>8.6833923567650757</v>
          </cell>
          <cell r="T48">
            <v>36</v>
          </cell>
          <cell r="U48">
            <v>8.9716775313404344</v>
          </cell>
        </row>
        <row r="49">
          <cell r="Q49">
            <v>37</v>
          </cell>
          <cell r="R49">
            <v>8.9125546052672604</v>
          </cell>
          <cell r="T49">
            <v>37</v>
          </cell>
          <cell r="U49">
            <v>9.2089130048157859</v>
          </cell>
        </row>
        <row r="50">
          <cell r="Q50">
            <v>38</v>
          </cell>
          <cell r="R50">
            <v>9.1417153609723059</v>
          </cell>
          <cell r="T50">
            <v>38</v>
          </cell>
          <cell r="U50">
            <v>9.4461481491716359</v>
          </cell>
        </row>
        <row r="51">
          <cell r="Q51">
            <v>39</v>
          </cell>
          <cell r="R51">
            <v>9.3708754297993089</v>
          </cell>
          <cell r="T51">
            <v>39</v>
          </cell>
          <cell r="U51">
            <v>9.6833834512307924</v>
          </cell>
        </row>
        <row r="52">
          <cell r="Q52">
            <v>40</v>
          </cell>
          <cell r="R52">
            <v>9.6000359063746856</v>
          </cell>
          <cell r="T52">
            <v>40</v>
          </cell>
          <cell r="U52">
            <v>9.9206189681729313</v>
          </cell>
        </row>
        <row r="53">
          <cell r="Q53">
            <v>41</v>
          </cell>
          <cell r="R53">
            <v>9.8291966145319698</v>
          </cell>
          <cell r="T53">
            <v>41</v>
          </cell>
          <cell r="U53">
            <v>10.157854478622337</v>
          </cell>
        </row>
        <row r="54">
          <cell r="Q54">
            <v>42</v>
          </cell>
          <cell r="R54">
            <v>10.058357606298349</v>
          </cell>
          <cell r="T54">
            <v>42</v>
          </cell>
          <cell r="U54">
            <v>10.395089916725119</v>
          </cell>
        </row>
        <row r="55">
          <cell r="Q55">
            <v>43</v>
          </cell>
          <cell r="R55">
            <v>10.287518330963721</v>
          </cell>
          <cell r="T55">
            <v>43</v>
          </cell>
          <cell r="U55">
            <v>10.632325301521888</v>
          </cell>
        </row>
        <row r="56">
          <cell r="Q56">
            <v>44</v>
          </cell>
          <cell r="R56">
            <v>10.516678947519527</v>
          </cell>
          <cell r="T56">
            <v>44</v>
          </cell>
          <cell r="U56">
            <v>10.869560711703947</v>
          </cell>
        </row>
        <row r="57">
          <cell r="Q57">
            <v>45</v>
          </cell>
          <cell r="R57">
            <v>10.745839585644182</v>
          </cell>
          <cell r="T57">
            <v>45</v>
          </cell>
          <cell r="U57">
            <v>11.10679615259177</v>
          </cell>
        </row>
        <row r="58">
          <cell r="Q58">
            <v>46</v>
          </cell>
          <cell r="R58">
            <v>10.975000279479001</v>
          </cell>
          <cell r="T58">
            <v>46</v>
          </cell>
          <cell r="U58">
            <v>11.344031594902455</v>
          </cell>
        </row>
        <row r="59">
          <cell r="H59">
            <v>1.7882369999999999</v>
          </cell>
          <cell r="Q59">
            <v>47</v>
          </cell>
          <cell r="R59">
            <v>11.204161029056953</v>
          </cell>
          <cell r="T59">
            <v>47</v>
          </cell>
          <cell r="U59">
            <v>11.581267025545786</v>
          </cell>
        </row>
        <row r="60">
          <cell r="Q60">
            <v>48</v>
          </cell>
          <cell r="R60">
            <v>11.433321736752269</v>
          </cell>
          <cell r="T60">
            <v>48</v>
          </cell>
          <cell r="U60">
            <v>11.818502447947834</v>
          </cell>
        </row>
        <row r="61">
          <cell r="Q61">
            <v>49</v>
          </cell>
          <cell r="R61">
            <v>11.662482426222878</v>
          </cell>
          <cell r="T61">
            <v>49</v>
          </cell>
          <cell r="U61">
            <v>12.055737874137765</v>
          </cell>
        </row>
        <row r="62">
          <cell r="Q62">
            <v>50</v>
          </cell>
          <cell r="R62">
            <v>11.891643111290604</v>
          </cell>
          <cell r="T62">
            <v>50</v>
          </cell>
          <cell r="U62">
            <v>12.29297330485157</v>
          </cell>
        </row>
        <row r="63">
          <cell r="Q63">
            <v>51</v>
          </cell>
          <cell r="R63">
            <v>12.120803808233038</v>
          </cell>
          <cell r="T63">
            <v>51</v>
          </cell>
          <cell r="U63">
            <v>12.530208736088875</v>
          </cell>
        </row>
        <row r="64">
          <cell r="Q64">
            <v>52</v>
          </cell>
          <cell r="R64">
            <v>12.349964515267521</v>
          </cell>
          <cell r="T64">
            <v>52</v>
          </cell>
          <cell r="U64">
            <v>12.767444165454581</v>
          </cell>
        </row>
        <row r="65">
          <cell r="Q65">
            <v>53</v>
          </cell>
          <cell r="R65">
            <v>12.579125216675955</v>
          </cell>
          <cell r="T65">
            <v>53</v>
          </cell>
          <cell r="U65">
            <v>13.004679593571803</v>
          </cell>
        </row>
        <row r="66">
          <cell r="Q66">
            <v>54</v>
          </cell>
          <cell r="R66">
            <v>12.808285914782189</v>
          </cell>
          <cell r="T66">
            <v>54</v>
          </cell>
          <cell r="U66">
            <v>13.241915022225081</v>
          </cell>
        </row>
        <row r="67">
          <cell r="Q67">
            <v>55</v>
          </cell>
          <cell r="R67">
            <v>13.037446610903702</v>
          </cell>
          <cell r="T67">
            <v>55</v>
          </cell>
          <cell r="U67">
            <v>13.479150451563966</v>
          </cell>
        </row>
        <row r="68">
          <cell r="Q68">
            <v>56</v>
          </cell>
          <cell r="R68">
            <v>13.266607309287128</v>
          </cell>
          <cell r="T68">
            <v>56</v>
          </cell>
          <cell r="U68">
            <v>13.716385881018084</v>
          </cell>
        </row>
        <row r="69">
          <cell r="Q69">
            <v>57</v>
          </cell>
          <cell r="R69">
            <v>13.49576800942044</v>
          </cell>
          <cell r="T69">
            <v>57</v>
          </cell>
          <cell r="U69">
            <v>13.953621310177128</v>
          </cell>
        </row>
        <row r="70">
          <cell r="Q70">
            <v>58</v>
          </cell>
          <cell r="R70">
            <v>13.724928708970349</v>
          </cell>
          <cell r="T70">
            <v>58</v>
          </cell>
          <cell r="U70">
            <v>14.190856739147579</v>
          </cell>
        </row>
        <row r="71">
          <cell r="Q71">
            <v>59</v>
          </cell>
          <cell r="R71">
            <v>13.954089407897388</v>
          </cell>
          <cell r="T71">
            <v>59</v>
          </cell>
          <cell r="U71">
            <v>14.428092168191203</v>
          </cell>
        </row>
        <row r="72">
          <cell r="Q72">
            <v>60</v>
          </cell>
          <cell r="R72">
            <v>14.183250106313254</v>
          </cell>
          <cell r="T72">
            <v>60</v>
          </cell>
          <cell r="U72">
            <v>14.665327597340756</v>
          </cell>
        </row>
        <row r="73">
          <cell r="Q73">
            <v>61</v>
          </cell>
          <cell r="R73">
            <v>14.412410805114687</v>
          </cell>
          <cell r="T73">
            <v>61</v>
          </cell>
          <cell r="U73">
            <v>14.902563026511755</v>
          </cell>
        </row>
        <row r="74">
          <cell r="Q74">
            <v>62</v>
          </cell>
          <cell r="R74">
            <v>14.641571504214069</v>
          </cell>
          <cell r="T74">
            <v>62</v>
          </cell>
          <cell r="U74">
            <v>15.139798455637154</v>
          </cell>
        </row>
        <row r="75">
          <cell r="F75">
            <v>1.7159849999999999</v>
          </cell>
          <cell r="Q75">
            <v>63</v>
          </cell>
          <cell r="R75">
            <v>14.870732203290428</v>
          </cell>
          <cell r="T75">
            <v>63</v>
          </cell>
          <cell r="U75">
            <v>15.377033884733844</v>
          </cell>
        </row>
        <row r="76">
          <cell r="Q76">
            <v>64</v>
          </cell>
          <cell r="R76">
            <v>15.099892902249607</v>
          </cell>
          <cell r="T76">
            <v>64</v>
          </cell>
          <cell r="U76">
            <v>15.6142693138403</v>
          </cell>
        </row>
        <row r="77">
          <cell r="Q77">
            <v>65</v>
          </cell>
          <cell r="R77">
            <v>15.329053601099444</v>
          </cell>
          <cell r="T77">
            <v>65</v>
          </cell>
          <cell r="U77">
            <v>15.851504742963273</v>
          </cell>
        </row>
        <row r="78">
          <cell r="Q78">
            <v>66</v>
          </cell>
          <cell r="R78">
            <v>15.558214300007188</v>
          </cell>
          <cell r="T78">
            <v>66</v>
          </cell>
          <cell r="U78">
            <v>16.088740172089942</v>
          </cell>
        </row>
        <row r="79">
          <cell r="Q79">
            <v>67</v>
          </cell>
          <cell r="R79">
            <v>15.787374998965504</v>
          </cell>
          <cell r="T79">
            <v>67</v>
          </cell>
          <cell r="U79">
            <v>16.325975601209688</v>
          </cell>
        </row>
        <row r="80">
          <cell r="Q80">
            <v>68</v>
          </cell>
          <cell r="R80">
            <v>16.016535697933669</v>
          </cell>
          <cell r="T80">
            <v>68</v>
          </cell>
          <cell r="U80">
            <v>16.563211030325014</v>
          </cell>
        </row>
        <row r="81">
          <cell r="E81">
            <v>4.2152219999999998</v>
          </cell>
          <cell r="Q81">
            <v>69</v>
          </cell>
          <cell r="R81">
            <v>16.245696396880611</v>
          </cell>
          <cell r="T81">
            <v>69</v>
          </cell>
          <cell r="U81">
            <v>16.800446459441627</v>
          </cell>
        </row>
        <row r="82">
          <cell r="Q82">
            <v>70</v>
          </cell>
          <cell r="R82">
            <v>16.474857095806321</v>
          </cell>
          <cell r="T82">
            <v>70</v>
          </cell>
          <cell r="U82">
            <v>17.037681888560815</v>
          </cell>
        </row>
        <row r="83">
          <cell r="Q83">
            <v>71</v>
          </cell>
          <cell r="R83">
            <v>16.704017794739283</v>
          </cell>
          <cell r="T83">
            <v>71</v>
          </cell>
          <cell r="U83">
            <v>17.274917317680622</v>
          </cell>
        </row>
        <row r="84">
          <cell r="Q84">
            <v>72</v>
          </cell>
          <cell r="R84">
            <v>16.933178493680842</v>
          </cell>
          <cell r="T84">
            <v>72</v>
          </cell>
          <cell r="U84">
            <v>17.512152746799391</v>
          </cell>
        </row>
        <row r="85">
          <cell r="Q85">
            <v>73</v>
          </cell>
          <cell r="R85">
            <v>17.162339192626341</v>
          </cell>
          <cell r="T85">
            <v>73</v>
          </cell>
          <cell r="U85">
            <v>17.749388175917471</v>
          </cell>
        </row>
        <row r="86">
          <cell r="Q86">
            <v>74</v>
          </cell>
          <cell r="R86">
            <v>17.391499891568241</v>
          </cell>
          <cell r="T86">
            <v>74</v>
          </cell>
          <cell r="U86">
            <v>17.986623605035721</v>
          </cell>
        </row>
        <row r="87">
          <cell r="Q87">
            <v>75</v>
          </cell>
          <cell r="R87">
            <v>17.620660590506262</v>
          </cell>
          <cell r="T87">
            <v>75</v>
          </cell>
          <cell r="U87">
            <v>18.223859034154369</v>
          </cell>
        </row>
        <row r="88">
          <cell r="Q88">
            <v>76</v>
          </cell>
          <cell r="R88">
            <v>17.849821289444883</v>
          </cell>
          <cell r="T88">
            <v>76</v>
          </cell>
          <cell r="U88">
            <v>18.46109446327312</v>
          </cell>
        </row>
        <row r="89">
          <cell r="Q89">
            <v>77</v>
          </cell>
          <cell r="R89">
            <v>18.078981988384957</v>
          </cell>
          <cell r="T89">
            <v>77</v>
          </cell>
          <cell r="U89">
            <v>18.698329892391715</v>
          </cell>
        </row>
        <row r="90">
          <cell r="Q90">
            <v>78</v>
          </cell>
          <cell r="R90">
            <v>18.308142687326054</v>
          </cell>
          <cell r="T90">
            <v>78</v>
          </cell>
          <cell r="U90">
            <v>18.935565321510207</v>
          </cell>
        </row>
        <row r="91">
          <cell r="Q91">
            <v>79</v>
          </cell>
          <cell r="R91">
            <v>18.537303386266586</v>
          </cell>
          <cell r="T91">
            <v>79</v>
          </cell>
          <cell r="U91">
            <v>19.172800750628717</v>
          </cell>
        </row>
        <row r="92">
          <cell r="Q92">
            <v>80</v>
          </cell>
          <cell r="R92">
            <v>18.766464085206444</v>
          </cell>
          <cell r="T92">
            <v>80</v>
          </cell>
          <cell r="U92">
            <v>19.410036179747291</v>
          </cell>
        </row>
        <row r="93">
          <cell r="Q93">
            <v>81</v>
          </cell>
          <cell r="R93">
            <v>18.995624784146273</v>
          </cell>
          <cell r="T93">
            <v>81</v>
          </cell>
          <cell r="U93">
            <v>19.647271608865871</v>
          </cell>
        </row>
        <row r="94">
          <cell r="Q94">
            <v>82</v>
          </cell>
          <cell r="R94">
            <v>19.224785483086343</v>
          </cell>
          <cell r="T94">
            <v>82</v>
          </cell>
          <cell r="U94">
            <v>19.884507037984445</v>
          </cell>
        </row>
        <row r="95">
          <cell r="Q95">
            <v>83</v>
          </cell>
          <cell r="R95">
            <v>19.453946182026634</v>
          </cell>
          <cell r="T95">
            <v>83</v>
          </cell>
          <cell r="U95">
            <v>20.121742467102994</v>
          </cell>
        </row>
        <row r="96">
          <cell r="Q96">
            <v>84</v>
          </cell>
          <cell r="R96">
            <v>19.683106880966854</v>
          </cell>
          <cell r="T96">
            <v>84</v>
          </cell>
          <cell r="U96">
            <v>20.358977896221546</v>
          </cell>
        </row>
        <row r="97">
          <cell r="Q97">
            <v>85</v>
          </cell>
          <cell r="R97">
            <v>19.912267579906956</v>
          </cell>
          <cell r="T97">
            <v>85</v>
          </cell>
          <cell r="U97">
            <v>20.596213325340109</v>
          </cell>
        </row>
        <row r="98">
          <cell r="Q98">
            <v>86</v>
          </cell>
          <cell r="R98">
            <v>20.141428278847027</v>
          </cell>
          <cell r="T98">
            <v>86</v>
          </cell>
          <cell r="U98">
            <v>20.833448754458672</v>
          </cell>
        </row>
        <row r="99">
          <cell r="Q99">
            <v>87</v>
          </cell>
          <cell r="R99">
            <v>20.370588977787143</v>
          </cell>
          <cell r="T99">
            <v>87</v>
          </cell>
          <cell r="U99">
            <v>21.070684183577232</v>
          </cell>
        </row>
        <row r="100">
          <cell r="Q100">
            <v>88</v>
          </cell>
          <cell r="R100">
            <v>20.599749676727299</v>
          </cell>
          <cell r="T100">
            <v>88</v>
          </cell>
          <cell r="U100">
            <v>21.307919612695795</v>
          </cell>
        </row>
        <row r="101">
          <cell r="Q101">
            <v>89</v>
          </cell>
          <cell r="R101">
            <v>20.828910375667444</v>
          </cell>
          <cell r="T101">
            <v>89</v>
          </cell>
          <cell r="U101">
            <v>21.545155041814354</v>
          </cell>
        </row>
        <row r="102">
          <cell r="Q102">
            <v>90</v>
          </cell>
          <cell r="R102">
            <v>21.058071074607575</v>
          </cell>
          <cell r="T102">
            <v>90</v>
          </cell>
          <cell r="U102">
            <v>21.782390470932913</v>
          </cell>
        </row>
        <row r="103">
          <cell r="Q103">
            <v>91</v>
          </cell>
          <cell r="R103">
            <v>21.287231773547695</v>
          </cell>
          <cell r="T103">
            <v>91</v>
          </cell>
          <cell r="U103">
            <v>22.019625900051466</v>
          </cell>
        </row>
        <row r="104">
          <cell r="Q104">
            <v>92</v>
          </cell>
          <cell r="R104">
            <v>21.516392472487819</v>
          </cell>
          <cell r="T104">
            <v>92</v>
          </cell>
          <cell r="U104">
            <v>22.256861329170036</v>
          </cell>
        </row>
        <row r="105">
          <cell r="Q105">
            <v>93</v>
          </cell>
          <cell r="R105">
            <v>21.745553171427957</v>
          </cell>
          <cell r="T105">
            <v>93</v>
          </cell>
          <cell r="U105">
            <v>22.494096758288595</v>
          </cell>
        </row>
        <row r="106">
          <cell r="Q106">
            <v>94</v>
          </cell>
          <cell r="R106">
            <v>21.974713870368092</v>
          </cell>
          <cell r="T106">
            <v>94</v>
          </cell>
          <cell r="U106">
            <v>22.731332187407151</v>
          </cell>
        </row>
        <row r="107">
          <cell r="Q107">
            <v>95</v>
          </cell>
          <cell r="R107">
            <v>22.203874569308219</v>
          </cell>
          <cell r="T107">
            <v>95</v>
          </cell>
          <cell r="U107">
            <v>22.968567616525714</v>
          </cell>
        </row>
        <row r="108">
          <cell r="Q108">
            <v>96</v>
          </cell>
          <cell r="R108">
            <v>22.43303526824835</v>
          </cell>
          <cell r="T108">
            <v>96</v>
          </cell>
          <cell r="U108">
            <v>23.205803045644274</v>
          </cell>
        </row>
        <row r="109">
          <cell r="Q109">
            <v>97</v>
          </cell>
          <cell r="R109">
            <v>22.662195967188481</v>
          </cell>
          <cell r="T109">
            <v>97</v>
          </cell>
          <cell r="U109">
            <v>23.443038474762837</v>
          </cell>
        </row>
        <row r="110">
          <cell r="Q110">
            <v>98</v>
          </cell>
          <cell r="R110">
            <v>22.891356666128608</v>
          </cell>
          <cell r="T110">
            <v>98</v>
          </cell>
          <cell r="U110">
            <v>23.680273903881396</v>
          </cell>
        </row>
        <row r="111">
          <cell r="Q111">
            <v>99</v>
          </cell>
          <cell r="R111">
            <v>23.120517365068739</v>
          </cell>
          <cell r="T111">
            <v>99</v>
          </cell>
          <cell r="U111">
            <v>23.917509332999956</v>
          </cell>
        </row>
        <row r="112">
          <cell r="Q112">
            <v>100</v>
          </cell>
          <cell r="R112">
            <v>23.349678064008874</v>
          </cell>
          <cell r="T112">
            <v>100</v>
          </cell>
          <cell r="U112">
            <v>24.154744762118519</v>
          </cell>
        </row>
      </sheetData>
      <sheetData sheetId="5">
        <row r="1">
          <cell r="B1" t="str">
            <v>Skill</v>
          </cell>
          <cell r="C1" t="str">
            <v>DSkill</v>
          </cell>
          <cell r="D1" t="str">
            <v>TSkill</v>
          </cell>
          <cell r="E1" t="str">
            <v>S3</v>
          </cell>
          <cell r="F1" t="str">
            <v>CombatSkill</v>
          </cell>
          <cell r="G1" t="str">
            <v>Str</v>
          </cell>
          <cell r="H1" t="str">
            <v>Dex</v>
          </cell>
          <cell r="I1" t="str">
            <v>Vit</v>
          </cell>
          <cell r="J1" t="str">
            <v>Agi</v>
          </cell>
          <cell r="K1" t="str">
            <v>Int</v>
          </cell>
          <cell r="L1" t="str">
            <v>Mnd</v>
          </cell>
          <cell r="M1" t="str">
            <v>Chr</v>
          </cell>
          <cell r="N1" t="str">
            <v>Acc</v>
          </cell>
          <cell r="O1" t="str">
            <v>Att</v>
          </cell>
          <cell r="P1" t="str">
            <v>Att%</v>
          </cell>
          <cell r="Q1" t="str">
            <v>R.Acc</v>
          </cell>
          <cell r="R1" t="str">
            <v>R.Att</v>
          </cell>
          <cell r="S1" t="str">
            <v>M.Acc</v>
          </cell>
          <cell r="T1" t="str">
            <v>MAB</v>
          </cell>
          <cell r="U1" t="str">
            <v>MDmg</v>
          </cell>
          <cell r="V1" t="str">
            <v>DA</v>
          </cell>
          <cell r="W1" t="str">
            <v>TA</v>
          </cell>
          <cell r="X1" t="str">
            <v>QA</v>
          </cell>
          <cell r="Y1" t="str">
            <v>KA</v>
          </cell>
          <cell r="Z1" t="str">
            <v>Zan</v>
          </cell>
          <cell r="AA1" t="str">
            <v>DW</v>
          </cell>
          <cell r="AB1" t="str">
            <v>Haste</v>
          </cell>
          <cell r="AC1" t="str">
            <v>C.Rate</v>
          </cell>
          <cell r="AD1" t="str">
            <v>C.Dmg</v>
          </cell>
          <cell r="AE1" t="str">
            <v>Store TP</v>
          </cell>
          <cell r="AF1" t="str">
            <v>Regain</v>
          </cell>
          <cell r="AG1" t="str">
            <v>TP Bonus</v>
          </cell>
          <cell r="AH1" t="str">
            <v>WSDmg</v>
          </cell>
          <cell r="AI1" t="str">
            <v>fTP</v>
          </cell>
          <cell r="AJ1" t="str">
            <v>DfTP</v>
          </cell>
          <cell r="AK1" t="str">
            <v>Save TP</v>
          </cell>
          <cell r="AL1" t="str">
            <v>CTP</v>
          </cell>
          <cell r="AM1" t="str">
            <v>Daken</v>
          </cell>
          <cell r="AN1" t="str">
            <v>Dmg</v>
          </cell>
          <cell r="AO1" t="str">
            <v>Dly</v>
          </cell>
          <cell r="AP1" t="str">
            <v>OAx</v>
          </cell>
          <cell r="AQ1" t="str">
            <v>OA2</v>
          </cell>
          <cell r="AR1" t="str">
            <v>OA3</v>
          </cell>
          <cell r="AS1" t="str">
            <v>OA4</v>
          </cell>
          <cell r="AT1" t="str">
            <v>OA5</v>
          </cell>
          <cell r="AU1" t="str">
            <v>OA6</v>
          </cell>
          <cell r="AV1" t="str">
            <v>OA7</v>
          </cell>
          <cell r="AW1" t="str">
            <v>OA8</v>
          </cell>
          <cell r="AX1" t="str">
            <v>AM3</v>
          </cell>
          <cell r="AY1" t="str">
            <v>AM3-2</v>
          </cell>
          <cell r="AZ1" t="str">
            <v>AM3-3</v>
          </cell>
          <cell r="BA1" t="str">
            <v>AEDmg</v>
          </cell>
          <cell r="BB1" t="str">
            <v>FollowUp</v>
          </cell>
          <cell r="BC1" t="str">
            <v>PDL</v>
          </cell>
        </row>
        <row r="71">
          <cell r="A71" t="str">
            <v>Aliyat</v>
          </cell>
        </row>
        <row r="72">
          <cell r="A72" t="str">
            <v>Ifrit's Bow</v>
          </cell>
        </row>
        <row r="73">
          <cell r="A73" t="str">
            <v>Ungur</v>
          </cell>
        </row>
        <row r="99">
          <cell r="A99" t="str">
            <v>Adhemar HQ A</v>
          </cell>
        </row>
        <row r="100">
          <cell r="A100" t="str">
            <v>Adhemar HQ B</v>
          </cell>
        </row>
        <row r="101">
          <cell r="A101" t="str">
            <v>Adhemar NQ A</v>
          </cell>
        </row>
        <row r="102">
          <cell r="A102" t="str">
            <v>Adhemar NQ B</v>
          </cell>
        </row>
        <row r="103">
          <cell r="A103" t="str">
            <v>Damp. Tam (Max)</v>
          </cell>
        </row>
        <row r="104">
          <cell r="A104" t="str">
            <v>Felistris Mask</v>
          </cell>
        </row>
        <row r="105">
          <cell r="A105" t="str">
            <v>Gavialis</v>
          </cell>
        </row>
        <row r="106">
          <cell r="A106" t="str">
            <v>Hachiya</v>
          </cell>
        </row>
        <row r="107">
          <cell r="A107" t="str">
            <v>Hachiya +1</v>
          </cell>
        </row>
        <row r="108">
          <cell r="A108" t="str">
            <v>Hachiya +2</v>
          </cell>
        </row>
        <row r="109">
          <cell r="A109" t="str">
            <v>Hachiya +3</v>
          </cell>
        </row>
        <row r="110">
          <cell r="A110" t="str">
            <v>Hattori +1</v>
          </cell>
        </row>
        <row r="111">
          <cell r="A111" t="str">
            <v>Herc. Dex TA +</v>
          </cell>
        </row>
        <row r="112">
          <cell r="A112" t="str">
            <v>Herc. Dex STP +</v>
          </cell>
        </row>
        <row r="113">
          <cell r="A113" t="str">
            <v>Herc. Dex CritR +</v>
          </cell>
        </row>
        <row r="114">
          <cell r="A114" t="str">
            <v>Herc. Dex CritD +</v>
          </cell>
        </row>
        <row r="115">
          <cell r="A115" t="str">
            <v>Herc. Dex WSD +</v>
          </cell>
        </row>
        <row r="116">
          <cell r="A116" t="str">
            <v>Herc. Agi CritR +</v>
          </cell>
        </row>
        <row r="117">
          <cell r="A117" t="str">
            <v>Herc. Agi CritD +</v>
          </cell>
        </row>
        <row r="118">
          <cell r="A118" t="str">
            <v>Herc. Agi TA +</v>
          </cell>
        </row>
        <row r="119">
          <cell r="A119" t="str">
            <v>Herc. Agi WSD +</v>
          </cell>
        </row>
        <row r="120">
          <cell r="A120" t="str">
            <v>Herc. STR WSD +</v>
          </cell>
        </row>
        <row r="121">
          <cell r="A121" t="str">
            <v>Hizamaru +1</v>
          </cell>
        </row>
        <row r="122">
          <cell r="A122" t="str">
            <v>Hizamaru +2</v>
          </cell>
        </row>
        <row r="123">
          <cell r="A123" t="str">
            <v>Imperial Hairpin +1 (Aug)</v>
          </cell>
        </row>
        <row r="124">
          <cell r="A124" t="str">
            <v xml:space="preserve">Kendatsuba </v>
          </cell>
        </row>
        <row r="125">
          <cell r="A125" t="str">
            <v>Kendatsuba +1</v>
          </cell>
        </row>
        <row r="126">
          <cell r="A126" t="str">
            <v>Lilitu</v>
          </cell>
        </row>
        <row r="127">
          <cell r="A127" t="str">
            <v>Malignance Chapeau</v>
          </cell>
        </row>
        <row r="128">
          <cell r="A128" t="str">
            <v>Mochizuki</v>
          </cell>
        </row>
        <row r="129">
          <cell r="A129" t="str">
            <v>Mochizuki +1</v>
          </cell>
        </row>
        <row r="130">
          <cell r="A130" t="str">
            <v>Mochizuki +2</v>
          </cell>
        </row>
        <row r="131">
          <cell r="A131" t="str">
            <v>Mochizuki +3</v>
          </cell>
        </row>
        <row r="132">
          <cell r="A132" t="str">
            <v>Mummu +2</v>
          </cell>
        </row>
        <row r="133">
          <cell r="A133" t="str">
            <v>Ryuo</v>
          </cell>
        </row>
        <row r="134">
          <cell r="A134" t="str">
            <v>Smilodon +1</v>
          </cell>
        </row>
        <row r="135">
          <cell r="A135" t="str">
            <v>Skormoth</v>
          </cell>
        </row>
        <row r="136">
          <cell r="A136" t="str">
            <v>Taeon Crit</v>
          </cell>
        </row>
        <row r="137">
          <cell r="A137" t="str">
            <v>Taeon TP</v>
          </cell>
        </row>
        <row r="138">
          <cell r="A138" t="str">
            <v>Rawhide A</v>
          </cell>
        </row>
        <row r="139">
          <cell r="A139" t="str">
            <v>Rao B</v>
          </cell>
        </row>
        <row r="140">
          <cell r="A140" t="str">
            <v>Ryuo NQ A</v>
          </cell>
        </row>
        <row r="141">
          <cell r="A141" t="str">
            <v>Ryuo HQ A</v>
          </cell>
        </row>
        <row r="142">
          <cell r="A142" t="str">
            <v>Ryuo NQ C</v>
          </cell>
        </row>
        <row r="143">
          <cell r="A143" t="str">
            <v>Ryuo HQ C</v>
          </cell>
        </row>
        <row r="144">
          <cell r="A144" t="str">
            <v>Uk'uxkaj</v>
          </cell>
        </row>
        <row r="145">
          <cell r="A145" t="str">
            <v>Whirlpool</v>
          </cell>
        </row>
        <row r="149">
          <cell r="A149" t="str">
            <v>Ainia Collar</v>
          </cell>
        </row>
        <row r="150">
          <cell r="A150" t="str">
            <v>Asperity</v>
          </cell>
        </row>
        <row r="151">
          <cell r="A151" t="str">
            <v>Caro Necklace</v>
          </cell>
        </row>
        <row r="152">
          <cell r="A152" t="str">
            <v>Clotharius</v>
          </cell>
        </row>
        <row r="153">
          <cell r="A153" t="str">
            <v>Combatant</v>
          </cell>
        </row>
        <row r="154">
          <cell r="A154" t="str">
            <v>Erudit. Necklace</v>
          </cell>
        </row>
        <row r="155">
          <cell r="A155" t="str">
            <v>Ej Necklace +1</v>
          </cell>
        </row>
        <row r="156">
          <cell r="A156" t="str">
            <v>Fotia</v>
          </cell>
        </row>
        <row r="157">
          <cell r="A157" t="str">
            <v>Gorget</v>
          </cell>
        </row>
        <row r="158">
          <cell r="A158" t="str">
            <v>Iga</v>
          </cell>
        </row>
        <row r="159">
          <cell r="A159" t="str">
            <v>Iskur Gorget</v>
          </cell>
        </row>
        <row r="160">
          <cell r="A160" t="str">
            <v>Lacono +1</v>
          </cell>
        </row>
        <row r="161">
          <cell r="A161" t="str">
            <v>Lissome Necklace</v>
          </cell>
        </row>
        <row r="162">
          <cell r="A162" t="str">
            <v>Moepapa</v>
          </cell>
        </row>
        <row r="163">
          <cell r="A163" t="str">
            <v>Moonbeam Nodowa</v>
          </cell>
        </row>
        <row r="164">
          <cell r="A164" t="str">
            <v>Moonlight Nodowa</v>
          </cell>
        </row>
        <row r="165">
          <cell r="A165" t="str">
            <v>Nefarious +1</v>
          </cell>
        </row>
        <row r="166">
          <cell r="A166" t="str">
            <v>Ninja's (Aug)</v>
          </cell>
        </row>
        <row r="167">
          <cell r="A167" t="str">
            <v>Ninja's +1 (Aug)</v>
          </cell>
        </row>
        <row r="168">
          <cell r="A168" t="str">
            <v>Ninja's +2 (Aug)</v>
          </cell>
        </row>
        <row r="169">
          <cell r="A169" t="str">
            <v>Portus</v>
          </cell>
        </row>
        <row r="170">
          <cell r="A170" t="str">
            <v>Rancor Max</v>
          </cell>
        </row>
        <row r="171">
          <cell r="A171" t="str">
            <v>Tiercel</v>
          </cell>
        </row>
        <row r="172">
          <cell r="A172" t="str">
            <v>Ygnas (reive)</v>
          </cell>
        </row>
        <row r="173">
          <cell r="A173" t="str">
            <v>Ygnas +1 (reive)</v>
          </cell>
        </row>
        <row r="177">
          <cell r="A177" t="str">
            <v>Balder +1 (Right)</v>
          </cell>
        </row>
        <row r="178">
          <cell r="A178" t="str">
            <v>Brutal</v>
          </cell>
        </row>
        <row r="179">
          <cell r="A179" t="str">
            <v>Cessance Earring</v>
          </cell>
        </row>
        <row r="180">
          <cell r="A180" t="str">
            <v>Dedition</v>
          </cell>
        </row>
        <row r="181">
          <cell r="A181" t="str">
            <v>Dignitary's Earring</v>
          </cell>
        </row>
        <row r="182">
          <cell r="A182" t="str">
            <v>Dudgeon</v>
          </cell>
        </row>
        <row r="183">
          <cell r="A183" t="str">
            <v>Eabani Earring</v>
          </cell>
        </row>
        <row r="184">
          <cell r="A184" t="str">
            <v>Heartseeker</v>
          </cell>
        </row>
        <row r="185">
          <cell r="A185" t="str">
            <v>Iga</v>
          </cell>
        </row>
        <row r="186">
          <cell r="A186" t="str">
            <v>Ishvara</v>
          </cell>
        </row>
        <row r="187">
          <cell r="A187" t="str">
            <v>Lugra</v>
          </cell>
        </row>
        <row r="188">
          <cell r="A188" t="str">
            <v>Lugra +1</v>
          </cell>
        </row>
        <row r="189">
          <cell r="A189" t="str">
            <v>Lugra +1 (Aug)</v>
          </cell>
        </row>
        <row r="190">
          <cell r="A190" t="str">
            <v>Neritic</v>
          </cell>
        </row>
        <row r="191">
          <cell r="A191" t="str">
            <v>Mache</v>
          </cell>
        </row>
        <row r="192">
          <cell r="A192" t="str">
            <v>Mache +1</v>
          </cell>
        </row>
        <row r="193">
          <cell r="A193" t="str">
            <v>Moonshade AccRg</v>
          </cell>
        </row>
        <row r="194">
          <cell r="A194" t="str">
            <v>Moonshade AccTP</v>
          </cell>
        </row>
        <row r="195">
          <cell r="A195" t="str">
            <v>Moonshade AttRg</v>
          </cell>
        </row>
        <row r="196">
          <cell r="A196" t="str">
            <v>Moonshade AttTP</v>
          </cell>
        </row>
        <row r="197">
          <cell r="A197" t="str">
            <v>Odr Earring</v>
          </cell>
        </row>
        <row r="198">
          <cell r="A198" t="str">
            <v>Suppanomimi</v>
          </cell>
        </row>
        <row r="199">
          <cell r="A199" t="str">
            <v>Tati +1</v>
          </cell>
        </row>
        <row r="200">
          <cell r="A200" t="str">
            <v>Telos</v>
          </cell>
        </row>
        <row r="201">
          <cell r="A201" t="str">
            <v>Tripudio</v>
          </cell>
        </row>
        <row r="202">
          <cell r="A202" t="str">
            <v>Trux</v>
          </cell>
        </row>
        <row r="203">
          <cell r="A203" t="str">
            <v>Zennaroi</v>
          </cell>
        </row>
        <row r="207">
          <cell r="A207" t="str">
            <v>Abnoba</v>
          </cell>
        </row>
        <row r="208">
          <cell r="A208" t="str">
            <v>Adhemar HQ A</v>
          </cell>
        </row>
        <row r="209">
          <cell r="A209" t="str">
            <v>Adhemar HQ B</v>
          </cell>
        </row>
        <row r="210">
          <cell r="A210" t="str">
            <v>Adhemar NQ A</v>
          </cell>
        </row>
        <row r="211">
          <cell r="A211" t="str">
            <v>Adhemar NQ B</v>
          </cell>
        </row>
        <row r="212">
          <cell r="A212" t="str">
            <v>Agony Jerkin +1</v>
          </cell>
        </row>
        <row r="213">
          <cell r="A213" t="str">
            <v>Ashera Harness</v>
          </cell>
        </row>
        <row r="214">
          <cell r="A214" t="str">
            <v>Enforcer's</v>
          </cell>
        </row>
        <row r="215">
          <cell r="A215" t="str">
            <v>Foppish NQ</v>
          </cell>
        </row>
        <row r="216">
          <cell r="A216" t="str">
            <v>Foppish HQ</v>
          </cell>
        </row>
        <row r="217">
          <cell r="A217" t="str">
            <v>Hachiya</v>
          </cell>
        </row>
        <row r="218">
          <cell r="A218" t="str">
            <v>Hachiya +1</v>
          </cell>
        </row>
        <row r="219">
          <cell r="A219" t="str">
            <v>Hachiya +2</v>
          </cell>
        </row>
        <row r="220">
          <cell r="A220" t="str">
            <v>Hachiya +3</v>
          </cell>
        </row>
        <row r="221">
          <cell r="A221" t="str">
            <v>Herc. Dex TA +</v>
          </cell>
        </row>
        <row r="222">
          <cell r="A222" t="str">
            <v>Herc. Dex STP +</v>
          </cell>
        </row>
        <row r="223">
          <cell r="A223" t="str">
            <v>Herc. Dex CritR +</v>
          </cell>
        </row>
        <row r="224">
          <cell r="A224" t="str">
            <v>Herc. Dex CritD +</v>
          </cell>
        </row>
        <row r="225">
          <cell r="A225" t="str">
            <v>Herc. Dex WSD +</v>
          </cell>
        </row>
        <row r="226">
          <cell r="A226" t="str">
            <v>Herc. Agi TA +</v>
          </cell>
        </row>
        <row r="227">
          <cell r="A227" t="str">
            <v>Herc. Agi CritR +</v>
          </cell>
        </row>
        <row r="228">
          <cell r="A228" t="str">
            <v>Herc. Agi CritD +</v>
          </cell>
        </row>
        <row r="229">
          <cell r="A229" t="str">
            <v>Herc. Agi WSD +</v>
          </cell>
        </row>
        <row r="230">
          <cell r="A230" t="str">
            <v>Herc. STR WSD +</v>
          </cell>
        </row>
        <row r="231">
          <cell r="A231" t="str">
            <v>Herc. Dark Matter</v>
          </cell>
        </row>
        <row r="232">
          <cell r="A232" t="str">
            <v>Hizamaru +1</v>
          </cell>
        </row>
        <row r="233">
          <cell r="A233" t="str">
            <v>Hizamaru +2</v>
          </cell>
        </row>
        <row r="234">
          <cell r="A234" t="str">
            <v xml:space="preserve">Kendatsuba </v>
          </cell>
        </row>
        <row r="235">
          <cell r="A235" t="str">
            <v>Kendatsuba +1</v>
          </cell>
        </row>
        <row r="236">
          <cell r="A236" t="str">
            <v>Malignance Tabard</v>
          </cell>
        </row>
        <row r="237">
          <cell r="A237" t="str">
            <v>Mekosuchinae</v>
          </cell>
        </row>
        <row r="238">
          <cell r="A238" t="str">
            <v>Mochizuki</v>
          </cell>
        </row>
        <row r="239">
          <cell r="A239" t="str">
            <v>Mochizuki +1</v>
          </cell>
        </row>
        <row r="240">
          <cell r="A240" t="str">
            <v>Mochizuki +2</v>
          </cell>
        </row>
        <row r="241">
          <cell r="A241" t="str">
            <v>Mochizuki +3</v>
          </cell>
        </row>
        <row r="242">
          <cell r="A242" t="str">
            <v>Mummu +2</v>
          </cell>
        </row>
        <row r="243">
          <cell r="A243" t="str">
            <v>Otronif</v>
          </cell>
        </row>
        <row r="244">
          <cell r="A244" t="str">
            <v>Otronif +1</v>
          </cell>
        </row>
        <row r="245">
          <cell r="A245" t="str">
            <v>Rawhide A</v>
          </cell>
        </row>
        <row r="246">
          <cell r="A246" t="str">
            <v>Rawhide D</v>
          </cell>
        </row>
        <row r="247">
          <cell r="A247" t="str">
            <v>Rao</v>
          </cell>
        </row>
        <row r="248">
          <cell r="A248" t="str">
            <v>Ryuo NQ A</v>
          </cell>
        </row>
        <row r="249">
          <cell r="A249" t="str">
            <v>Ryuo HQ A</v>
          </cell>
        </row>
        <row r="250">
          <cell r="A250" t="str">
            <v>Ryuo NQ C</v>
          </cell>
        </row>
        <row r="251">
          <cell r="A251" t="str">
            <v>Ryuo HQ C</v>
          </cell>
        </row>
        <row r="252">
          <cell r="A252" t="str">
            <v>Taeon Crit</v>
          </cell>
        </row>
        <row r="253">
          <cell r="A253" t="str">
            <v>Taeon TP</v>
          </cell>
        </row>
        <row r="254">
          <cell r="A254" t="str">
            <v>Tatenashi +1 (Aug)</v>
          </cell>
        </row>
        <row r="255">
          <cell r="A255" t="str">
            <v>Thaumas</v>
          </cell>
        </row>
        <row r="259">
          <cell r="A259" t="str">
            <v>Adhemar HQ A</v>
          </cell>
        </row>
        <row r="260">
          <cell r="A260" t="str">
            <v>Adhemar HQ B</v>
          </cell>
        </row>
        <row r="261">
          <cell r="A261" t="str">
            <v>Adhemar NQ A</v>
          </cell>
        </row>
        <row r="262">
          <cell r="A262" t="str">
            <v>Adhemar NQ B</v>
          </cell>
        </row>
        <row r="263">
          <cell r="A263" t="str">
            <v>Floral</v>
          </cell>
        </row>
        <row r="264">
          <cell r="A264" t="str">
            <v>Hachiya</v>
          </cell>
        </row>
        <row r="265">
          <cell r="A265" t="str">
            <v>Hachiya +1</v>
          </cell>
        </row>
        <row r="266">
          <cell r="A266" t="str">
            <v>Hachiya +2</v>
          </cell>
        </row>
        <row r="267">
          <cell r="A267" t="str">
            <v>Hachiya +3</v>
          </cell>
        </row>
        <row r="268">
          <cell r="A268" t="str">
            <v>My Herc. Gloves</v>
          </cell>
        </row>
        <row r="269">
          <cell r="A269" t="str">
            <v>Herc. Dex TA +</v>
          </cell>
        </row>
        <row r="270">
          <cell r="A270" t="str">
            <v>Herc. Dex STP +</v>
          </cell>
        </row>
        <row r="271">
          <cell r="A271" t="str">
            <v>Herc. Dex CritR +</v>
          </cell>
        </row>
        <row r="272">
          <cell r="A272" t="str">
            <v>Herc. Dex CritD +</v>
          </cell>
        </row>
        <row r="273">
          <cell r="A273" t="str">
            <v>Herc. Dex WSD +</v>
          </cell>
        </row>
        <row r="274">
          <cell r="A274" t="str">
            <v>Herc. Agi TA +</v>
          </cell>
        </row>
        <row r="275">
          <cell r="A275" t="str">
            <v>Herc. Agi CritR +</v>
          </cell>
        </row>
        <row r="276">
          <cell r="A276" t="str">
            <v>Herc. Agi CritD +</v>
          </cell>
        </row>
        <row r="277">
          <cell r="A277" t="str">
            <v>Herc. Agi WSD +</v>
          </cell>
        </row>
        <row r="278">
          <cell r="A278" t="str">
            <v>Herc. STR WSD +</v>
          </cell>
        </row>
        <row r="279">
          <cell r="A279" t="str">
            <v>Hizamaru +1</v>
          </cell>
        </row>
        <row r="280">
          <cell r="A280" t="str">
            <v>Hizamaru +2</v>
          </cell>
        </row>
        <row r="281">
          <cell r="A281" t="str">
            <v xml:space="preserve">Kendatsuba </v>
          </cell>
        </row>
        <row r="282">
          <cell r="A282" t="str">
            <v>Kendatsuba +1</v>
          </cell>
        </row>
        <row r="283">
          <cell r="A283" t="str">
            <v>Kobo Kote</v>
          </cell>
        </row>
        <row r="284">
          <cell r="A284" t="str">
            <v>Malignance Gloves</v>
          </cell>
        </row>
        <row r="285">
          <cell r="A285" t="str">
            <v>Mochizuki</v>
          </cell>
        </row>
        <row r="286">
          <cell r="A286" t="str">
            <v>Mochizuki +1</v>
          </cell>
        </row>
        <row r="287">
          <cell r="A287" t="str">
            <v>Mochizuki +2</v>
          </cell>
        </row>
        <row r="288">
          <cell r="A288" t="str">
            <v>Mochizuki +3</v>
          </cell>
        </row>
        <row r="289">
          <cell r="A289" t="str">
            <v>Mummu +2</v>
          </cell>
        </row>
        <row r="290">
          <cell r="A290" t="str">
            <v>Onimusha-No-Kote</v>
          </cell>
        </row>
        <row r="291">
          <cell r="A291" t="str">
            <v>Ryuo NQ A</v>
          </cell>
        </row>
        <row r="292">
          <cell r="A292" t="str">
            <v>Ryuo HQ A</v>
          </cell>
        </row>
        <row r="293">
          <cell r="A293" t="str">
            <v>Ryuo NQ D</v>
          </cell>
        </row>
        <row r="294">
          <cell r="A294" t="str">
            <v>Ryuo HQ D</v>
          </cell>
        </row>
        <row r="295">
          <cell r="A295" t="str">
            <v>Rawhide A</v>
          </cell>
        </row>
        <row r="296">
          <cell r="A296" t="str">
            <v>Rawhide B</v>
          </cell>
        </row>
        <row r="297">
          <cell r="A297" t="str">
            <v>Taeon Crit</v>
          </cell>
        </row>
        <row r="298">
          <cell r="A298" t="str">
            <v>Taeon TP</v>
          </cell>
        </row>
        <row r="302">
          <cell r="A302" t="str">
            <v>Arvina +1</v>
          </cell>
        </row>
        <row r="303">
          <cell r="A303" t="str">
            <v>Apate</v>
          </cell>
        </row>
        <row r="304">
          <cell r="A304" t="str">
            <v>Begrudging (Max)</v>
          </cell>
        </row>
        <row r="305">
          <cell r="A305" t="str">
            <v>Cacoethic</v>
          </cell>
        </row>
        <row r="306">
          <cell r="A306" t="str">
            <v>Cacoethic+1</v>
          </cell>
        </row>
        <row r="307">
          <cell r="A307" t="str">
            <v>Chirich</v>
          </cell>
        </row>
        <row r="308">
          <cell r="A308" t="str">
            <v>Chirich +1</v>
          </cell>
        </row>
        <row r="309">
          <cell r="A309" t="str">
            <v>Dingir Ring</v>
          </cell>
        </row>
        <row r="310">
          <cell r="A310" t="str">
            <v>Dumakulem</v>
          </cell>
        </row>
        <row r="311">
          <cell r="A311" t="str">
            <v>Epaminondas</v>
          </cell>
        </row>
        <row r="312">
          <cell r="A312" t="str">
            <v>Epona</v>
          </cell>
        </row>
        <row r="313">
          <cell r="A313" t="str">
            <v>Fenrir</v>
          </cell>
        </row>
        <row r="314">
          <cell r="A314" t="str">
            <v>Fenrir +1</v>
          </cell>
        </row>
        <row r="315">
          <cell r="A315" t="str">
            <v>Garuda</v>
          </cell>
        </row>
        <row r="316">
          <cell r="A316" t="str">
            <v>Garuda +1</v>
          </cell>
        </row>
        <row r="317">
          <cell r="A317" t="str">
            <v>Gere</v>
          </cell>
        </row>
        <row r="318">
          <cell r="A318" t="str">
            <v>Haverton</v>
          </cell>
        </row>
        <row r="319">
          <cell r="A319" t="str">
            <v>Haverton +1</v>
          </cell>
        </row>
        <row r="320">
          <cell r="A320" t="str">
            <v>Hetairaoi Ring</v>
          </cell>
        </row>
        <row r="321">
          <cell r="A321" t="str">
            <v>Ifrit</v>
          </cell>
        </row>
        <row r="322">
          <cell r="A322" t="str">
            <v>Ifrit +1</v>
          </cell>
        </row>
        <row r="323">
          <cell r="A323" t="str">
            <v>Ilabrat Ring</v>
          </cell>
        </row>
        <row r="324">
          <cell r="A324" t="str">
            <v>K'ayres</v>
          </cell>
        </row>
        <row r="325">
          <cell r="A325" t="str">
            <v>Karieyh +1</v>
          </cell>
        </row>
        <row r="326">
          <cell r="A326" t="str">
            <v>Leviathan</v>
          </cell>
        </row>
        <row r="327">
          <cell r="A327" t="str">
            <v>Leviathan +1</v>
          </cell>
        </row>
        <row r="328">
          <cell r="A328" t="str">
            <v>Moonbeam Ring</v>
          </cell>
        </row>
        <row r="329">
          <cell r="A329" t="str">
            <v>Moonlight Ring</v>
          </cell>
        </row>
        <row r="330">
          <cell r="A330" t="str">
            <v>Mummu +2</v>
          </cell>
        </row>
        <row r="331">
          <cell r="A331" t="str">
            <v>Patricius</v>
          </cell>
        </row>
        <row r="332">
          <cell r="A332" t="str">
            <v>Petrov</v>
          </cell>
        </row>
        <row r="333">
          <cell r="A333" t="str">
            <v>Rajas</v>
          </cell>
        </row>
        <row r="334">
          <cell r="A334" t="str">
            <v>Ramuh</v>
          </cell>
        </row>
        <row r="335">
          <cell r="A335" t="str">
            <v>Ramuh +1</v>
          </cell>
        </row>
        <row r="336">
          <cell r="A336" t="str">
            <v>Regal</v>
          </cell>
        </row>
        <row r="337">
          <cell r="A337" t="str">
            <v>Shiva</v>
          </cell>
        </row>
        <row r="338">
          <cell r="A338" t="str">
            <v>Shiva +1</v>
          </cell>
        </row>
        <row r="339">
          <cell r="A339" t="str">
            <v>Shukuyu Ring</v>
          </cell>
        </row>
        <row r="340">
          <cell r="A340" t="str">
            <v>Spiral</v>
          </cell>
        </row>
        <row r="341">
          <cell r="A341" t="str">
            <v>Titan</v>
          </cell>
        </row>
        <row r="342">
          <cell r="A342" t="str">
            <v>Titan +1</v>
          </cell>
        </row>
        <row r="343">
          <cell r="A343" t="str">
            <v>Ulthalam</v>
          </cell>
        </row>
        <row r="347">
          <cell r="A347" t="str">
            <v>Andartia DEX DA</v>
          </cell>
        </row>
        <row r="348">
          <cell r="A348" t="str">
            <v>Andartia DEX DW</v>
          </cell>
        </row>
        <row r="349">
          <cell r="A349" t="str">
            <v>Andartia DEX CritR</v>
          </cell>
        </row>
        <row r="350">
          <cell r="A350" t="str">
            <v>Andartia DEX WSD</v>
          </cell>
        </row>
        <row r="351">
          <cell r="A351" t="str">
            <v>Andartia DEX STP</v>
          </cell>
        </row>
        <row r="352">
          <cell r="A352" t="str">
            <v>Andartia AGI CritR</v>
          </cell>
        </row>
        <row r="353">
          <cell r="A353" t="str">
            <v>Andartia AGI WSD</v>
          </cell>
        </row>
        <row r="354">
          <cell r="A354" t="str">
            <v>Andartia STR WSD</v>
          </cell>
        </row>
        <row r="355">
          <cell r="A355" t="str">
            <v>Argochampsa</v>
          </cell>
        </row>
        <row r="356">
          <cell r="A356" t="str">
            <v>Bleating</v>
          </cell>
        </row>
        <row r="357">
          <cell r="A357" t="str">
            <v>Buquwik</v>
          </cell>
        </row>
        <row r="358">
          <cell r="A358" t="str">
            <v>Rancor Max</v>
          </cell>
        </row>
        <row r="359">
          <cell r="A359" t="str">
            <v>Trepidity (latent)</v>
          </cell>
        </row>
        <row r="360">
          <cell r="A360" t="str">
            <v>Yokaze</v>
          </cell>
        </row>
        <row r="364">
          <cell r="A364" t="str">
            <v>Anguinus</v>
          </cell>
        </row>
        <row r="365">
          <cell r="A365" t="str">
            <v>Artful +1</v>
          </cell>
        </row>
        <row r="366">
          <cell r="A366" t="str">
            <v>Beir +1</v>
          </cell>
        </row>
        <row r="367">
          <cell r="A367" t="str">
            <v>Caudata</v>
          </cell>
        </row>
        <row r="368">
          <cell r="A368" t="str">
            <v>Chiner's +1</v>
          </cell>
        </row>
        <row r="369">
          <cell r="A369" t="str">
            <v>Crudelis</v>
          </cell>
        </row>
        <row r="370">
          <cell r="A370" t="str">
            <v>Eschan</v>
          </cell>
        </row>
        <row r="371">
          <cell r="A371" t="str">
            <v>Ele.Belt</v>
          </cell>
        </row>
        <row r="372">
          <cell r="A372" t="str">
            <v>Fotia</v>
          </cell>
        </row>
        <row r="373">
          <cell r="A373" t="str">
            <v>Gerdr Belt +1</v>
          </cell>
        </row>
        <row r="374">
          <cell r="A374" t="str">
            <v>Goading</v>
          </cell>
        </row>
        <row r="375">
          <cell r="A375" t="str">
            <v>Grunfeld</v>
          </cell>
        </row>
        <row r="376">
          <cell r="A376" t="str">
            <v>Hurch'lan</v>
          </cell>
        </row>
        <row r="377">
          <cell r="A377" t="str">
            <v>Kentarch Belt +1</v>
          </cell>
        </row>
        <row r="378">
          <cell r="A378" t="str">
            <v>Metalsinger</v>
          </cell>
        </row>
        <row r="379">
          <cell r="A379" t="str">
            <v>Olseni</v>
          </cell>
        </row>
        <row r="380">
          <cell r="A380" t="str">
            <v>Patentia</v>
          </cell>
        </row>
        <row r="381">
          <cell r="A381" t="str">
            <v>Prosilio</v>
          </cell>
        </row>
        <row r="382">
          <cell r="A382" t="str">
            <v>Prosilio +1 (ws)</v>
          </cell>
        </row>
        <row r="383">
          <cell r="A383" t="str">
            <v>Pya'ekue</v>
          </cell>
        </row>
        <row r="384">
          <cell r="A384" t="str">
            <v>Reiki</v>
          </cell>
        </row>
        <row r="385">
          <cell r="A385" t="str">
            <v>Sailfi +1 (Aug)</v>
          </cell>
        </row>
        <row r="386">
          <cell r="A386" t="str">
            <v>Shetal</v>
          </cell>
        </row>
        <row r="387">
          <cell r="A387" t="str">
            <v>Sveltesse +1</v>
          </cell>
        </row>
        <row r="388">
          <cell r="A388" t="str">
            <v>Sweordfaetels +1</v>
          </cell>
        </row>
        <row r="389">
          <cell r="A389" t="str">
            <v>Twilight</v>
          </cell>
        </row>
        <row r="390">
          <cell r="A390" t="str">
            <v>Wanion</v>
          </cell>
        </row>
        <row r="391">
          <cell r="A391" t="str">
            <v>Windbuffet</v>
          </cell>
        </row>
        <row r="392">
          <cell r="A392" t="str">
            <v>Windbuffet +1</v>
          </cell>
        </row>
        <row r="396">
          <cell r="A396" t="str">
            <v>Adhemar HQ A</v>
          </cell>
        </row>
        <row r="397">
          <cell r="A397" t="str">
            <v>Adhemar HQ B</v>
          </cell>
        </row>
        <row r="398">
          <cell r="A398" t="str">
            <v>Adhemar NQ A</v>
          </cell>
        </row>
        <row r="399">
          <cell r="A399" t="str">
            <v>Adhemar NQ B</v>
          </cell>
        </row>
        <row r="400">
          <cell r="A400" t="str">
            <v>Hachiya</v>
          </cell>
        </row>
        <row r="401">
          <cell r="A401" t="str">
            <v>Hachiya +1</v>
          </cell>
        </row>
        <row r="402">
          <cell r="A402" t="str">
            <v>Hachiya +2</v>
          </cell>
        </row>
        <row r="403">
          <cell r="A403" t="str">
            <v>Hachiya +3</v>
          </cell>
        </row>
        <row r="404">
          <cell r="A404" t="str">
            <v>Herc. Dex TA +</v>
          </cell>
        </row>
        <row r="405">
          <cell r="A405" t="str">
            <v>Herc. Dex STP +</v>
          </cell>
        </row>
        <row r="406">
          <cell r="A406" t="str">
            <v>Herc. Dex CritR +</v>
          </cell>
        </row>
        <row r="407">
          <cell r="A407" t="str">
            <v>Herc. Dex CritD +</v>
          </cell>
        </row>
        <row r="408">
          <cell r="A408" t="str">
            <v>Herc. Dex WSD +</v>
          </cell>
        </row>
        <row r="409">
          <cell r="A409" t="str">
            <v>Herc. Agi TA +</v>
          </cell>
        </row>
        <row r="410">
          <cell r="A410" t="str">
            <v>Herc. Agi CritR +</v>
          </cell>
        </row>
        <row r="411">
          <cell r="A411" t="str">
            <v>Herc. Agi CritD +</v>
          </cell>
        </row>
        <row r="412">
          <cell r="A412" t="str">
            <v>Herc. Agi WSD +</v>
          </cell>
        </row>
        <row r="413">
          <cell r="A413" t="str">
            <v>Herc. STR WSD +</v>
          </cell>
        </row>
        <row r="414">
          <cell r="A414" t="str">
            <v>Hiza. Hizayoroi +1</v>
          </cell>
        </row>
        <row r="415">
          <cell r="A415" t="str">
            <v>Hiza. Hizayoroi +2</v>
          </cell>
        </row>
        <row r="416">
          <cell r="A416" t="str">
            <v>Ighwa</v>
          </cell>
        </row>
        <row r="417">
          <cell r="A417" t="str">
            <v>Jokushu</v>
          </cell>
        </row>
        <row r="418">
          <cell r="A418" t="str">
            <v>Kendatsuba</v>
          </cell>
        </row>
        <row r="419">
          <cell r="A419" t="str">
            <v>Kendatsuba +1</v>
          </cell>
        </row>
        <row r="420">
          <cell r="A420" t="str">
            <v>Malignance Tights</v>
          </cell>
        </row>
        <row r="421">
          <cell r="A421" t="str">
            <v>Mochizuki</v>
          </cell>
        </row>
        <row r="422">
          <cell r="A422" t="str">
            <v>Mochizuki +1</v>
          </cell>
        </row>
        <row r="423">
          <cell r="A423" t="str">
            <v>Mochizuki +2</v>
          </cell>
        </row>
        <row r="424">
          <cell r="A424" t="str">
            <v>Mochizuki +3</v>
          </cell>
        </row>
        <row r="425">
          <cell r="A425" t="str">
            <v>Mummu +2</v>
          </cell>
        </row>
        <row r="426">
          <cell r="A426" t="str">
            <v>Rao HQ B</v>
          </cell>
        </row>
        <row r="427">
          <cell r="A427" t="str">
            <v>Rao HQ D</v>
          </cell>
        </row>
        <row r="428">
          <cell r="A428" t="str">
            <v>Samnuha</v>
          </cell>
        </row>
        <row r="429">
          <cell r="A429" t="str">
            <v>Taeon Crit</v>
          </cell>
        </row>
        <row r="430">
          <cell r="A430" t="str">
            <v>Taeon TP</v>
          </cell>
        </row>
        <row r="431">
          <cell r="A431" t="str">
            <v>Ta'lab</v>
          </cell>
        </row>
        <row r="435">
          <cell r="A435" t="str">
            <v>Adhemar HQ A</v>
          </cell>
        </row>
        <row r="436">
          <cell r="A436" t="str">
            <v>Adhemar NQ A</v>
          </cell>
        </row>
        <row r="437">
          <cell r="A437" t="str">
            <v>Adhemar NQ B</v>
          </cell>
        </row>
        <row r="438">
          <cell r="A438" t="str">
            <v>Adhemar HQ B</v>
          </cell>
        </row>
        <row r="439">
          <cell r="A439" t="str">
            <v>Adhemar HQ D</v>
          </cell>
        </row>
        <row r="440">
          <cell r="A440" t="str">
            <v>Hachiya</v>
          </cell>
        </row>
        <row r="441">
          <cell r="A441" t="str">
            <v>Hachiya +1</v>
          </cell>
        </row>
        <row r="442">
          <cell r="A442" t="str">
            <v>Hachiya +2</v>
          </cell>
        </row>
        <row r="443">
          <cell r="A443" t="str">
            <v>Hachiya +3</v>
          </cell>
        </row>
        <row r="444">
          <cell r="A444" t="str">
            <v>Herc. Dex TA +</v>
          </cell>
        </row>
        <row r="445">
          <cell r="A445" t="str">
            <v>Herc. Dex STP +</v>
          </cell>
        </row>
        <row r="446">
          <cell r="A446" t="str">
            <v>Herc. Dex CritR +</v>
          </cell>
        </row>
        <row r="447">
          <cell r="A447" t="str">
            <v>Herc. Dex CritD +</v>
          </cell>
        </row>
        <row r="448">
          <cell r="A448" t="str">
            <v>Herc. Dex WSD +</v>
          </cell>
        </row>
        <row r="449">
          <cell r="A449" t="str">
            <v>Herc. Agi TA +</v>
          </cell>
        </row>
        <row r="450">
          <cell r="A450" t="str">
            <v>Herc. Agi CritR +</v>
          </cell>
        </row>
        <row r="451">
          <cell r="A451" t="str">
            <v>Herc. Agi CritD +</v>
          </cell>
        </row>
        <row r="452">
          <cell r="A452" t="str">
            <v>Herc. Agi WSD +</v>
          </cell>
        </row>
        <row r="453">
          <cell r="A453" t="str">
            <v>Herc. STR WSD +</v>
          </cell>
        </row>
        <row r="454">
          <cell r="A454" t="str">
            <v>Hizamaru Sune-Ate +1</v>
          </cell>
        </row>
        <row r="455">
          <cell r="A455" t="str">
            <v>Hizamaru Sune-Ate +2</v>
          </cell>
        </row>
        <row r="456">
          <cell r="A456" t="str">
            <v>Kendatsuba</v>
          </cell>
        </row>
        <row r="457">
          <cell r="A457" t="str">
            <v>Kendatsuba +1</v>
          </cell>
        </row>
        <row r="458">
          <cell r="A458" t="str">
            <v>Malignance Boots</v>
          </cell>
        </row>
        <row r="459">
          <cell r="A459" t="str">
            <v>Mochizuki</v>
          </cell>
        </row>
        <row r="460">
          <cell r="A460" t="str">
            <v>Mochizuki +1</v>
          </cell>
        </row>
        <row r="461">
          <cell r="A461" t="str">
            <v>Mochizuki +2</v>
          </cell>
        </row>
        <row r="462">
          <cell r="A462" t="str">
            <v>Mochizuki +3</v>
          </cell>
        </row>
        <row r="463">
          <cell r="A463" t="str">
            <v>Mummu +2</v>
          </cell>
        </row>
        <row r="464">
          <cell r="A464" t="str">
            <v>Otronif</v>
          </cell>
        </row>
        <row r="465">
          <cell r="A465" t="str">
            <v>Otronif +1</v>
          </cell>
        </row>
        <row r="466">
          <cell r="A466" t="str">
            <v>Rao NQ A</v>
          </cell>
        </row>
        <row r="467">
          <cell r="A467" t="str">
            <v>Ryuo NQ</v>
          </cell>
        </row>
        <row r="468">
          <cell r="A468" t="str">
            <v>Ryuo HQ A</v>
          </cell>
        </row>
        <row r="469">
          <cell r="A469" t="str">
            <v>Rawhide A</v>
          </cell>
        </row>
        <row r="470">
          <cell r="A470" t="str">
            <v>Taeon Crit</v>
          </cell>
        </row>
        <row r="471">
          <cell r="A471" t="str">
            <v>Taeon TP</v>
          </cell>
        </row>
        <row r="472">
          <cell r="A472" t="str">
            <v>Taeon DW</v>
          </cell>
        </row>
      </sheetData>
      <sheetData sheetId="6">
        <row r="1">
          <cell r="A1" t="str">
            <v>Food</v>
          </cell>
          <cell r="B1" t="str">
            <v>Str</v>
          </cell>
          <cell r="C1" t="str">
            <v>Dex</v>
          </cell>
          <cell r="D1" t="str">
            <v>Agi</v>
          </cell>
          <cell r="E1" t="str">
            <v>Int</v>
          </cell>
          <cell r="F1" t="str">
            <v>Store TP</v>
          </cell>
          <cell r="G1" t="str">
            <v>Att Mult</v>
          </cell>
          <cell r="H1" t="str">
            <v>Att Mult Cap</v>
          </cell>
          <cell r="I1" t="str">
            <v>Att Add</v>
          </cell>
          <cell r="J1" t="str">
            <v>Acc Mult</v>
          </cell>
          <cell r="K1" t="str">
            <v>Acc Mult Cap</v>
          </cell>
          <cell r="L1" t="str">
            <v>Acc Add</v>
          </cell>
        </row>
        <row r="2">
          <cell r="A2" t="str">
            <v>None</v>
          </cell>
        </row>
        <row r="3">
          <cell r="A3" t="str">
            <v>Pizza</v>
          </cell>
          <cell r="G3">
            <v>0.2</v>
          </cell>
          <cell r="H3">
            <v>50</v>
          </cell>
          <cell r="J3">
            <v>0.1</v>
          </cell>
          <cell r="K3">
            <v>48</v>
          </cell>
        </row>
        <row r="4">
          <cell r="A4" t="str">
            <v>Pizza +1</v>
          </cell>
          <cell r="G4">
            <v>0.21</v>
          </cell>
          <cell r="H4">
            <v>55</v>
          </cell>
          <cell r="J4">
            <v>0.11</v>
          </cell>
          <cell r="K4">
            <v>52</v>
          </cell>
        </row>
        <row r="5">
          <cell r="A5" t="str">
            <v>Crab Sushi</v>
          </cell>
          <cell r="J5">
            <v>0.13</v>
          </cell>
          <cell r="K5">
            <v>62</v>
          </cell>
        </row>
        <row r="6">
          <cell r="A6" t="str">
            <v>Sole Sushi</v>
          </cell>
          <cell r="B6">
            <v>5</v>
          </cell>
          <cell r="C6">
            <v>6</v>
          </cell>
          <cell r="J6">
            <v>0.15</v>
          </cell>
          <cell r="K6">
            <v>72</v>
          </cell>
        </row>
        <row r="7">
          <cell r="A7" t="str">
            <v>Squid Sushi</v>
          </cell>
          <cell r="C7">
            <v>6</v>
          </cell>
          <cell r="D7">
            <v>5</v>
          </cell>
          <cell r="J7">
            <v>0.15</v>
          </cell>
          <cell r="K7">
            <v>72</v>
          </cell>
        </row>
        <row r="8">
          <cell r="A8" t="str">
            <v>Bream Sushi</v>
          </cell>
          <cell r="C8">
            <v>6</v>
          </cell>
          <cell r="J8">
            <v>0.16</v>
          </cell>
          <cell r="K8">
            <v>76</v>
          </cell>
        </row>
        <row r="9">
          <cell r="A9" t="str">
            <v>Sublime Sushi</v>
          </cell>
          <cell r="B9">
            <v>6</v>
          </cell>
          <cell r="C9">
            <v>7</v>
          </cell>
          <cell r="J9">
            <v>0.1</v>
          </cell>
          <cell r="K9">
            <v>100</v>
          </cell>
        </row>
        <row r="10">
          <cell r="A10" t="str">
            <v>Bison Steak</v>
          </cell>
          <cell r="B10">
            <v>6</v>
          </cell>
          <cell r="E10">
            <v>-3</v>
          </cell>
          <cell r="G10">
            <v>0.18</v>
          </cell>
          <cell r="H10">
            <v>90</v>
          </cell>
        </row>
        <row r="11">
          <cell r="A11" t="str">
            <v>Magma Steak</v>
          </cell>
          <cell r="B11">
            <v>8</v>
          </cell>
          <cell r="G11">
            <v>0.23</v>
          </cell>
          <cell r="H11">
            <v>180</v>
          </cell>
        </row>
        <row r="12">
          <cell r="A12" t="str">
            <v>S. Salis. Steak</v>
          </cell>
          <cell r="B12">
            <v>7</v>
          </cell>
          <cell r="F12">
            <v>-10</v>
          </cell>
          <cell r="G12">
            <v>0.17</v>
          </cell>
          <cell r="H12">
            <v>110</v>
          </cell>
        </row>
        <row r="13">
          <cell r="A13" t="str">
            <v>C. Salis. Steak</v>
          </cell>
          <cell r="B13">
            <v>8</v>
          </cell>
          <cell r="G13">
            <v>0.23499999999999999</v>
          </cell>
          <cell r="H13">
            <v>175</v>
          </cell>
        </row>
        <row r="14">
          <cell r="A14" t="str">
            <v>Carbonara</v>
          </cell>
          <cell r="B14">
            <v>4</v>
          </cell>
          <cell r="E14">
            <v>-3</v>
          </cell>
          <cell r="F14">
            <v>6</v>
          </cell>
          <cell r="G14">
            <v>0.18</v>
          </cell>
          <cell r="H14">
            <v>65</v>
          </cell>
        </row>
        <row r="15">
          <cell r="A15" t="str">
            <v>Arrabbiata</v>
          </cell>
          <cell r="B15">
            <v>5</v>
          </cell>
          <cell r="E15">
            <v>-7</v>
          </cell>
          <cell r="F15">
            <v>5</v>
          </cell>
          <cell r="G15">
            <v>0.22500000000000001</v>
          </cell>
          <cell r="H15">
            <v>120</v>
          </cell>
        </row>
        <row r="16">
          <cell r="A16" t="str">
            <v>Mithkabob</v>
          </cell>
          <cell r="B16">
            <v>5</v>
          </cell>
          <cell r="E16">
            <v>-2</v>
          </cell>
          <cell r="G16">
            <v>0.22</v>
          </cell>
          <cell r="H16">
            <v>60</v>
          </cell>
        </row>
        <row r="17">
          <cell r="A17" t="str">
            <v>Chiefkabob</v>
          </cell>
          <cell r="B17">
            <v>5</v>
          </cell>
          <cell r="E17">
            <v>-2</v>
          </cell>
          <cell r="G17">
            <v>0.22</v>
          </cell>
          <cell r="H17">
            <v>65</v>
          </cell>
        </row>
        <row r="18">
          <cell r="A18" t="str">
            <v>Coeurl Sub</v>
          </cell>
          <cell r="B18">
            <v>5</v>
          </cell>
          <cell r="E18">
            <v>-2</v>
          </cell>
          <cell r="G18">
            <v>0.2</v>
          </cell>
          <cell r="H18">
            <v>75</v>
          </cell>
        </row>
        <row r="19">
          <cell r="A19" t="str">
            <v>Coeurl Sub +1</v>
          </cell>
          <cell r="B19">
            <v>5</v>
          </cell>
          <cell r="E19">
            <v>-2</v>
          </cell>
          <cell r="G19">
            <v>0.22</v>
          </cell>
          <cell r="H19">
            <v>80</v>
          </cell>
        </row>
        <row r="20">
          <cell r="A20" t="str">
            <v>Yellow Curry</v>
          </cell>
          <cell r="B20">
            <v>5</v>
          </cell>
          <cell r="E20">
            <v>-4</v>
          </cell>
          <cell r="G20">
            <v>0.23</v>
          </cell>
          <cell r="H20">
            <v>75</v>
          </cell>
        </row>
        <row r="21">
          <cell r="A21" t="str">
            <v>Yellow C Bun</v>
          </cell>
          <cell r="B21">
            <v>5</v>
          </cell>
          <cell r="E21">
            <v>-4</v>
          </cell>
          <cell r="G21">
            <v>0.2</v>
          </cell>
          <cell r="H21">
            <v>85</v>
          </cell>
        </row>
        <row r="22">
          <cell r="A22" t="str">
            <v>Yellow C Bun +1</v>
          </cell>
          <cell r="B22">
            <v>5</v>
          </cell>
          <cell r="E22">
            <v>-4</v>
          </cell>
          <cell r="G22">
            <v>0.23</v>
          </cell>
          <cell r="H22">
            <v>90</v>
          </cell>
        </row>
        <row r="23">
          <cell r="A23" t="str">
            <v>Red C Bun</v>
          </cell>
          <cell r="B23">
            <v>7</v>
          </cell>
          <cell r="E23">
            <v>-2</v>
          </cell>
          <cell r="G23">
            <v>0.247</v>
          </cell>
          <cell r="H23">
            <v>150</v>
          </cell>
        </row>
        <row r="26">
          <cell r="A26" t="str">
            <v>Weaponskills</v>
          </cell>
          <cell r="B26" t="str">
            <v>Offhand</v>
          </cell>
          <cell r="C26" t="str">
            <v>Extra Hits</v>
          </cell>
          <cell r="D26" t="str">
            <v>WSC1 Name</v>
          </cell>
          <cell r="E26" t="str">
            <v>WSC1 Value</v>
          </cell>
          <cell r="F26" t="str">
            <v>WSC2 Name</v>
          </cell>
          <cell r="G26" t="str">
            <v>WSC2 Value</v>
          </cell>
          <cell r="H26" t="str">
            <v>FTP1</v>
          </cell>
          <cell r="I26" t="str">
            <v>FTP2</v>
          </cell>
          <cell r="J26" t="str">
            <v>FTP3</v>
          </cell>
          <cell r="K26" t="str">
            <v>FTPCarry</v>
          </cell>
          <cell r="L26" t="str">
            <v>Att Bonus</v>
          </cell>
          <cell r="M26" t="str">
            <v>Att1</v>
          </cell>
          <cell r="N26" t="str">
            <v>Att2</v>
          </cell>
          <cell r="O26" t="str">
            <v>Crit0</v>
          </cell>
          <cell r="P26" t="str">
            <v>Crit1</v>
          </cell>
          <cell r="Q26" t="str">
            <v>Crit2</v>
          </cell>
        </row>
        <row r="27">
          <cell r="A27" t="str">
            <v>Blade: Rin</v>
          </cell>
          <cell r="B27">
            <v>1</v>
          </cell>
          <cell r="C27">
            <v>0</v>
          </cell>
          <cell r="D27" t="str">
            <v>Str</v>
          </cell>
          <cell r="E27">
            <v>0.6</v>
          </cell>
          <cell r="F27" t="str">
            <v>Dex</v>
          </cell>
          <cell r="G27">
            <v>0.6</v>
          </cell>
          <cell r="H27">
            <v>1</v>
          </cell>
          <cell r="I27">
            <v>1</v>
          </cell>
          <cell r="J27">
            <v>1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0.35</v>
          </cell>
          <cell r="P27">
            <v>0.15</v>
          </cell>
          <cell r="Q27">
            <v>0.15</v>
          </cell>
        </row>
        <row r="28">
          <cell r="A28" t="str">
            <v>Blade: Retsu</v>
          </cell>
          <cell r="B28">
            <v>1</v>
          </cell>
          <cell r="C28">
            <v>1</v>
          </cell>
          <cell r="D28" t="str">
            <v>Str</v>
          </cell>
          <cell r="E28">
            <v>0.2</v>
          </cell>
          <cell r="F28" t="str">
            <v>Dex</v>
          </cell>
          <cell r="G28">
            <v>0.6</v>
          </cell>
          <cell r="H28">
            <v>1</v>
          </cell>
          <cell r="I28">
            <v>1</v>
          </cell>
          <cell r="J28">
            <v>1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</row>
        <row r="29">
          <cell r="A29" t="str">
            <v>Blade: Jin</v>
          </cell>
          <cell r="B29">
            <v>1</v>
          </cell>
          <cell r="C29">
            <v>2</v>
          </cell>
          <cell r="D29" t="str">
            <v>Str</v>
          </cell>
          <cell r="E29">
            <v>0.3</v>
          </cell>
          <cell r="F29" t="str">
            <v>Dex</v>
          </cell>
          <cell r="G29">
            <v>0.3</v>
          </cell>
          <cell r="H29">
            <v>1.375</v>
          </cell>
          <cell r="I29">
            <v>1.375</v>
          </cell>
          <cell r="J29">
            <v>1.375</v>
          </cell>
          <cell r="K29">
            <v>1</v>
          </cell>
          <cell r="L29">
            <v>0</v>
          </cell>
          <cell r="M29">
            <v>0</v>
          </cell>
          <cell r="N29">
            <v>0</v>
          </cell>
          <cell r="O29">
            <v>0.1</v>
          </cell>
          <cell r="P29">
            <v>0.1</v>
          </cell>
          <cell r="Q29">
            <v>0.15</v>
          </cell>
        </row>
        <row r="30">
          <cell r="A30" t="str">
            <v>Blade: Ten</v>
          </cell>
          <cell r="B30">
            <v>1</v>
          </cell>
          <cell r="C30">
            <v>0</v>
          </cell>
          <cell r="D30" t="str">
            <v>Str</v>
          </cell>
          <cell r="E30">
            <v>0.3</v>
          </cell>
          <cell r="F30" t="str">
            <v>Dex</v>
          </cell>
          <cell r="G30">
            <v>0.3</v>
          </cell>
          <cell r="H30">
            <v>4.5</v>
          </cell>
          <cell r="I30">
            <v>11.5</v>
          </cell>
          <cell r="J30">
            <v>15.5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</row>
        <row r="31">
          <cell r="A31" t="str">
            <v>Blade: Ku</v>
          </cell>
          <cell r="B31">
            <v>1</v>
          </cell>
          <cell r="C31">
            <v>4</v>
          </cell>
          <cell r="D31" t="str">
            <v>Str</v>
          </cell>
          <cell r="E31">
            <v>0.3</v>
          </cell>
          <cell r="F31" t="str">
            <v>Dex</v>
          </cell>
          <cell r="G31">
            <v>0.3</v>
          </cell>
          <cell r="H31">
            <v>1.25</v>
          </cell>
          <cell r="I31">
            <v>1.25</v>
          </cell>
          <cell r="J31">
            <v>1.25</v>
          </cell>
          <cell r="K31">
            <v>1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</row>
        <row r="32">
          <cell r="A32" t="str">
            <v>Blade: Kamu</v>
          </cell>
          <cell r="B32">
            <v>1</v>
          </cell>
          <cell r="C32">
            <v>0</v>
          </cell>
          <cell r="D32" t="str">
            <v>Str</v>
          </cell>
          <cell r="E32">
            <v>0.6</v>
          </cell>
          <cell r="F32" t="str">
            <v>Int</v>
          </cell>
          <cell r="G32">
            <v>0.6</v>
          </cell>
          <cell r="H32">
            <v>2</v>
          </cell>
          <cell r="I32">
            <v>2</v>
          </cell>
          <cell r="J32">
            <v>2</v>
          </cell>
          <cell r="K32">
            <v>0</v>
          </cell>
          <cell r="L32">
            <v>0.31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</row>
        <row r="33">
          <cell r="A33" t="str">
            <v>Blade: Metsu</v>
          </cell>
          <cell r="B33">
            <v>1</v>
          </cell>
          <cell r="C33">
            <v>0</v>
          </cell>
          <cell r="D33" t="str">
            <v>Dex</v>
          </cell>
          <cell r="E33">
            <v>0.8</v>
          </cell>
          <cell r="F33" t="str">
            <v>N/A</v>
          </cell>
          <cell r="G33">
            <v>0</v>
          </cell>
          <cell r="H33">
            <v>5</v>
          </cell>
          <cell r="I33">
            <v>5</v>
          </cell>
          <cell r="J33">
            <v>5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</row>
        <row r="34">
          <cell r="A34" t="str">
            <v>Blade: Hi</v>
          </cell>
          <cell r="B34">
            <v>1</v>
          </cell>
          <cell r="C34">
            <v>0</v>
          </cell>
          <cell r="D34" t="str">
            <v>Agi</v>
          </cell>
          <cell r="E34">
            <v>0.8</v>
          </cell>
          <cell r="F34" t="str">
            <v>N/A</v>
          </cell>
          <cell r="G34">
            <v>0</v>
          </cell>
          <cell r="H34">
            <v>5</v>
          </cell>
          <cell r="I34">
            <v>5</v>
          </cell>
          <cell r="J34">
            <v>5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0.15</v>
          </cell>
          <cell r="P34">
            <v>0.05</v>
          </cell>
          <cell r="Q34">
            <v>0.05</v>
          </cell>
        </row>
        <row r="35">
          <cell r="A35" t="str">
            <v>Blade: Shun</v>
          </cell>
          <cell r="B35">
            <v>1</v>
          </cell>
          <cell r="C35">
            <v>4</v>
          </cell>
          <cell r="D35" t="str">
            <v>Dex</v>
          </cell>
          <cell r="E35">
            <v>0.85</v>
          </cell>
          <cell r="F35" t="str">
            <v>N/A</v>
          </cell>
          <cell r="G35">
            <v>0</v>
          </cell>
          <cell r="H35">
            <v>1</v>
          </cell>
          <cell r="I35">
            <v>1</v>
          </cell>
          <cell r="J35">
            <v>1</v>
          </cell>
          <cell r="K35">
            <v>1</v>
          </cell>
          <cell r="L35">
            <v>0</v>
          </cell>
          <cell r="M35">
            <v>1</v>
          </cell>
          <cell r="N35">
            <v>2</v>
          </cell>
          <cell r="O35">
            <v>0</v>
          </cell>
          <cell r="P35">
            <v>0</v>
          </cell>
          <cell r="Q35">
            <v>0</v>
          </cell>
        </row>
        <row r="40">
          <cell r="A40">
            <v>0</v>
          </cell>
        </row>
        <row r="41">
          <cell r="A41">
            <v>1</v>
          </cell>
        </row>
        <row r="45">
          <cell r="A45" t="str">
            <v>Atmas</v>
          </cell>
          <cell r="B45" t="str">
            <v>Str</v>
          </cell>
          <cell r="C45" t="str">
            <v>Dex</v>
          </cell>
          <cell r="D45" t="str">
            <v>Agi</v>
          </cell>
          <cell r="E45" t="str">
            <v>Int</v>
          </cell>
          <cell r="F45" t="str">
            <v>Att</v>
          </cell>
          <cell r="G45" t="str">
            <v>Acc</v>
          </cell>
          <cell r="H45" t="str">
            <v>DA</v>
          </cell>
          <cell r="I45" t="str">
            <v>TA</v>
          </cell>
          <cell r="J45" t="str">
            <v>Crit Rate</v>
          </cell>
          <cell r="K45" t="str">
            <v>Crit Dmg</v>
          </cell>
          <cell r="L45" t="str">
            <v>Haste</v>
          </cell>
          <cell r="M45" t="str">
            <v>Store TP</v>
          </cell>
          <cell r="N45" t="str">
            <v>TP Bonus</v>
          </cell>
          <cell r="O45" t="str">
            <v>Regain</v>
          </cell>
        </row>
        <row r="46">
          <cell r="A46" t="str">
            <v>None</v>
          </cell>
        </row>
        <row r="47">
          <cell r="A47" t="str">
            <v>Alpha &amp; Omega</v>
          </cell>
          <cell r="F47">
            <v>50</v>
          </cell>
          <cell r="I47">
            <v>0.1</v>
          </cell>
        </row>
        <row r="48">
          <cell r="A48" t="str">
            <v>Apocalypse</v>
          </cell>
          <cell r="I48">
            <v>0.15</v>
          </cell>
        </row>
        <row r="49">
          <cell r="A49" t="str">
            <v>Dark Depths</v>
          </cell>
          <cell r="D49">
            <v>10</v>
          </cell>
          <cell r="J49">
            <v>0.2</v>
          </cell>
        </row>
        <row r="50">
          <cell r="A50" t="str">
            <v>Demonic Lash</v>
          </cell>
          <cell r="F50">
            <v>30</v>
          </cell>
          <cell r="H50">
            <v>0.05</v>
          </cell>
        </row>
        <row r="51">
          <cell r="A51" t="str">
            <v>Gnarled Horn</v>
          </cell>
          <cell r="D51">
            <v>50</v>
          </cell>
          <cell r="J51">
            <v>0.2</v>
          </cell>
        </row>
        <row r="52">
          <cell r="A52" t="str">
            <v>Harvester</v>
          </cell>
          <cell r="B52">
            <v>40</v>
          </cell>
          <cell r="H52">
            <v>0.05</v>
          </cell>
        </row>
        <row r="53">
          <cell r="A53" t="str">
            <v>Minikin</v>
          </cell>
          <cell r="E53">
            <v>50</v>
          </cell>
        </row>
        <row r="54">
          <cell r="A54" t="str">
            <v>Razed Ruin</v>
          </cell>
          <cell r="C54">
            <v>50</v>
          </cell>
          <cell r="J54">
            <v>0.3</v>
          </cell>
          <cell r="K54">
            <v>0.3</v>
          </cell>
        </row>
        <row r="55">
          <cell r="A55" t="str">
            <v>S. Scythe</v>
          </cell>
          <cell r="K55">
            <v>0.3</v>
          </cell>
        </row>
        <row r="56">
          <cell r="A56" t="str">
            <v>Scorpion Queen</v>
          </cell>
          <cell r="J56">
            <v>0.1</v>
          </cell>
          <cell r="M56">
            <v>20</v>
          </cell>
        </row>
        <row r="57">
          <cell r="A57" t="str">
            <v>Smiting Blow</v>
          </cell>
          <cell r="N57">
            <v>1000</v>
          </cell>
        </row>
        <row r="58">
          <cell r="A58" t="str">
            <v>Stout Arm</v>
          </cell>
          <cell r="B58">
            <v>40</v>
          </cell>
          <cell r="F58">
            <v>50</v>
          </cell>
        </row>
        <row r="59">
          <cell r="A59" t="str">
            <v>V. Violet</v>
          </cell>
          <cell r="B59">
            <v>50</v>
          </cell>
          <cell r="H59">
            <v>0.05</v>
          </cell>
          <cell r="O59">
            <v>20</v>
          </cell>
        </row>
        <row r="63">
          <cell r="A63" t="str">
            <v>Mobs</v>
          </cell>
          <cell r="B63" t="str">
            <v>Level</v>
          </cell>
          <cell r="C63" t="str">
            <v>Level Correct</v>
          </cell>
          <cell r="D63" t="str">
            <v>Defense</v>
          </cell>
          <cell r="E63" t="str">
            <v>Evasion</v>
          </cell>
          <cell r="F63" t="str">
            <v>Agi</v>
          </cell>
          <cell r="G63" t="str">
            <v>Vit</v>
          </cell>
          <cell r="H63" t="str">
            <v>Int</v>
          </cell>
          <cell r="I63" t="str">
            <v>CritDef</v>
          </cell>
          <cell r="J63" t="str">
            <v>CritRate</v>
          </cell>
        </row>
        <row r="64">
          <cell r="A64" t="str">
            <v>Trivial</v>
          </cell>
          <cell r="B64">
            <v>84</v>
          </cell>
          <cell r="C64" t="str">
            <v>Yes</v>
          </cell>
          <cell r="D64">
            <v>360</v>
          </cell>
          <cell r="E64">
            <v>351</v>
          </cell>
          <cell r="F64">
            <v>74</v>
          </cell>
          <cell r="G64">
            <v>75</v>
          </cell>
          <cell r="H64">
            <v>75</v>
          </cell>
          <cell r="I64">
            <v>0</v>
          </cell>
          <cell r="J64">
            <v>0</v>
          </cell>
        </row>
        <row r="65">
          <cell r="A65" t="str">
            <v>DC Dynamis</v>
          </cell>
          <cell r="B65">
            <v>96</v>
          </cell>
          <cell r="C65" t="str">
            <v>Yes</v>
          </cell>
          <cell r="D65">
            <v>435</v>
          </cell>
          <cell r="E65">
            <v>405</v>
          </cell>
          <cell r="F65">
            <v>98</v>
          </cell>
          <cell r="G65">
            <v>95</v>
          </cell>
          <cell r="H65">
            <v>95</v>
          </cell>
          <cell r="I65">
            <v>0</v>
          </cell>
          <cell r="J65">
            <v>0</v>
          </cell>
        </row>
        <row r="66">
          <cell r="A66" t="str">
            <v>Bluffalo EM</v>
          </cell>
          <cell r="B66">
            <v>99</v>
          </cell>
          <cell r="C66" t="str">
            <v>Yes</v>
          </cell>
          <cell r="D66">
            <v>516</v>
          </cell>
          <cell r="E66">
            <v>411</v>
          </cell>
          <cell r="F66">
            <v>77</v>
          </cell>
          <cell r="G66">
            <v>118</v>
          </cell>
          <cell r="H66">
            <v>118</v>
          </cell>
          <cell r="I66">
            <v>0.14000000000000001</v>
          </cell>
          <cell r="J66">
            <v>0</v>
          </cell>
        </row>
        <row r="67">
          <cell r="A67" t="str">
            <v>Chapuli (100)</v>
          </cell>
          <cell r="B67">
            <v>100</v>
          </cell>
          <cell r="C67" t="str">
            <v>No</v>
          </cell>
          <cell r="D67">
            <v>498</v>
          </cell>
          <cell r="E67">
            <v>468</v>
          </cell>
          <cell r="F67">
            <v>106</v>
          </cell>
          <cell r="G67">
            <v>110</v>
          </cell>
          <cell r="H67">
            <v>110</v>
          </cell>
          <cell r="I67">
            <v>0</v>
          </cell>
          <cell r="J67">
            <v>0</v>
          </cell>
        </row>
        <row r="68">
          <cell r="A68" t="str">
            <v>Chapuli (102)</v>
          </cell>
          <cell r="B68">
            <v>102</v>
          </cell>
          <cell r="C68" t="str">
            <v>No</v>
          </cell>
          <cell r="D68">
            <v>534</v>
          </cell>
          <cell r="E68">
            <v>505</v>
          </cell>
          <cell r="F68">
            <v>108</v>
          </cell>
          <cell r="G68">
            <v>112</v>
          </cell>
          <cell r="H68">
            <v>112</v>
          </cell>
          <cell r="I68">
            <v>0</v>
          </cell>
          <cell r="J68">
            <v>0</v>
          </cell>
        </row>
        <row r="69">
          <cell r="A69" t="str">
            <v>Delve Fodder</v>
          </cell>
          <cell r="B69">
            <v>107</v>
          </cell>
          <cell r="C69" t="str">
            <v>No</v>
          </cell>
          <cell r="D69">
            <v>610</v>
          </cell>
          <cell r="E69">
            <v>590</v>
          </cell>
          <cell r="F69">
            <v>136</v>
          </cell>
          <cell r="G69">
            <v>136</v>
          </cell>
          <cell r="H69">
            <v>136</v>
          </cell>
          <cell r="I69">
            <v>0</v>
          </cell>
          <cell r="J69">
            <v>0</v>
          </cell>
        </row>
        <row r="70">
          <cell r="A70" t="str">
            <v>Qilin</v>
          </cell>
          <cell r="B70">
            <v>110</v>
          </cell>
          <cell r="C70" t="str">
            <v>Yes</v>
          </cell>
          <cell r="D70">
            <v>560</v>
          </cell>
          <cell r="E70">
            <v>485</v>
          </cell>
          <cell r="F70">
            <v>120</v>
          </cell>
          <cell r="G70">
            <v>120</v>
          </cell>
          <cell r="H70">
            <v>120</v>
          </cell>
          <cell r="I70">
            <v>0</v>
          </cell>
          <cell r="J70">
            <v>0</v>
          </cell>
        </row>
        <row r="71">
          <cell r="A71" t="str">
            <v>Kamihr Raaz</v>
          </cell>
          <cell r="B71">
            <v>113</v>
          </cell>
          <cell r="C71" t="str">
            <v>No</v>
          </cell>
          <cell r="D71">
            <v>753</v>
          </cell>
          <cell r="E71">
            <v>713</v>
          </cell>
          <cell r="F71">
            <v>127</v>
          </cell>
          <cell r="G71">
            <v>138</v>
          </cell>
          <cell r="H71">
            <v>123</v>
          </cell>
          <cell r="I71">
            <v>0</v>
          </cell>
          <cell r="J71">
            <v>0</v>
          </cell>
        </row>
        <row r="72">
          <cell r="A72" t="str">
            <v>Ig-Alima</v>
          </cell>
          <cell r="B72">
            <v>120</v>
          </cell>
          <cell r="C72" t="str">
            <v>Yes</v>
          </cell>
          <cell r="D72">
            <v>750</v>
          </cell>
          <cell r="E72">
            <v>540</v>
          </cell>
          <cell r="F72">
            <v>110</v>
          </cell>
          <cell r="G72">
            <v>123</v>
          </cell>
          <cell r="H72">
            <v>123</v>
          </cell>
          <cell r="I72">
            <v>0</v>
          </cell>
          <cell r="J72">
            <v>0</v>
          </cell>
        </row>
        <row r="73">
          <cell r="A73" t="str">
            <v>Tojil</v>
          </cell>
          <cell r="B73">
            <v>130</v>
          </cell>
          <cell r="C73" t="str">
            <v>No</v>
          </cell>
          <cell r="D73">
            <v>1900</v>
          </cell>
          <cell r="E73">
            <v>870</v>
          </cell>
          <cell r="F73">
            <v>200</v>
          </cell>
          <cell r="G73">
            <v>200</v>
          </cell>
          <cell r="H73">
            <v>200</v>
          </cell>
          <cell r="I73">
            <v>0</v>
          </cell>
          <cell r="J73">
            <v>0</v>
          </cell>
        </row>
        <row r="74">
          <cell r="A74" t="str">
            <v>Serac Rabbit</v>
          </cell>
          <cell r="B74">
            <v>126</v>
          </cell>
          <cell r="C74" t="str">
            <v>No</v>
          </cell>
          <cell r="D74">
            <v>1090</v>
          </cell>
          <cell r="E74">
            <v>1068</v>
          </cell>
          <cell r="F74">
            <v>235</v>
          </cell>
          <cell r="G74">
            <v>228</v>
          </cell>
          <cell r="H74">
            <v>215</v>
          </cell>
          <cell r="I74">
            <v>0</v>
          </cell>
          <cell r="J74">
            <v>0</v>
          </cell>
        </row>
        <row r="75">
          <cell r="A75" t="str">
            <v>Apex Leech (127)</v>
          </cell>
          <cell r="B75">
            <v>127</v>
          </cell>
          <cell r="C75" t="str">
            <v>No</v>
          </cell>
          <cell r="D75">
            <v>1130</v>
          </cell>
          <cell r="E75">
            <v>989</v>
          </cell>
          <cell r="F75">
            <v>230</v>
          </cell>
          <cell r="G75">
            <v>230</v>
          </cell>
          <cell r="H75">
            <v>220</v>
          </cell>
          <cell r="I75">
            <v>0</v>
          </cell>
          <cell r="J75">
            <v>0</v>
          </cell>
        </row>
        <row r="76">
          <cell r="A76" t="str">
            <v>Apex Toad (131)</v>
          </cell>
          <cell r="B76">
            <v>131</v>
          </cell>
          <cell r="C76" t="str">
            <v>No</v>
          </cell>
          <cell r="D76">
            <v>1286</v>
          </cell>
          <cell r="E76">
            <v>1103</v>
          </cell>
          <cell r="F76">
            <v>242</v>
          </cell>
          <cell r="G76">
            <v>242</v>
          </cell>
          <cell r="H76">
            <v>232</v>
          </cell>
          <cell r="I76">
            <v>0</v>
          </cell>
          <cell r="J76">
            <v>0</v>
          </cell>
        </row>
        <row r="77">
          <cell r="A77" t="str">
            <v>Apex Bat (136)</v>
          </cell>
          <cell r="B77">
            <v>136</v>
          </cell>
          <cell r="C77" t="str">
            <v>No</v>
          </cell>
          <cell r="D77">
            <v>1439</v>
          </cell>
          <cell r="E77">
            <v>1254</v>
          </cell>
          <cell r="F77">
            <v>290</v>
          </cell>
          <cell r="G77">
            <v>281</v>
          </cell>
          <cell r="H77">
            <v>244</v>
          </cell>
          <cell r="I77">
            <v>0</v>
          </cell>
          <cell r="J77">
            <v>0</v>
          </cell>
        </row>
        <row r="78">
          <cell r="A78" t="str">
            <v>Apex Bhoot (139)</v>
          </cell>
          <cell r="B78">
            <v>139</v>
          </cell>
          <cell r="C78" t="str">
            <v>No</v>
          </cell>
          <cell r="D78">
            <v>1525</v>
          </cell>
          <cell r="E78">
            <v>1319</v>
          </cell>
          <cell r="F78">
            <v>301</v>
          </cell>
          <cell r="G78">
            <v>295</v>
          </cell>
          <cell r="H78">
            <v>260</v>
          </cell>
          <cell r="I78">
            <v>0</v>
          </cell>
          <cell r="J78">
            <v>0</v>
          </cell>
        </row>
        <row r="79">
          <cell r="A79" t="str">
            <v>NM iLvl 140 (Theorized)</v>
          </cell>
          <cell r="B79">
            <v>140</v>
          </cell>
          <cell r="C79" t="str">
            <v>No</v>
          </cell>
          <cell r="D79">
            <v>1800</v>
          </cell>
          <cell r="E79">
            <v>1500</v>
          </cell>
          <cell r="F79">
            <v>325</v>
          </cell>
          <cell r="G79">
            <v>325</v>
          </cell>
          <cell r="H79">
            <v>325</v>
          </cell>
          <cell r="I79">
            <v>0</v>
          </cell>
          <cell r="J79">
            <v>0</v>
          </cell>
        </row>
        <row r="80">
          <cell r="A80" t="str">
            <v>Warder of Courage</v>
          </cell>
          <cell r="B80">
            <v>150</v>
          </cell>
          <cell r="C80" t="str">
            <v>No</v>
          </cell>
          <cell r="D80">
            <v>2100</v>
          </cell>
          <cell r="E80">
            <v>1720</v>
          </cell>
          <cell r="F80">
            <v>390</v>
          </cell>
          <cell r="G80">
            <v>390</v>
          </cell>
          <cell r="H80">
            <v>390</v>
          </cell>
          <cell r="I80">
            <v>0</v>
          </cell>
          <cell r="J80">
            <v>0</v>
          </cell>
        </row>
        <row r="83">
          <cell r="A83" t="str">
            <v>War</v>
          </cell>
        </row>
        <row r="84">
          <cell r="A84" t="str">
            <v>Dnc</v>
          </cell>
        </row>
        <row r="87">
          <cell r="A87" t="str">
            <v>Hume</v>
          </cell>
        </row>
        <row r="88">
          <cell r="A88" t="str">
            <v>Mithra</v>
          </cell>
        </row>
        <row r="89">
          <cell r="A89" t="str">
            <v>Galka</v>
          </cell>
        </row>
        <row r="90">
          <cell r="A90" t="str">
            <v>Elvaan</v>
          </cell>
        </row>
        <row r="91">
          <cell r="A91" t="str">
            <v>Tarutaru</v>
          </cell>
        </row>
        <row r="94">
          <cell r="A94" t="str">
            <v>Katana</v>
          </cell>
        </row>
        <row r="95">
          <cell r="A95" t="str">
            <v>Dagger</v>
          </cell>
        </row>
        <row r="98">
          <cell r="A98" t="str">
            <v>Ammo</v>
          </cell>
        </row>
        <row r="99">
          <cell r="A99" t="str">
            <v>Shuriken</v>
          </cell>
        </row>
        <row r="102">
          <cell r="A102" t="str">
            <v>Dagger</v>
          </cell>
          <cell r="B102" t="str">
            <v>DSkill</v>
          </cell>
          <cell r="C102">
            <v>246</v>
          </cell>
        </row>
        <row r="103">
          <cell r="A103" t="str">
            <v>Katana</v>
          </cell>
          <cell r="B103" t="str">
            <v>Skill</v>
          </cell>
          <cell r="C103">
            <v>292</v>
          </cell>
        </row>
        <row r="104">
          <cell r="A104" t="str">
            <v>Throwing</v>
          </cell>
          <cell r="B104" t="str">
            <v>TSkill</v>
          </cell>
          <cell r="C104">
            <v>292</v>
          </cell>
        </row>
        <row r="108">
          <cell r="C108" t="str">
            <v>Mod</v>
          </cell>
          <cell r="D108">
            <v>0</v>
          </cell>
          <cell r="E108">
            <v>1</v>
          </cell>
          <cell r="F108">
            <v>2</v>
          </cell>
          <cell r="G108">
            <v>3</v>
          </cell>
          <cell r="H108">
            <v>4</v>
          </cell>
          <cell r="I108">
            <v>5</v>
          </cell>
          <cell r="J108">
            <v>6</v>
          </cell>
          <cell r="K108" t="str">
            <v>TPSet1Gear</v>
          </cell>
          <cell r="L108" t="str">
            <v>TPSet2Gear</v>
          </cell>
          <cell r="M108" t="str">
            <v>WSSet1Gear</v>
          </cell>
          <cell r="N108" t="str">
            <v>WSSet2Gear</v>
          </cell>
        </row>
        <row r="109">
          <cell r="C109" t="str">
            <v>C.Rate</v>
          </cell>
          <cell r="D109">
            <v>0</v>
          </cell>
          <cell r="E109">
            <v>0</v>
          </cell>
          <cell r="F109">
            <v>0.04</v>
          </cell>
          <cell r="G109">
            <v>0.06</v>
          </cell>
          <cell r="H109">
            <v>0.08</v>
          </cell>
          <cell r="I109">
            <v>0.1</v>
          </cell>
          <cell r="J109">
            <v>0.1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</row>
        <row r="110">
          <cell r="C110" t="str">
            <v>C.Rate</v>
          </cell>
          <cell r="D110">
            <v>0</v>
          </cell>
          <cell r="E110">
            <v>0</v>
          </cell>
          <cell r="F110">
            <v>0.04</v>
          </cell>
          <cell r="G110">
            <v>0.06</v>
          </cell>
          <cell r="H110">
            <v>0.08</v>
          </cell>
          <cell r="I110">
            <v>0.1</v>
          </cell>
          <cell r="J110">
            <v>0.1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</row>
        <row r="111">
          <cell r="C111" t="str">
            <v>C.Rate</v>
          </cell>
          <cell r="D111">
            <v>0</v>
          </cell>
          <cell r="E111">
            <v>0</v>
          </cell>
          <cell r="F111">
            <v>0.04</v>
          </cell>
          <cell r="G111">
            <v>0.06</v>
          </cell>
          <cell r="H111">
            <v>0.08</v>
          </cell>
          <cell r="I111">
            <v>0.1</v>
          </cell>
          <cell r="J111">
            <v>0.1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</row>
        <row r="112">
          <cell r="C112" t="str">
            <v>C.Rate</v>
          </cell>
          <cell r="D112">
            <v>0</v>
          </cell>
          <cell r="E112">
            <v>0</v>
          </cell>
          <cell r="F112">
            <v>0.04</v>
          </cell>
          <cell r="G112">
            <v>0.06</v>
          </cell>
          <cell r="H112">
            <v>0.08</v>
          </cell>
          <cell r="I112">
            <v>0.1</v>
          </cell>
          <cell r="J112">
            <v>0.1</v>
          </cell>
          <cell r="K112">
            <v>0.04</v>
          </cell>
          <cell r="L112">
            <v>0.04</v>
          </cell>
          <cell r="M112">
            <v>0.04</v>
          </cell>
          <cell r="N112">
            <v>0.06</v>
          </cell>
        </row>
        <row r="113">
          <cell r="C113" t="str">
            <v>C.Rate</v>
          </cell>
          <cell r="D113">
            <v>0</v>
          </cell>
          <cell r="E113">
            <v>0</v>
          </cell>
          <cell r="F113">
            <v>0.04</v>
          </cell>
          <cell r="G113">
            <v>0.06</v>
          </cell>
          <cell r="H113">
            <v>0.08</v>
          </cell>
          <cell r="I113">
            <v>0.1</v>
          </cell>
          <cell r="J113">
            <v>0.1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</row>
        <row r="114">
          <cell r="C114" t="str">
            <v>C.Rate</v>
          </cell>
          <cell r="D114">
            <v>0</v>
          </cell>
          <cell r="E114">
            <v>0</v>
          </cell>
          <cell r="F114">
            <v>0.04</v>
          </cell>
          <cell r="G114">
            <v>0.06</v>
          </cell>
          <cell r="H114">
            <v>0.08</v>
          </cell>
          <cell r="I114">
            <v>0.1</v>
          </cell>
          <cell r="J114">
            <v>0.1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</row>
        <row r="115">
          <cell r="C115" t="str">
            <v>DA</v>
          </cell>
          <cell r="D115">
            <v>0</v>
          </cell>
          <cell r="E115">
            <v>0</v>
          </cell>
          <cell r="F115">
            <v>7.0000000000000007E-2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</row>
        <row r="116">
          <cell r="C116" t="str">
            <v>DW</v>
          </cell>
          <cell r="D116">
            <v>0</v>
          </cell>
          <cell r="E116">
            <v>0</v>
          </cell>
          <cell r="F116">
            <v>7.0000000000000007E-2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</row>
        <row r="117">
          <cell r="C117" t="str">
            <v>Acc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20</v>
          </cell>
          <cell r="J117">
            <v>20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</row>
        <row r="118">
          <cell r="C118" t="str">
            <v>Acc</v>
          </cell>
          <cell r="D118">
            <v>0</v>
          </cell>
          <cell r="E118">
            <v>0</v>
          </cell>
          <cell r="F118">
            <v>15</v>
          </cell>
          <cell r="G118">
            <v>30</v>
          </cell>
          <cell r="H118">
            <v>45</v>
          </cell>
          <cell r="I118">
            <v>60</v>
          </cell>
          <cell r="J118">
            <v>60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</row>
        <row r="119">
          <cell r="C119" t="str">
            <v>R.acc</v>
          </cell>
          <cell r="D119">
            <v>0</v>
          </cell>
          <cell r="E119">
            <v>0</v>
          </cell>
          <cell r="F119">
            <v>15</v>
          </cell>
          <cell r="G119">
            <v>30</v>
          </cell>
          <cell r="H119">
            <v>45</v>
          </cell>
          <cell r="I119">
            <v>60</v>
          </cell>
          <cell r="J119">
            <v>60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</row>
        <row r="120">
          <cell r="C120" t="str">
            <v>M.acc</v>
          </cell>
          <cell r="D120">
            <v>0</v>
          </cell>
          <cell r="E120">
            <v>0</v>
          </cell>
          <cell r="F120">
            <v>15</v>
          </cell>
          <cell r="G120">
            <v>30</v>
          </cell>
          <cell r="H120">
            <v>45</v>
          </cell>
          <cell r="I120">
            <v>60</v>
          </cell>
          <cell r="J120">
            <v>60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</row>
        <row r="121">
          <cell r="C121" t="str">
            <v>Dex</v>
          </cell>
          <cell r="D121">
            <v>0</v>
          </cell>
          <cell r="E121">
            <v>0</v>
          </cell>
          <cell r="F121">
            <v>8</v>
          </cell>
          <cell r="G121">
            <v>16</v>
          </cell>
          <cell r="H121">
            <v>24</v>
          </cell>
          <cell r="I121">
            <v>32</v>
          </cell>
          <cell r="J121">
            <v>32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</row>
        <row r="122">
          <cell r="C122" t="str">
            <v>Agi</v>
          </cell>
          <cell r="D122">
            <v>0</v>
          </cell>
          <cell r="E122">
            <v>0</v>
          </cell>
          <cell r="F122">
            <v>8</v>
          </cell>
          <cell r="G122">
            <v>16</v>
          </cell>
          <cell r="H122">
            <v>24</v>
          </cell>
          <cell r="I122">
            <v>32</v>
          </cell>
          <cell r="J122">
            <v>32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</row>
        <row r="123">
          <cell r="C123" t="str">
            <v>Chr</v>
          </cell>
          <cell r="D123">
            <v>0</v>
          </cell>
          <cell r="E123">
            <v>0</v>
          </cell>
          <cell r="F123">
            <v>8</v>
          </cell>
          <cell r="G123">
            <v>16</v>
          </cell>
          <cell r="H123">
            <v>24</v>
          </cell>
          <cell r="I123">
            <v>32</v>
          </cell>
          <cell r="J123">
            <v>32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</row>
        <row r="124">
          <cell r="C124" t="str">
            <v>TA</v>
          </cell>
          <cell r="D124">
            <v>0</v>
          </cell>
          <cell r="E124">
            <v>0</v>
          </cell>
          <cell r="F124">
            <v>0.03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</row>
        <row r="125">
          <cell r="C125" t="str">
            <v>TA</v>
          </cell>
          <cell r="D125">
            <v>0</v>
          </cell>
          <cell r="E125">
            <v>0</v>
          </cell>
          <cell r="F125">
            <v>0.03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</row>
        <row r="126">
          <cell r="C126" t="str">
            <v>TA</v>
          </cell>
          <cell r="D126">
            <v>0</v>
          </cell>
          <cell r="E126">
            <v>0</v>
          </cell>
          <cell r="F126">
            <v>0.03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</row>
        <row r="127">
          <cell r="C127" t="str">
            <v>Haste</v>
          </cell>
          <cell r="D127">
            <v>0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50</v>
          </cell>
          <cell r="J127">
            <v>50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</row>
        <row r="128">
          <cell r="C128" t="str">
            <v>Haste</v>
          </cell>
          <cell r="D128">
            <v>0</v>
          </cell>
          <cell r="E128">
            <v>0</v>
          </cell>
          <cell r="F128">
            <v>30</v>
          </cell>
          <cell r="G128">
            <v>51</v>
          </cell>
          <cell r="H128">
            <v>71</v>
          </cell>
          <cell r="I128">
            <v>91</v>
          </cell>
          <cell r="J128">
            <v>91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</row>
        <row r="133">
          <cell r="A133" t="str">
            <v>Att</v>
          </cell>
          <cell r="B133">
            <v>20</v>
          </cell>
        </row>
        <row r="134">
          <cell r="A134" t="str">
            <v>Acc</v>
          </cell>
          <cell r="B134">
            <v>20</v>
          </cell>
        </row>
        <row r="135">
          <cell r="A135" t="str">
            <v>Haste</v>
          </cell>
          <cell r="B135">
            <v>12</v>
          </cell>
        </row>
        <row r="136">
          <cell r="A136" t="str">
            <v>Save TP</v>
          </cell>
          <cell r="B136">
            <v>100</v>
          </cell>
        </row>
        <row r="137">
          <cell r="A137" t="str">
            <v>C.Rate</v>
          </cell>
          <cell r="B137">
            <v>0.02</v>
          </cell>
        </row>
        <row r="141">
          <cell r="A141" t="str">
            <v>Haste</v>
          </cell>
        </row>
        <row r="142">
          <cell r="A142" t="str">
            <v>Haste II</v>
          </cell>
        </row>
        <row r="145">
          <cell r="A145" t="str">
            <v>Boost-Str</v>
          </cell>
        </row>
        <row r="146">
          <cell r="A146" t="str">
            <v>Boost-Dex</v>
          </cell>
        </row>
        <row r="158">
          <cell r="A158">
            <v>0</v>
          </cell>
          <cell r="B158">
            <v>0</v>
          </cell>
        </row>
        <row r="159">
          <cell r="A159">
            <v>1</v>
          </cell>
          <cell r="B159">
            <v>0.1015625</v>
          </cell>
        </row>
        <row r="160">
          <cell r="A160">
            <v>2</v>
          </cell>
          <cell r="B160">
            <v>0.15234375</v>
          </cell>
        </row>
        <row r="161">
          <cell r="A161">
            <v>3</v>
          </cell>
          <cell r="B161">
            <v>0.203125</v>
          </cell>
        </row>
        <row r="162">
          <cell r="A162">
            <v>4</v>
          </cell>
          <cell r="B162">
            <v>0.23046875</v>
          </cell>
        </row>
      </sheetData>
      <sheetData sheetId="7">
        <row r="2">
          <cell r="B2" t="str">
            <v>HP</v>
          </cell>
          <cell r="C2" t="str">
            <v>Str</v>
          </cell>
          <cell r="D2" t="str">
            <v>Dex</v>
          </cell>
          <cell r="E2" t="str">
            <v>Vit</v>
          </cell>
          <cell r="F2" t="str">
            <v>Agi</v>
          </cell>
          <cell r="G2" t="str">
            <v>Int</v>
          </cell>
          <cell r="H2" t="str">
            <v>Mnd</v>
          </cell>
          <cell r="I2" t="str">
            <v>Chr</v>
          </cell>
        </row>
        <row r="3">
          <cell r="A3" t="str">
            <v>Final Stats</v>
          </cell>
          <cell r="B3">
            <v>1378</v>
          </cell>
          <cell r="C3">
            <v>92</v>
          </cell>
          <cell r="D3">
            <v>91</v>
          </cell>
          <cell r="E3">
            <v>87</v>
          </cell>
          <cell r="F3">
            <v>91</v>
          </cell>
          <cell r="G3">
            <v>82</v>
          </cell>
          <cell r="H3">
            <v>73</v>
          </cell>
          <cell r="I3">
            <v>77</v>
          </cell>
        </row>
        <row r="8">
          <cell r="A8" t="str">
            <v>Grades</v>
          </cell>
          <cell r="B8" t="str">
            <v>HP</v>
          </cell>
          <cell r="C8" t="str">
            <v>Str</v>
          </cell>
          <cell r="D8" t="str">
            <v>Dex</v>
          </cell>
          <cell r="E8" t="str">
            <v>Vit</v>
          </cell>
          <cell r="F8" t="str">
            <v>Agi</v>
          </cell>
          <cell r="G8" t="str">
            <v>Int</v>
          </cell>
          <cell r="H8" t="str">
            <v>Mnd</v>
          </cell>
          <cell r="I8" t="str">
            <v>Chr</v>
          </cell>
        </row>
        <row r="9">
          <cell r="A9" t="str">
            <v>Hume</v>
          </cell>
          <cell r="B9" t="str">
            <v>D</v>
          </cell>
          <cell r="C9" t="str">
            <v>D</v>
          </cell>
          <cell r="D9" t="str">
            <v>D</v>
          </cell>
          <cell r="E9" t="str">
            <v>D</v>
          </cell>
          <cell r="F9" t="str">
            <v>D</v>
          </cell>
          <cell r="G9" t="str">
            <v>D</v>
          </cell>
          <cell r="H9" t="str">
            <v>D</v>
          </cell>
          <cell r="I9" t="str">
            <v>D</v>
          </cell>
        </row>
        <row r="10">
          <cell r="A10" t="str">
            <v>Elvaan</v>
          </cell>
          <cell r="B10" t="str">
            <v>C</v>
          </cell>
          <cell r="C10" t="str">
            <v>B</v>
          </cell>
          <cell r="D10" t="str">
            <v>E</v>
          </cell>
          <cell r="E10" t="str">
            <v>C</v>
          </cell>
          <cell r="F10" t="str">
            <v>F</v>
          </cell>
          <cell r="G10" t="str">
            <v>F</v>
          </cell>
          <cell r="H10" t="str">
            <v>B</v>
          </cell>
          <cell r="I10" t="str">
            <v>D</v>
          </cell>
        </row>
        <row r="11">
          <cell r="A11" t="str">
            <v>Tarutaru</v>
          </cell>
          <cell r="B11" t="str">
            <v>G</v>
          </cell>
          <cell r="C11" t="str">
            <v>F</v>
          </cell>
          <cell r="D11" t="str">
            <v>D</v>
          </cell>
          <cell r="E11" t="str">
            <v>E</v>
          </cell>
          <cell r="F11" t="str">
            <v>C</v>
          </cell>
          <cell r="G11" t="str">
            <v>A</v>
          </cell>
          <cell r="H11" t="str">
            <v>E</v>
          </cell>
          <cell r="I11" t="str">
            <v>D</v>
          </cell>
        </row>
        <row r="12">
          <cell r="A12" t="str">
            <v>Mithra</v>
          </cell>
          <cell r="B12" t="str">
            <v>D</v>
          </cell>
          <cell r="C12" t="str">
            <v>E</v>
          </cell>
          <cell r="D12" t="str">
            <v>A</v>
          </cell>
          <cell r="E12" t="str">
            <v>E</v>
          </cell>
          <cell r="F12" t="str">
            <v>B</v>
          </cell>
          <cell r="G12" t="str">
            <v>D</v>
          </cell>
          <cell r="H12" t="str">
            <v>E</v>
          </cell>
          <cell r="I12" t="str">
            <v>F</v>
          </cell>
        </row>
        <row r="13">
          <cell r="A13" t="str">
            <v>Galka</v>
          </cell>
          <cell r="B13" t="str">
            <v>A</v>
          </cell>
          <cell r="C13" t="str">
            <v>C</v>
          </cell>
          <cell r="D13" t="str">
            <v>D</v>
          </cell>
          <cell r="E13" t="str">
            <v>A</v>
          </cell>
          <cell r="F13" t="str">
            <v>E</v>
          </cell>
          <cell r="G13" t="str">
            <v>E</v>
          </cell>
          <cell r="H13" t="str">
            <v>D</v>
          </cell>
          <cell r="I13" t="str">
            <v>F</v>
          </cell>
        </row>
        <row r="14">
          <cell r="A14" t="str">
            <v>BRD</v>
          </cell>
          <cell r="B14" t="str">
            <v>D</v>
          </cell>
          <cell r="C14" t="str">
            <v>D</v>
          </cell>
          <cell r="D14" t="str">
            <v>D</v>
          </cell>
          <cell r="E14" t="str">
            <v>D</v>
          </cell>
          <cell r="F14" t="str">
            <v>F</v>
          </cell>
          <cell r="G14" t="str">
            <v>D</v>
          </cell>
          <cell r="H14" t="str">
            <v>D</v>
          </cell>
          <cell r="I14" t="str">
            <v>B</v>
          </cell>
        </row>
        <row r="15">
          <cell r="A15" t="str">
            <v>BST</v>
          </cell>
          <cell r="B15" t="str">
            <v>C</v>
          </cell>
          <cell r="C15" t="str">
            <v>D</v>
          </cell>
          <cell r="D15" t="str">
            <v>C</v>
          </cell>
          <cell r="E15" t="str">
            <v>D</v>
          </cell>
          <cell r="F15" t="str">
            <v>F</v>
          </cell>
          <cell r="G15" t="str">
            <v>E</v>
          </cell>
          <cell r="H15" t="str">
            <v>E</v>
          </cell>
          <cell r="I15" t="str">
            <v>A</v>
          </cell>
        </row>
        <row r="16">
          <cell r="A16" t="str">
            <v>BLM</v>
          </cell>
          <cell r="B16" t="str">
            <v>F</v>
          </cell>
          <cell r="C16" t="str">
            <v>F</v>
          </cell>
          <cell r="D16" t="str">
            <v>C</v>
          </cell>
          <cell r="E16" t="str">
            <v>F</v>
          </cell>
          <cell r="F16" t="str">
            <v>C</v>
          </cell>
          <cell r="G16" t="str">
            <v>A</v>
          </cell>
          <cell r="H16" t="str">
            <v>E</v>
          </cell>
          <cell r="I16" t="str">
            <v>D</v>
          </cell>
        </row>
        <row r="17">
          <cell r="A17" t="str">
            <v>BLU</v>
          </cell>
          <cell r="B17" t="str">
            <v>D</v>
          </cell>
          <cell r="C17" t="str">
            <v>E</v>
          </cell>
          <cell r="D17" t="str">
            <v>E</v>
          </cell>
          <cell r="E17" t="str">
            <v>E</v>
          </cell>
          <cell r="F17" t="str">
            <v>E</v>
          </cell>
          <cell r="G17" t="str">
            <v>E</v>
          </cell>
          <cell r="H17" t="str">
            <v>E</v>
          </cell>
          <cell r="I17" t="str">
            <v>E</v>
          </cell>
        </row>
        <row r="18">
          <cell r="A18" t="str">
            <v>COR</v>
          </cell>
          <cell r="B18" t="str">
            <v>D</v>
          </cell>
          <cell r="C18" t="str">
            <v>E</v>
          </cell>
          <cell r="D18" t="str">
            <v>C</v>
          </cell>
          <cell r="E18" t="str">
            <v>E</v>
          </cell>
          <cell r="F18" t="str">
            <v>B</v>
          </cell>
          <cell r="G18" t="str">
            <v>C</v>
          </cell>
          <cell r="H18" t="str">
            <v>E</v>
          </cell>
          <cell r="I18" t="str">
            <v>E</v>
          </cell>
        </row>
        <row r="19">
          <cell r="A19" t="str">
            <v>DNC</v>
          </cell>
          <cell r="B19" t="str">
            <v>D</v>
          </cell>
          <cell r="C19" t="str">
            <v>D</v>
          </cell>
          <cell r="D19" t="str">
            <v>C</v>
          </cell>
          <cell r="E19" t="str">
            <v>E</v>
          </cell>
          <cell r="F19" t="str">
            <v>B</v>
          </cell>
          <cell r="G19" t="str">
            <v>F</v>
          </cell>
          <cell r="H19" t="str">
            <v>F</v>
          </cell>
          <cell r="I19" t="str">
            <v>B</v>
          </cell>
        </row>
        <row r="20">
          <cell r="A20" t="str">
            <v>DRK</v>
          </cell>
          <cell r="B20" t="str">
            <v>C</v>
          </cell>
          <cell r="C20" t="str">
            <v>A</v>
          </cell>
          <cell r="D20" t="str">
            <v>C</v>
          </cell>
          <cell r="E20" t="str">
            <v>C</v>
          </cell>
          <cell r="F20" t="str">
            <v>D</v>
          </cell>
          <cell r="G20" t="str">
            <v>C</v>
          </cell>
          <cell r="H20" t="str">
            <v>G</v>
          </cell>
          <cell r="I20" t="str">
            <v>G</v>
          </cell>
        </row>
        <row r="21">
          <cell r="A21" t="str">
            <v>DRG</v>
          </cell>
          <cell r="B21" t="str">
            <v>C</v>
          </cell>
          <cell r="C21" t="str">
            <v>B</v>
          </cell>
          <cell r="D21" t="str">
            <v>D</v>
          </cell>
          <cell r="E21" t="str">
            <v>C</v>
          </cell>
          <cell r="F21" t="str">
            <v>D</v>
          </cell>
          <cell r="G21" t="str">
            <v>F</v>
          </cell>
          <cell r="H21" t="str">
            <v>E</v>
          </cell>
          <cell r="I21" t="str">
            <v>C</v>
          </cell>
        </row>
        <row r="22">
          <cell r="A22" t="str">
            <v>MNK</v>
          </cell>
          <cell r="B22" t="str">
            <v>A</v>
          </cell>
          <cell r="C22" t="str">
            <v>C</v>
          </cell>
          <cell r="D22" t="str">
            <v>B</v>
          </cell>
          <cell r="E22" t="str">
            <v>A</v>
          </cell>
          <cell r="F22" t="str">
            <v>F</v>
          </cell>
          <cell r="G22" t="str">
            <v>G</v>
          </cell>
          <cell r="H22" t="str">
            <v>D</v>
          </cell>
          <cell r="I22" t="str">
            <v>E</v>
          </cell>
        </row>
        <row r="23">
          <cell r="A23" t="str">
            <v>NIN</v>
          </cell>
          <cell r="B23" t="str">
            <v>D</v>
          </cell>
          <cell r="C23" t="str">
            <v>C</v>
          </cell>
          <cell r="D23" t="str">
            <v>B</v>
          </cell>
          <cell r="E23" t="str">
            <v>C</v>
          </cell>
          <cell r="F23" t="str">
            <v>B</v>
          </cell>
          <cell r="G23" t="str">
            <v>D</v>
          </cell>
          <cell r="H23" t="str">
            <v>G</v>
          </cell>
          <cell r="I23" t="str">
            <v>F</v>
          </cell>
        </row>
        <row r="24">
          <cell r="A24" t="str">
            <v>PLD</v>
          </cell>
          <cell r="B24" t="str">
            <v>C</v>
          </cell>
          <cell r="C24" t="str">
            <v>B</v>
          </cell>
          <cell r="D24" t="str">
            <v>E</v>
          </cell>
          <cell r="E24" t="str">
            <v>A</v>
          </cell>
          <cell r="F24" t="str">
            <v>G</v>
          </cell>
          <cell r="G24" t="str">
            <v>G</v>
          </cell>
          <cell r="H24" t="str">
            <v>C</v>
          </cell>
          <cell r="I24" t="str">
            <v>C</v>
          </cell>
        </row>
        <row r="25">
          <cell r="A25" t="str">
            <v>PUP</v>
          </cell>
          <cell r="B25" t="str">
            <v>D</v>
          </cell>
          <cell r="C25" t="str">
            <v>E</v>
          </cell>
          <cell r="D25" t="str">
            <v>B</v>
          </cell>
          <cell r="E25" t="str">
            <v>D</v>
          </cell>
          <cell r="F25" t="str">
            <v>C</v>
          </cell>
          <cell r="G25" t="str">
            <v>E</v>
          </cell>
          <cell r="H25" t="str">
            <v>F</v>
          </cell>
          <cell r="I25" t="str">
            <v>C</v>
          </cell>
        </row>
        <row r="26">
          <cell r="A26" t="str">
            <v>RNG</v>
          </cell>
          <cell r="B26" t="str">
            <v>E</v>
          </cell>
          <cell r="C26" t="str">
            <v>E</v>
          </cell>
          <cell r="D26" t="str">
            <v>D</v>
          </cell>
          <cell r="E26" t="str">
            <v>D</v>
          </cell>
          <cell r="F26" t="str">
            <v>A</v>
          </cell>
          <cell r="G26" t="str">
            <v>E</v>
          </cell>
          <cell r="H26" t="str">
            <v>D</v>
          </cell>
          <cell r="I26" t="str">
            <v>E</v>
          </cell>
        </row>
        <row r="27">
          <cell r="A27" t="str">
            <v>RDM</v>
          </cell>
          <cell r="B27" t="str">
            <v>D</v>
          </cell>
          <cell r="C27" t="str">
            <v>D</v>
          </cell>
          <cell r="D27" t="str">
            <v>D</v>
          </cell>
          <cell r="E27" t="str">
            <v>E</v>
          </cell>
          <cell r="F27" t="str">
            <v>E</v>
          </cell>
          <cell r="G27" t="str">
            <v>C</v>
          </cell>
          <cell r="H27" t="str">
            <v>C</v>
          </cell>
          <cell r="I27" t="str">
            <v>D</v>
          </cell>
        </row>
        <row r="28">
          <cell r="A28" t="str">
            <v>SAM</v>
          </cell>
          <cell r="B28" t="str">
            <v>B</v>
          </cell>
          <cell r="C28" t="str">
            <v>C</v>
          </cell>
          <cell r="D28" t="str">
            <v>C</v>
          </cell>
          <cell r="E28" t="str">
            <v>C</v>
          </cell>
          <cell r="F28" t="str">
            <v>D</v>
          </cell>
          <cell r="G28" t="str">
            <v>E</v>
          </cell>
          <cell r="H28" t="str">
            <v>E</v>
          </cell>
          <cell r="I28" t="str">
            <v>D</v>
          </cell>
        </row>
        <row r="29">
          <cell r="A29" t="str">
            <v>SCH</v>
          </cell>
          <cell r="B29" t="str">
            <v>E</v>
          </cell>
          <cell r="C29" t="str">
            <v>F</v>
          </cell>
          <cell r="D29" t="str">
            <v>D</v>
          </cell>
          <cell r="E29" t="str">
            <v>E</v>
          </cell>
          <cell r="F29" t="str">
            <v>D</v>
          </cell>
          <cell r="G29" t="str">
            <v>B</v>
          </cell>
          <cell r="H29" t="str">
            <v>D</v>
          </cell>
          <cell r="I29" t="str">
            <v>C</v>
          </cell>
        </row>
        <row r="30">
          <cell r="A30" t="str">
            <v>SMN</v>
          </cell>
          <cell r="B30" t="str">
            <v>G</v>
          </cell>
          <cell r="C30" t="str">
            <v>F</v>
          </cell>
          <cell r="D30" t="str">
            <v>E</v>
          </cell>
          <cell r="E30" t="str">
            <v>F</v>
          </cell>
          <cell r="F30" t="str">
            <v>D</v>
          </cell>
          <cell r="G30" t="str">
            <v>B</v>
          </cell>
          <cell r="H30" t="str">
            <v>B</v>
          </cell>
          <cell r="I30" t="str">
            <v>B</v>
          </cell>
        </row>
        <row r="31">
          <cell r="A31" t="str">
            <v>THF</v>
          </cell>
          <cell r="B31" t="str">
            <v>D</v>
          </cell>
          <cell r="C31" t="str">
            <v>D</v>
          </cell>
          <cell r="D31" t="str">
            <v>A</v>
          </cell>
          <cell r="E31" t="str">
            <v>D</v>
          </cell>
          <cell r="F31" t="str">
            <v>B</v>
          </cell>
          <cell r="G31" t="str">
            <v>C</v>
          </cell>
          <cell r="H31" t="str">
            <v>G</v>
          </cell>
          <cell r="I31" t="str">
            <v>G</v>
          </cell>
        </row>
        <row r="32">
          <cell r="A32" t="str">
            <v>WAR</v>
          </cell>
          <cell r="B32" t="str">
            <v>B</v>
          </cell>
          <cell r="C32" t="str">
            <v>A</v>
          </cell>
          <cell r="D32" t="str">
            <v>C</v>
          </cell>
          <cell r="E32" t="str">
            <v>D</v>
          </cell>
          <cell r="F32" t="str">
            <v>C</v>
          </cell>
          <cell r="G32" t="str">
            <v>F</v>
          </cell>
          <cell r="H32" t="str">
            <v>F</v>
          </cell>
          <cell r="I32" t="str">
            <v>E</v>
          </cell>
        </row>
        <row r="33">
          <cell r="A33" t="str">
            <v>WHM</v>
          </cell>
          <cell r="B33" t="str">
            <v>E</v>
          </cell>
          <cell r="C33" t="str">
            <v>D</v>
          </cell>
          <cell r="D33" t="str">
            <v>F</v>
          </cell>
          <cell r="E33" t="str">
            <v>D</v>
          </cell>
          <cell r="F33" t="str">
            <v>E</v>
          </cell>
          <cell r="G33" t="str">
            <v>E</v>
          </cell>
          <cell r="H33" t="str">
            <v>A</v>
          </cell>
          <cell r="I33" t="str">
            <v>C</v>
          </cell>
        </row>
        <row r="36">
          <cell r="A36" t="str">
            <v>Grade Rates</v>
          </cell>
          <cell r="B36" t="str">
            <v>HPBase</v>
          </cell>
          <cell r="C36" t="str">
            <v>HP60</v>
          </cell>
          <cell r="D36" t="str">
            <v>HP30+</v>
          </cell>
          <cell r="E36" t="str">
            <v>HP75</v>
          </cell>
          <cell r="F36" t="str">
            <v>HP99</v>
          </cell>
          <cell r="G36" t="str">
            <v>StatBase</v>
          </cell>
          <cell r="H36" t="str">
            <v>Stat60</v>
          </cell>
          <cell r="I36" t="str">
            <v>Stat75</v>
          </cell>
          <cell r="J36" t="str">
            <v>Stat99</v>
          </cell>
        </row>
        <row r="37">
          <cell r="A37" t="str">
            <v>A</v>
          </cell>
          <cell r="B37">
            <v>19</v>
          </cell>
          <cell r="C37">
            <v>9</v>
          </cell>
          <cell r="D37">
            <v>1</v>
          </cell>
          <cell r="E37">
            <v>3</v>
          </cell>
          <cell r="F37">
            <v>3</v>
          </cell>
          <cell r="G37">
            <v>5</v>
          </cell>
          <cell r="H37">
            <v>0.5</v>
          </cell>
          <cell r="I37">
            <v>0.107421875</v>
          </cell>
          <cell r="J37">
            <v>0.390625</v>
          </cell>
        </row>
        <row r="38">
          <cell r="A38" t="str">
            <v>B</v>
          </cell>
          <cell r="B38">
            <v>17</v>
          </cell>
          <cell r="C38">
            <v>8</v>
          </cell>
          <cell r="D38">
            <v>1</v>
          </cell>
          <cell r="E38">
            <v>3</v>
          </cell>
          <cell r="F38">
            <v>3</v>
          </cell>
          <cell r="G38">
            <v>4</v>
          </cell>
          <cell r="H38">
            <v>0.45</v>
          </cell>
          <cell r="I38">
            <v>0.205078125</v>
          </cell>
          <cell r="J38">
            <v>0.390625</v>
          </cell>
        </row>
        <row r="39">
          <cell r="A39" t="str">
            <v>C</v>
          </cell>
          <cell r="B39">
            <v>16</v>
          </cell>
          <cell r="C39">
            <v>7</v>
          </cell>
          <cell r="D39">
            <v>1</v>
          </cell>
          <cell r="E39">
            <v>3</v>
          </cell>
          <cell r="F39">
            <v>3</v>
          </cell>
          <cell r="G39">
            <v>4</v>
          </cell>
          <cell r="H39">
            <v>0.4</v>
          </cell>
          <cell r="I39">
            <v>0.29296875</v>
          </cell>
          <cell r="J39">
            <v>0.390625</v>
          </cell>
        </row>
        <row r="40">
          <cell r="A40" t="str">
            <v>D</v>
          </cell>
          <cell r="B40">
            <v>14</v>
          </cell>
          <cell r="C40">
            <v>6</v>
          </cell>
          <cell r="D40">
            <v>0</v>
          </cell>
          <cell r="E40">
            <v>3</v>
          </cell>
          <cell r="F40">
            <v>3</v>
          </cell>
          <cell r="G40">
            <v>3</v>
          </cell>
          <cell r="H40">
            <v>0.35</v>
          </cell>
          <cell r="I40">
            <v>0.341796875</v>
          </cell>
          <cell r="J40">
            <v>0.390625</v>
          </cell>
        </row>
        <row r="41">
          <cell r="A41" t="str">
            <v>E</v>
          </cell>
          <cell r="B41">
            <v>13</v>
          </cell>
          <cell r="C41">
            <v>5</v>
          </cell>
          <cell r="D41">
            <v>0</v>
          </cell>
          <cell r="E41">
            <v>2</v>
          </cell>
          <cell r="F41">
            <v>2</v>
          </cell>
          <cell r="G41">
            <v>3</v>
          </cell>
          <cell r="H41">
            <v>0.3</v>
          </cell>
          <cell r="I41">
            <v>0.341796875</v>
          </cell>
          <cell r="J41">
            <v>0.390625</v>
          </cell>
        </row>
        <row r="42">
          <cell r="A42" t="str">
            <v>F</v>
          </cell>
          <cell r="B42">
            <v>11</v>
          </cell>
          <cell r="C42">
            <v>4</v>
          </cell>
          <cell r="D42">
            <v>0</v>
          </cell>
          <cell r="E42">
            <v>2</v>
          </cell>
          <cell r="F42">
            <v>2</v>
          </cell>
          <cell r="G42">
            <v>2</v>
          </cell>
          <cell r="H42">
            <v>0.25</v>
          </cell>
          <cell r="I42">
            <v>0.390625</v>
          </cell>
          <cell r="J42">
            <v>0.390625</v>
          </cell>
        </row>
        <row r="43">
          <cell r="A43" t="str">
            <v>G</v>
          </cell>
          <cell r="B43">
            <v>10</v>
          </cell>
          <cell r="C43">
            <v>3</v>
          </cell>
          <cell r="D43">
            <v>0</v>
          </cell>
          <cell r="E43">
            <v>2</v>
          </cell>
          <cell r="F43">
            <v>2</v>
          </cell>
          <cell r="G43">
            <v>2</v>
          </cell>
          <cell r="H43">
            <v>0.2</v>
          </cell>
          <cell r="I43">
            <v>0.419921875</v>
          </cell>
          <cell r="J43">
            <v>0.390625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42"/>
  </sheetPr>
  <dimension ref="A1:P50"/>
  <sheetViews>
    <sheetView zoomScaleNormal="100" workbookViewId="0"/>
  </sheetViews>
  <sheetFormatPr defaultRowHeight="12.75"/>
  <cols>
    <col min="1" max="1" width="25.7109375" customWidth="1"/>
    <col min="2" max="3" width="15.7109375" customWidth="1"/>
    <col min="4" max="4" width="8.7109375" customWidth="1"/>
    <col min="5" max="5" width="18.7109375" customWidth="1"/>
    <col min="6" max="7" width="12.7109375" customWidth="1"/>
    <col min="8" max="8" width="5.7109375" customWidth="1"/>
    <col min="9" max="9" width="21.7109375" customWidth="1"/>
    <col min="10" max="11" width="12.7109375" customWidth="1"/>
    <col min="12" max="12" width="14.28515625" customWidth="1"/>
    <col min="13" max="14" width="16.7109375" customWidth="1"/>
  </cols>
  <sheetData>
    <row r="1" spans="1:16">
      <c r="A1" s="9"/>
      <c r="B1" s="9" t="s">
        <v>149</v>
      </c>
      <c r="C1" s="9" t="s">
        <v>151</v>
      </c>
      <c r="D1" s="9"/>
      <c r="E1" s="101" t="s">
        <v>393</v>
      </c>
      <c r="F1" s="9" t="s">
        <v>149</v>
      </c>
      <c r="G1" s="9" t="s">
        <v>151</v>
      </c>
      <c r="H1" s="9"/>
      <c r="I1" s="9" t="s">
        <v>394</v>
      </c>
      <c r="J1" s="9" t="s">
        <v>149</v>
      </c>
      <c r="K1" s="9" t="s">
        <v>151</v>
      </c>
      <c r="L1" s="9"/>
      <c r="M1" s="9" t="s">
        <v>31</v>
      </c>
      <c r="N1" s="10" t="s">
        <v>810</v>
      </c>
    </row>
    <row r="2" spans="1:16">
      <c r="E2" s="102"/>
      <c r="F2" s="102"/>
      <c r="G2" s="102"/>
      <c r="M2" t="s">
        <v>32</v>
      </c>
      <c r="N2" s="31">
        <f>VLOOKUP($N$1,Mobs,MATCH($M2,MobHeader,0), FALSE)</f>
        <v>136</v>
      </c>
    </row>
    <row r="3" spans="1:16">
      <c r="A3" s="9" t="s">
        <v>167</v>
      </c>
      <c r="E3" s="101" t="s">
        <v>395</v>
      </c>
      <c r="F3" s="102"/>
      <c r="G3" s="102"/>
      <c r="I3" s="9" t="s">
        <v>396</v>
      </c>
      <c r="M3" t="s">
        <v>33</v>
      </c>
      <c r="N3" s="31">
        <f>VLOOKUP($N$1,Mobs,MATCH($M3,MobHeader,0), FALSE)</f>
        <v>1439</v>
      </c>
      <c r="O3" s="9" t="s">
        <v>149</v>
      </c>
      <c r="P3" s="9" t="s">
        <v>151</v>
      </c>
    </row>
    <row r="4" spans="1:16">
      <c r="A4" s="22" t="s">
        <v>0</v>
      </c>
      <c r="B4" s="10" t="s">
        <v>1</v>
      </c>
      <c r="C4" t="str">
        <f>B4</f>
        <v>Hume</v>
      </c>
      <c r="E4" t="s">
        <v>252</v>
      </c>
      <c r="F4" s="10">
        <v>1</v>
      </c>
      <c r="G4" s="10">
        <v>1</v>
      </c>
      <c r="I4" s="146" t="s">
        <v>605</v>
      </c>
      <c r="J4" s="10">
        <v>1</v>
      </c>
      <c r="K4" s="10">
        <v>1</v>
      </c>
      <c r="M4" t="s">
        <v>423</v>
      </c>
      <c r="N4" s="11"/>
      <c r="O4" s="1">
        <f>(VLOOKUP($J$5,dias,2,FALSE)+(IF($J$48=1,$M$48,0)))</f>
        <v>0.203125</v>
      </c>
      <c r="P4" s="1">
        <f>(VLOOKUP($K$5,dias,2,FALSE)+(IF($K$48=1,$N$48,0)))</f>
        <v>0.203125</v>
      </c>
    </row>
    <row r="5" spans="1:16">
      <c r="A5" s="22" t="s">
        <v>32</v>
      </c>
      <c r="B5" s="51">
        <v>99</v>
      </c>
      <c r="C5" s="52">
        <f>B5</f>
        <v>99</v>
      </c>
      <c r="D5" s="52"/>
      <c r="E5" t="s">
        <v>253</v>
      </c>
      <c r="F5" s="10">
        <v>0</v>
      </c>
      <c r="G5" s="10">
        <v>0</v>
      </c>
      <c r="I5" s="146" t="s">
        <v>782</v>
      </c>
      <c r="J5" s="10">
        <v>3</v>
      </c>
      <c r="K5" s="10">
        <v>3</v>
      </c>
      <c r="L5" s="52"/>
      <c r="M5" t="s">
        <v>175</v>
      </c>
      <c r="N5" s="203"/>
      <c r="O5" s="200">
        <f>N3-FLOOR(N3*(O4), 1)</f>
        <v>1147</v>
      </c>
      <c r="P5" s="200">
        <f>N3-FLOOR(N3*($P$4), 1)</f>
        <v>1147</v>
      </c>
    </row>
    <row r="6" spans="1:16">
      <c r="A6" t="s">
        <v>172</v>
      </c>
      <c r="B6" s="10" t="s">
        <v>173</v>
      </c>
      <c r="C6" s="31" t="str">
        <f>B6</f>
        <v>War</v>
      </c>
      <c r="D6" s="31"/>
      <c r="E6" t="s">
        <v>648</v>
      </c>
      <c r="F6" s="10">
        <v>0</v>
      </c>
      <c r="G6" s="10">
        <v>0</v>
      </c>
      <c r="L6" s="31"/>
      <c r="M6" t="s">
        <v>34</v>
      </c>
      <c r="N6" s="191">
        <f>(VLOOKUP($N$1,Mobs,MATCH($M6,MobHeader,0),FALSE))</f>
        <v>1254</v>
      </c>
      <c r="O6">
        <f>(VLOOKUP($N$1,Mobs,MATCH($M6,MobHeader,0),FALSE)-(IF($J$47=1,Setup!$M$47,0)))</f>
        <v>1254</v>
      </c>
      <c r="P6">
        <f>(VLOOKUP($N$1,Mobs,MATCH($M6,MobHeader,0),FALSE)-(IF($K$47=1,Setup!$N$47,0)))</f>
        <v>1254</v>
      </c>
    </row>
    <row r="7" spans="1:16">
      <c r="A7" t="s">
        <v>78</v>
      </c>
      <c r="B7" s="10" t="s">
        <v>907</v>
      </c>
      <c r="C7" s="31" t="str">
        <f>B7</f>
        <v>Sublime Sushi +1</v>
      </c>
      <c r="D7" s="31"/>
      <c r="E7" s="200" t="s">
        <v>811</v>
      </c>
      <c r="F7" s="10">
        <v>1</v>
      </c>
      <c r="G7" s="10">
        <v>1</v>
      </c>
      <c r="I7" s="9" t="s">
        <v>397</v>
      </c>
      <c r="L7" s="31"/>
      <c r="M7" t="s">
        <v>5</v>
      </c>
      <c r="N7" s="31">
        <f>VLOOKUP($N$1,Mobs,MATCH($M7,MobHeader,0), FALSE)</f>
        <v>281</v>
      </c>
    </row>
    <row r="8" spans="1:16">
      <c r="F8" s="106"/>
      <c r="G8" s="10"/>
      <c r="I8" s="103" t="s">
        <v>398</v>
      </c>
      <c r="J8" s="104">
        <v>500</v>
      </c>
      <c r="K8" s="105">
        <v>500</v>
      </c>
      <c r="M8" t="s">
        <v>42</v>
      </c>
      <c r="N8" s="31">
        <f>VLOOKUP($N$1,Mobs,MATCH($M8,MobHeader,0), FALSE)</f>
        <v>290</v>
      </c>
    </row>
    <row r="9" spans="1:16">
      <c r="A9" s="9" t="s">
        <v>6</v>
      </c>
      <c r="E9" s="101" t="s">
        <v>401</v>
      </c>
      <c r="F9" s="102"/>
      <c r="G9" s="102"/>
      <c r="I9" s="146" t="s">
        <v>399</v>
      </c>
      <c r="J9" s="10">
        <v>0</v>
      </c>
      <c r="K9" s="10">
        <v>0</v>
      </c>
      <c r="M9" t="s">
        <v>428</v>
      </c>
      <c r="N9" s="91">
        <f>VLOOKUP($N$1,Mobs,MATCH("CritDef",MobHeader,0), FALSE)</f>
        <v>0</v>
      </c>
    </row>
    <row r="10" spans="1:16">
      <c r="A10" t="s">
        <v>3</v>
      </c>
      <c r="B10" s="10">
        <v>15</v>
      </c>
      <c r="C10">
        <f t="shared" ref="C10:C17" si="0">B10</f>
        <v>15</v>
      </c>
      <c r="E10" t="s">
        <v>120</v>
      </c>
      <c r="F10" s="10">
        <v>0</v>
      </c>
      <c r="G10" s="10">
        <v>0</v>
      </c>
      <c r="M10" t="s">
        <v>429</v>
      </c>
      <c r="N10" s="91">
        <f>VLOOKUP($N$1,Mobs,MATCH("CritRate",MobHeader,0), FALSE)</f>
        <v>0</v>
      </c>
    </row>
    <row r="11" spans="1:16">
      <c r="A11" t="s">
        <v>4</v>
      </c>
      <c r="B11" s="10">
        <v>15</v>
      </c>
      <c r="C11">
        <f t="shared" si="0"/>
        <v>15</v>
      </c>
      <c r="E11" t="s">
        <v>181</v>
      </c>
      <c r="F11" s="10">
        <v>0</v>
      </c>
      <c r="G11" s="10">
        <v>0</v>
      </c>
      <c r="I11" s="9" t="s">
        <v>410</v>
      </c>
    </row>
    <row r="12" spans="1:16">
      <c r="A12" t="s">
        <v>42</v>
      </c>
      <c r="B12" s="10">
        <v>15</v>
      </c>
      <c r="C12">
        <f t="shared" si="0"/>
        <v>15</v>
      </c>
      <c r="E12" t="s">
        <v>404</v>
      </c>
      <c r="F12" s="10">
        <v>0</v>
      </c>
      <c r="G12" s="10">
        <v>0</v>
      </c>
      <c r="I12" s="31" t="s">
        <v>411</v>
      </c>
      <c r="J12" s="104">
        <v>450</v>
      </c>
      <c r="K12" s="105">
        <v>450</v>
      </c>
    </row>
    <row r="13" spans="1:16">
      <c r="A13" t="s">
        <v>179</v>
      </c>
      <c r="B13" s="11">
        <v>0.05</v>
      </c>
      <c r="C13" s="2">
        <f t="shared" si="0"/>
        <v>0.05</v>
      </c>
      <c r="D13" s="2"/>
      <c r="I13" s="31" t="s">
        <v>413</v>
      </c>
      <c r="J13" s="10">
        <v>0</v>
      </c>
      <c r="K13" s="10">
        <v>0</v>
      </c>
      <c r="M13" s="9" t="s">
        <v>896</v>
      </c>
      <c r="N13" s="202" t="s">
        <v>897</v>
      </c>
    </row>
    <row r="14" spans="1:16">
      <c r="A14" s="31" t="s">
        <v>648</v>
      </c>
      <c r="B14" s="10">
        <v>5</v>
      </c>
      <c r="C14">
        <f t="shared" ref="C14" si="1">B14</f>
        <v>5</v>
      </c>
      <c r="D14" s="2"/>
      <c r="M14" s="200"/>
      <c r="N14" s="202" t="s">
        <v>898</v>
      </c>
    </row>
    <row r="15" spans="1:16">
      <c r="A15" t="s">
        <v>251</v>
      </c>
      <c r="B15" s="10">
        <v>16</v>
      </c>
      <c r="C15">
        <f t="shared" si="0"/>
        <v>16</v>
      </c>
      <c r="E15" s="101" t="s">
        <v>405</v>
      </c>
      <c r="F15" s="9" t="s">
        <v>149</v>
      </c>
      <c r="G15" s="9" t="s">
        <v>151</v>
      </c>
      <c r="I15" s="9" t="s">
        <v>416</v>
      </c>
      <c r="M15" s="200"/>
      <c r="N15" s="202"/>
    </row>
    <row r="16" spans="1:16">
      <c r="A16" s="31" t="s">
        <v>520</v>
      </c>
      <c r="B16" s="10">
        <v>16</v>
      </c>
      <c r="C16">
        <f t="shared" si="0"/>
        <v>16</v>
      </c>
      <c r="E16" s="102"/>
      <c r="F16" s="102"/>
      <c r="G16" s="102"/>
      <c r="I16" s="103" t="s">
        <v>398</v>
      </c>
      <c r="J16" s="104">
        <v>475</v>
      </c>
      <c r="K16" s="105">
        <v>475</v>
      </c>
    </row>
    <row r="17" spans="1:14">
      <c r="A17" s="31" t="s">
        <v>653</v>
      </c>
      <c r="B17" s="10">
        <v>16</v>
      </c>
      <c r="C17">
        <f t="shared" si="0"/>
        <v>16</v>
      </c>
      <c r="E17" s="9" t="s">
        <v>168</v>
      </c>
      <c r="H17" s="10"/>
      <c r="I17" t="s">
        <v>354</v>
      </c>
      <c r="J17" s="10">
        <v>0</v>
      </c>
      <c r="K17" s="10">
        <v>0</v>
      </c>
    </row>
    <row r="18" spans="1:14">
      <c r="A18" t="s">
        <v>338</v>
      </c>
      <c r="B18" s="10">
        <v>5</v>
      </c>
      <c r="C18">
        <v>5</v>
      </c>
      <c r="E18" t="s">
        <v>170</v>
      </c>
      <c r="F18" s="10">
        <v>0</v>
      </c>
      <c r="G18" s="10">
        <v>0</v>
      </c>
      <c r="H18" s="10"/>
      <c r="I18" t="s">
        <v>417</v>
      </c>
      <c r="J18" s="10">
        <v>0</v>
      </c>
      <c r="K18" s="10">
        <v>0</v>
      </c>
    </row>
    <row r="19" spans="1:14">
      <c r="A19" s="200"/>
      <c r="B19" s="10"/>
      <c r="C19" s="200"/>
      <c r="E19" t="s">
        <v>171</v>
      </c>
      <c r="F19" s="105">
        <v>70</v>
      </c>
      <c r="G19" s="105">
        <f>F19</f>
        <v>70</v>
      </c>
      <c r="H19" s="10"/>
      <c r="I19" t="s">
        <v>185</v>
      </c>
      <c r="J19" s="10">
        <v>0</v>
      </c>
      <c r="K19" s="10">
        <v>0</v>
      </c>
    </row>
    <row r="20" spans="1:14">
      <c r="A20" s="9" t="s">
        <v>773</v>
      </c>
      <c r="B20" s="10">
        <v>2100</v>
      </c>
      <c r="C20" s="200"/>
      <c r="E20" t="s">
        <v>174</v>
      </c>
      <c r="F20" s="10" t="s">
        <v>113</v>
      </c>
      <c r="G20" s="10" t="s">
        <v>113</v>
      </c>
      <c r="H20" s="10"/>
    </row>
    <row r="21" spans="1:14">
      <c r="A21" s="103" t="s">
        <v>772</v>
      </c>
      <c r="B21" s="10">
        <v>20</v>
      </c>
      <c r="C21" s="200"/>
      <c r="D21" s="10"/>
      <c r="E21" t="s">
        <v>176</v>
      </c>
      <c r="F21" s="10" t="s">
        <v>112</v>
      </c>
      <c r="G21" s="10" t="s">
        <v>112</v>
      </c>
      <c r="H21" s="10"/>
      <c r="I21" s="9" t="s">
        <v>202</v>
      </c>
    </row>
    <row r="22" spans="1:14">
      <c r="B22" s="10"/>
      <c r="D22" s="10"/>
      <c r="E22" t="s">
        <v>177</v>
      </c>
      <c r="F22" s="10" t="s">
        <v>178</v>
      </c>
      <c r="G22" s="10" t="s">
        <v>178</v>
      </c>
      <c r="I22" t="s">
        <v>418</v>
      </c>
      <c r="J22" s="10">
        <v>0</v>
      </c>
      <c r="K22" s="10">
        <v>0</v>
      </c>
    </row>
    <row r="23" spans="1:14">
      <c r="A23" s="9" t="s">
        <v>180</v>
      </c>
      <c r="L23" s="200"/>
      <c r="M23" s="200"/>
      <c r="N23" s="200"/>
    </row>
    <row r="24" spans="1:14">
      <c r="A24" t="s">
        <v>182</v>
      </c>
      <c r="B24" s="10" t="s">
        <v>359</v>
      </c>
      <c r="C24" s="10" t="s">
        <v>601</v>
      </c>
      <c r="E24" s="9" t="s">
        <v>346</v>
      </c>
      <c r="F24" s="10">
        <v>0</v>
      </c>
      <c r="G24">
        <f>F24</f>
        <v>0</v>
      </c>
      <c r="I24" s="9" t="s">
        <v>402</v>
      </c>
    </row>
    <row r="25" spans="1:14">
      <c r="A25" s="202" t="s">
        <v>750</v>
      </c>
      <c r="B25" s="11">
        <v>0</v>
      </c>
      <c r="C25" s="11">
        <v>0</v>
      </c>
      <c r="E25" t="s">
        <v>412</v>
      </c>
      <c r="F25" s="90" t="s">
        <v>347</v>
      </c>
      <c r="G25" s="90" t="s">
        <v>347</v>
      </c>
      <c r="I25" s="103" t="s">
        <v>403</v>
      </c>
      <c r="J25" s="10">
        <v>0</v>
      </c>
      <c r="K25" s="10">
        <v>0</v>
      </c>
      <c r="L25" s="31" t="s">
        <v>592</v>
      </c>
      <c r="M25" s="105">
        <v>0</v>
      </c>
      <c r="N25" s="105">
        <v>0</v>
      </c>
    </row>
    <row r="26" spans="1:14">
      <c r="A26" s="202" t="s">
        <v>754</v>
      </c>
      <c r="B26" s="10">
        <v>1</v>
      </c>
      <c r="C26" s="10">
        <v>0</v>
      </c>
      <c r="E26" t="s">
        <v>414</v>
      </c>
      <c r="F26" s="90" t="s">
        <v>347</v>
      </c>
      <c r="G26" s="90" t="s">
        <v>347</v>
      </c>
      <c r="I26" s="30" t="s">
        <v>147</v>
      </c>
      <c r="J26" s="10">
        <v>1</v>
      </c>
      <c r="K26" s="10">
        <v>1</v>
      </c>
      <c r="L26" s="31" t="s">
        <v>593</v>
      </c>
      <c r="M26" s="105">
        <v>7</v>
      </c>
      <c r="N26" s="105">
        <v>7</v>
      </c>
    </row>
    <row r="27" spans="1:14">
      <c r="A27" t="s">
        <v>434</v>
      </c>
      <c r="B27" s="10">
        <v>0</v>
      </c>
      <c r="C27" s="10">
        <v>0</v>
      </c>
      <c r="E27" t="s">
        <v>415</v>
      </c>
      <c r="F27" s="90" t="s">
        <v>347</v>
      </c>
      <c r="G27" s="90" t="s">
        <v>347</v>
      </c>
      <c r="I27" s="53" t="s">
        <v>146</v>
      </c>
      <c r="J27" s="10">
        <v>0</v>
      </c>
      <c r="K27" s="10">
        <v>0</v>
      </c>
    </row>
    <row r="28" spans="1:14">
      <c r="A28" t="s">
        <v>435</v>
      </c>
      <c r="B28" s="105">
        <v>210</v>
      </c>
      <c r="C28" s="105">
        <v>210</v>
      </c>
      <c r="I28" t="s">
        <v>406</v>
      </c>
      <c r="J28" s="10">
        <v>0</v>
      </c>
      <c r="K28" s="10">
        <v>0</v>
      </c>
      <c r="L28" s="31" t="s">
        <v>97</v>
      </c>
      <c r="M28" s="105">
        <v>8</v>
      </c>
      <c r="N28" s="105">
        <v>8</v>
      </c>
    </row>
    <row r="29" spans="1:14">
      <c r="A29" t="s">
        <v>436</v>
      </c>
      <c r="B29" s="10">
        <v>0</v>
      </c>
      <c r="C29" s="10">
        <v>0</v>
      </c>
      <c r="E29" t="s">
        <v>186</v>
      </c>
      <c r="F29" s="10">
        <v>0</v>
      </c>
      <c r="G29" s="10">
        <v>0</v>
      </c>
      <c r="I29" t="s">
        <v>407</v>
      </c>
      <c r="J29" s="10">
        <v>0</v>
      </c>
      <c r="K29" s="10">
        <v>0</v>
      </c>
      <c r="L29" s="31" t="s">
        <v>594</v>
      </c>
      <c r="M29" s="105">
        <v>5</v>
      </c>
      <c r="N29" s="105">
        <v>5</v>
      </c>
    </row>
    <row r="30" spans="1:14">
      <c r="B30" s="10"/>
      <c r="C30" s="10"/>
      <c r="F30" s="10"/>
      <c r="G30" s="10"/>
      <c r="I30" s="31" t="s">
        <v>591</v>
      </c>
      <c r="J30" s="10">
        <v>0</v>
      </c>
      <c r="K30" s="10">
        <v>0</v>
      </c>
      <c r="L30" s="10"/>
      <c r="M30" s="10"/>
      <c r="N30" s="10"/>
    </row>
    <row r="31" spans="1:14">
      <c r="E31" s="9" t="s">
        <v>529</v>
      </c>
      <c r="F31" s="10"/>
      <c r="G31" s="10"/>
      <c r="I31" t="s">
        <v>408</v>
      </c>
      <c r="J31" s="10">
        <v>0</v>
      </c>
      <c r="K31" s="10">
        <v>0</v>
      </c>
      <c r="L31" s="31" t="s">
        <v>446</v>
      </c>
      <c r="M31" s="105">
        <v>9</v>
      </c>
      <c r="N31" s="105">
        <v>9</v>
      </c>
    </row>
    <row r="32" spans="1:14">
      <c r="A32" s="9" t="s">
        <v>187</v>
      </c>
      <c r="B32" s="9" t="s">
        <v>149</v>
      </c>
      <c r="C32" s="9" t="s">
        <v>151</v>
      </c>
      <c r="E32" t="s">
        <v>530</v>
      </c>
      <c r="F32" s="10">
        <v>0</v>
      </c>
      <c r="G32" s="10">
        <v>0</v>
      </c>
      <c r="I32" t="s">
        <v>409</v>
      </c>
      <c r="J32" s="10">
        <v>1</v>
      </c>
      <c r="K32" s="10">
        <v>1</v>
      </c>
      <c r="L32" s="31" t="s">
        <v>595</v>
      </c>
      <c r="M32" s="105">
        <v>5</v>
      </c>
      <c r="N32" s="105">
        <v>5</v>
      </c>
    </row>
    <row r="33" spans="1:14">
      <c r="A33" t="s">
        <v>188</v>
      </c>
      <c r="B33" s="7">
        <f ca="1">Data!B265</f>
        <v>1398.2345450332107</v>
      </c>
      <c r="C33" s="7">
        <f ca="1">Data!C265</f>
        <v>1186.1313652300787</v>
      </c>
      <c r="I33" t="s">
        <v>852</v>
      </c>
      <c r="J33" s="10">
        <v>0</v>
      </c>
      <c r="K33" s="10">
        <v>0</v>
      </c>
      <c r="L33" s="202" t="s">
        <v>852</v>
      </c>
      <c r="M33" s="105">
        <v>4</v>
      </c>
      <c r="N33" s="105">
        <v>4</v>
      </c>
    </row>
    <row r="34" spans="1:14">
      <c r="A34" t="s">
        <v>189</v>
      </c>
      <c r="B34" s="6">
        <f ca="1">Data!B273</f>
        <v>1073.8441305855058</v>
      </c>
      <c r="C34" s="6">
        <f ca="1">Data!C273</f>
        <v>872.5564066060349</v>
      </c>
      <c r="I34" s="9" t="s">
        <v>419</v>
      </c>
      <c r="M34" s="9" t="s">
        <v>149</v>
      </c>
      <c r="N34" s="9" t="s">
        <v>151</v>
      </c>
    </row>
    <row r="35" spans="1:14">
      <c r="A35" t="s">
        <v>889</v>
      </c>
      <c r="B35" s="3">
        <f ca="1">(Data!$B94+Data!$B156)/2</f>
        <v>1.353371490171092</v>
      </c>
      <c r="C35" s="3">
        <f ca="1">(Data!$C$94+Data!$C$156)/2</f>
        <v>1.2220751651183979</v>
      </c>
      <c r="E35" t="s">
        <v>456</v>
      </c>
      <c r="F35" s="10">
        <v>0</v>
      </c>
      <c r="G35" s="10">
        <v>0</v>
      </c>
      <c r="I35" t="s">
        <v>183</v>
      </c>
      <c r="J35" s="10">
        <v>1</v>
      </c>
      <c r="K35" s="10">
        <v>1</v>
      </c>
      <c r="L35" t="s">
        <v>430</v>
      </c>
      <c r="M35" s="107">
        <v>0.25</v>
      </c>
      <c r="N35" s="108">
        <v>0.25</v>
      </c>
    </row>
    <row r="36" spans="1:14">
      <c r="A36" t="s">
        <v>190</v>
      </c>
      <c r="B36" s="4">
        <f ca="1">Data!D283</f>
        <v>3.3530553862946908</v>
      </c>
      <c r="C36" s="4">
        <f ca="1">Data!E283</f>
        <v>3.1018835906170636</v>
      </c>
      <c r="I36" t="s">
        <v>497</v>
      </c>
      <c r="J36" s="10">
        <v>0</v>
      </c>
      <c r="K36" s="10">
        <v>0</v>
      </c>
      <c r="L36" t="s">
        <v>10</v>
      </c>
      <c r="M36" s="105">
        <v>75</v>
      </c>
      <c r="N36" s="105">
        <v>75</v>
      </c>
    </row>
    <row r="37" spans="1:14">
      <c r="A37" s="22" t="s">
        <v>40</v>
      </c>
      <c r="B37" s="7">
        <f ca="1">Data!D282</f>
        <v>11843.193674051365</v>
      </c>
      <c r="C37" s="7">
        <f ca="1">Data!E282</f>
        <v>11908.793388109687</v>
      </c>
      <c r="E37" s="9" t="s">
        <v>342</v>
      </c>
      <c r="F37" s="10"/>
      <c r="G37" s="10"/>
      <c r="I37" t="s">
        <v>420</v>
      </c>
      <c r="J37" s="10">
        <v>1</v>
      </c>
      <c r="K37" s="10">
        <v>1</v>
      </c>
      <c r="L37" t="s">
        <v>431</v>
      </c>
      <c r="M37" s="107">
        <v>0.17</v>
      </c>
      <c r="N37" s="108">
        <v>0.17</v>
      </c>
    </row>
    <row r="38" spans="1:14">
      <c r="E38" t="s">
        <v>67</v>
      </c>
      <c r="F38" s="10">
        <v>0.5</v>
      </c>
      <c r="G38" s="10">
        <v>0.5</v>
      </c>
      <c r="I38" t="s">
        <v>421</v>
      </c>
      <c r="J38" s="10">
        <v>0</v>
      </c>
      <c r="K38" s="10">
        <v>0</v>
      </c>
      <c r="L38" t="s">
        <v>432</v>
      </c>
      <c r="M38" s="107">
        <v>0.17</v>
      </c>
      <c r="N38" s="108">
        <v>0.17</v>
      </c>
    </row>
    <row r="39" spans="1:14">
      <c r="A39" t="s">
        <v>191</v>
      </c>
      <c r="B39" s="7">
        <f ca="1">Data!D285</f>
        <v>16531.551546578277</v>
      </c>
      <c r="C39" s="7">
        <f ca="1">Data!E285</f>
        <v>15588.034806233083</v>
      </c>
      <c r="E39" t="s">
        <v>343</v>
      </c>
      <c r="F39" s="10">
        <v>0</v>
      </c>
      <c r="G39" s="10">
        <v>0</v>
      </c>
      <c r="I39" t="s">
        <v>68</v>
      </c>
      <c r="J39" s="10">
        <v>0</v>
      </c>
      <c r="K39" s="10">
        <v>0</v>
      </c>
      <c r="L39" t="s">
        <v>13</v>
      </c>
      <c r="M39" s="105">
        <v>70</v>
      </c>
      <c r="N39" s="105">
        <v>70</v>
      </c>
    </row>
    <row r="40" spans="1:14">
      <c r="A40" t="s">
        <v>192</v>
      </c>
      <c r="B40" s="7">
        <f ca="1">Data!D284</f>
        <v>381.95745205427272</v>
      </c>
      <c r="C40" s="7">
        <f ca="1">Data!E284</f>
        <v>372.99738035970427</v>
      </c>
      <c r="E40" t="s">
        <v>352</v>
      </c>
      <c r="F40" s="10">
        <v>1000</v>
      </c>
      <c r="G40" s="10">
        <v>1000</v>
      </c>
      <c r="I40" t="s">
        <v>184</v>
      </c>
      <c r="J40" s="10">
        <v>0</v>
      </c>
      <c r="K40" s="10">
        <v>0</v>
      </c>
      <c r="L40" t="s">
        <v>116</v>
      </c>
      <c r="M40" s="105">
        <v>50</v>
      </c>
      <c r="N40" s="105">
        <v>50</v>
      </c>
    </row>
    <row r="41" spans="1:14">
      <c r="A41" s="200"/>
      <c r="B41" s="7"/>
      <c r="C41" s="7"/>
      <c r="E41" t="s">
        <v>353</v>
      </c>
      <c r="F41" s="10">
        <v>0</v>
      </c>
      <c r="G41" s="10">
        <v>0</v>
      </c>
      <c r="I41" t="s">
        <v>422</v>
      </c>
      <c r="J41" s="10">
        <v>0</v>
      </c>
      <c r="K41" s="10">
        <v>0</v>
      </c>
      <c r="L41" t="s">
        <v>433</v>
      </c>
      <c r="M41" s="105">
        <v>200</v>
      </c>
      <c r="N41" s="105">
        <v>200</v>
      </c>
    </row>
    <row r="42" spans="1:14">
      <c r="D42" t="s">
        <v>196</v>
      </c>
    </row>
    <row r="43" spans="1:14">
      <c r="A43" s="9" t="s">
        <v>193</v>
      </c>
      <c r="B43" s="8">
        <f ca="1">Data!D286</f>
        <v>2596.8680214511369</v>
      </c>
      <c r="C43" s="8">
        <f ca="1">Data!E286</f>
        <v>2507.4762923858475</v>
      </c>
      <c r="D43">
        <f>B47+C47</f>
        <v>300</v>
      </c>
      <c r="E43" s="9"/>
      <c r="I43" s="9" t="s">
        <v>732</v>
      </c>
    </row>
    <row r="44" spans="1:14">
      <c r="E44" s="202"/>
      <c r="I44" s="202" t="s">
        <v>733</v>
      </c>
      <c r="J44" s="213">
        <v>0</v>
      </c>
      <c r="K44" s="213">
        <v>0</v>
      </c>
    </row>
    <row r="45" spans="1:14">
      <c r="A45" s="9" t="s">
        <v>194</v>
      </c>
      <c r="B45" s="9" t="s">
        <v>149</v>
      </c>
      <c r="C45" s="9" t="s">
        <v>151</v>
      </c>
      <c r="I45" s="202" t="s">
        <v>734</v>
      </c>
      <c r="J45" s="213">
        <v>0</v>
      </c>
      <c r="K45" s="213">
        <v>0</v>
      </c>
    </row>
    <row r="46" spans="1:14">
      <c r="A46" t="s">
        <v>195</v>
      </c>
      <c r="I46" s="26" t="s">
        <v>735</v>
      </c>
      <c r="J46" s="213">
        <v>0</v>
      </c>
      <c r="K46" s="213">
        <v>0</v>
      </c>
      <c r="M46" s="9" t="s">
        <v>149</v>
      </c>
      <c r="N46" s="9" t="s">
        <v>151</v>
      </c>
    </row>
    <row r="47" spans="1:14">
      <c r="A47" t="s">
        <v>197</v>
      </c>
      <c r="B47" s="54">
        <v>100</v>
      </c>
      <c r="C47" s="54">
        <v>200</v>
      </c>
      <c r="I47" s="202" t="s">
        <v>736</v>
      </c>
      <c r="J47" s="213">
        <v>0</v>
      </c>
      <c r="K47" s="213">
        <v>0</v>
      </c>
      <c r="L47" s="202" t="s">
        <v>740</v>
      </c>
      <c r="M47" s="207">
        <v>100</v>
      </c>
      <c r="N47" s="208">
        <v>100</v>
      </c>
    </row>
    <row r="48" spans="1:14">
      <c r="A48" s="9" t="s">
        <v>198</v>
      </c>
      <c r="B48" s="8">
        <f ca="1">B43*B47/D43 + C43*C47/D43</f>
        <v>2537.2735354076108</v>
      </c>
      <c r="C48" s="6"/>
      <c r="I48" s="202" t="s">
        <v>737</v>
      </c>
      <c r="J48" s="213">
        <v>0</v>
      </c>
      <c r="K48" s="213">
        <v>0</v>
      </c>
      <c r="L48" s="202" t="s">
        <v>741</v>
      </c>
      <c r="M48" s="209">
        <v>0.41799999999999998</v>
      </c>
      <c r="N48" s="209">
        <v>0.41799999999999998</v>
      </c>
    </row>
    <row r="49" spans="9:14">
      <c r="I49" s="202" t="s">
        <v>738</v>
      </c>
      <c r="J49" s="10">
        <v>0</v>
      </c>
      <c r="K49" s="10">
        <v>0</v>
      </c>
      <c r="L49" s="202" t="s">
        <v>742</v>
      </c>
      <c r="M49" s="208">
        <v>75</v>
      </c>
      <c r="N49" s="208">
        <v>75</v>
      </c>
    </row>
    <row r="50" spans="9:14">
      <c r="I50" s="202" t="s">
        <v>739</v>
      </c>
      <c r="J50" s="10">
        <v>0</v>
      </c>
      <c r="K50" s="10">
        <v>0</v>
      </c>
      <c r="L50" s="202" t="s">
        <v>743</v>
      </c>
      <c r="M50" s="209">
        <v>0.61699999999999999</v>
      </c>
      <c r="N50" s="209">
        <v>0.61699999999999999</v>
      </c>
    </row>
  </sheetData>
  <phoneticPr fontId="2" type="noConversion"/>
  <conditionalFormatting sqref="K35:K41 K22 K17:K19 K13 G10:G12 G35 G32 K9 K25:K32 K4:K5 G4:G8">
    <cfRule type="cellIs" dxfId="12" priority="17" stopIfTrue="1" operator="notEqual">
      <formula>INDIRECT(ADDRESS(ROW(), COLUMN()-1))</formula>
    </cfRule>
  </conditionalFormatting>
  <conditionalFormatting sqref="N35:N41 N28:N29 N25:N26 K16 K12 G19 K8 C28 N31:N33">
    <cfRule type="cellIs" dxfId="11" priority="18" stopIfTrue="1" operator="notEqual">
      <formula>INDIRECT(ADDRESS(ROW(), COLUMN()-1))</formula>
    </cfRule>
  </conditionalFormatting>
  <conditionalFormatting sqref="C27 C29:C30">
    <cfRule type="expression" dxfId="10" priority="19" stopIfTrue="1">
      <formula>AND($C$27=1, $C$29=1)</formula>
    </cfRule>
    <cfRule type="cellIs" dxfId="9" priority="20" stopIfTrue="1" operator="notEqual">
      <formula>B27</formula>
    </cfRule>
  </conditionalFormatting>
  <conditionalFormatting sqref="B27 B29:B30">
    <cfRule type="expression" dxfId="8" priority="21" stopIfTrue="1">
      <formula>AND($B$27=1, $B$29=1)</formula>
    </cfRule>
  </conditionalFormatting>
  <conditionalFormatting sqref="J9">
    <cfRule type="expression" dxfId="7" priority="41" stopIfTrue="1">
      <formula>AND($J$9=1,#REF!= 1)</formula>
    </cfRule>
  </conditionalFormatting>
  <conditionalFormatting sqref="K50">
    <cfRule type="cellIs" dxfId="6" priority="3" stopIfTrue="1" operator="notEqual">
      <formula>INDIRECT(ADDRESS(ROW(), COLUMN()-1))</formula>
    </cfRule>
  </conditionalFormatting>
  <conditionalFormatting sqref="K44:K50">
    <cfRule type="cellIs" dxfId="5" priority="4" stopIfTrue="1" operator="notEqual">
      <formula>INDIRECT(ADDRESS(ROW(), COLUMN()-1))</formula>
    </cfRule>
  </conditionalFormatting>
  <conditionalFormatting sqref="B26">
    <cfRule type="expression" dxfId="4" priority="2" stopIfTrue="1">
      <formula>AND($B$27=1, $B$29=1)</formula>
    </cfRule>
  </conditionalFormatting>
  <conditionalFormatting sqref="C26">
    <cfRule type="expression" dxfId="3" priority="1" stopIfTrue="1">
      <formula>AND($B$27=1, $B$29=1)</formula>
    </cfRule>
  </conditionalFormatting>
  <dataValidations count="20">
    <dataValidation type="whole" allowBlank="1" showInputMessage="1" showErrorMessage="1" sqref="M31:N31">
      <formula1>0</formula1>
      <formula2>9</formula2>
    </dataValidation>
    <dataValidation type="list" allowBlank="1" showInputMessage="1" showErrorMessage="1" sqref="J35:K41 F29:G29 F32:G32 B29:C30 F35:G35 F10:G12 F18:G18 F24 J9:K9 J17:K19 J13:K13 J22:K22 B26:C27 J44:K50 J4:K4 F4:G7 J25:K33">
      <formula1>Toggle</formula1>
    </dataValidation>
    <dataValidation type="whole" allowBlank="1" showInputMessage="1" showErrorMessage="1" sqref="J16:K16 J8:K8 F39:G39 J12:K12">
      <formula1>0</formula1>
      <formula2>500</formula2>
    </dataValidation>
    <dataValidation type="decimal" allowBlank="1" showInputMessage="1" showErrorMessage="1" sqref="N4">
      <formula1>0</formula1>
      <formula2>0.99</formula2>
    </dataValidation>
    <dataValidation type="list" allowBlank="1" showInputMessage="1" showErrorMessage="1" sqref="F20:G22">
      <formula1>Atmas</formula1>
    </dataValidation>
    <dataValidation type="whole" allowBlank="1" showInputMessage="1" showErrorMessage="1" sqref="B28:C28">
      <formula1>200</formula1>
      <formula2>299</formula2>
    </dataValidation>
    <dataValidation type="whole" allowBlank="1" showInputMessage="1" showErrorMessage="1" sqref="F40:G40">
      <formula1>1000</formula1>
      <formula2>3000</formula2>
    </dataValidation>
    <dataValidation type="list" allowBlank="1" showInputMessage="1" showErrorMessage="1" sqref="N1">
      <formula1>MobNames</formula1>
    </dataValidation>
    <dataValidation type="list" allowBlank="1" showInputMessage="1" showErrorMessage="1" sqref="B24:C24">
      <formula1>Weaponskills</formula1>
    </dataValidation>
    <dataValidation type="whole" allowBlank="1" showInputMessage="1" showErrorMessage="1" sqref="B5">
      <formula1>75</formula1>
      <formula2>99</formula2>
    </dataValidation>
    <dataValidation type="whole" allowBlank="1" showInputMessage="1" showErrorMessage="1" sqref="B10:B12">
      <formula1>0</formula1>
      <formula2>15</formula2>
    </dataValidation>
    <dataValidation type="list" allowBlank="1" showInputMessage="1" showErrorMessage="1" sqref="B4">
      <formula1>Races</formula1>
    </dataValidation>
    <dataValidation type="list" allowBlank="1" showInputMessage="1" showErrorMessage="1" sqref="B7">
      <formula1>FoodList</formula1>
    </dataValidation>
    <dataValidation type="list" allowBlank="1" showInputMessage="1" showErrorMessage="1" sqref="B6">
      <formula1>Subjobs</formula1>
    </dataValidation>
    <dataValidation type="list" allowBlank="1" showInputMessage="1" showErrorMessage="1" sqref="I4">
      <formula1>Hastes</formula1>
    </dataValidation>
    <dataValidation type="list" allowBlank="1" showInputMessage="1" showErrorMessage="1" sqref="I9">
      <formula1>Boosts</formula1>
    </dataValidation>
    <dataValidation type="list" allowBlank="1" showInputMessage="1" showErrorMessage="1" sqref="J5:K5">
      <formula1>dialist</formula1>
    </dataValidation>
    <dataValidation type="whole" allowBlank="1" showInputMessage="1" showErrorMessage="1" sqref="M25:N26 M28:N28">
      <formula1>0</formula1>
      <formula2>8</formula2>
    </dataValidation>
    <dataValidation type="whole" allowBlank="1" showInputMessage="1" showErrorMessage="1" sqref="M29:N29 M32:N32">
      <formula1>0</formula1>
      <formula2>5</formula2>
    </dataValidation>
    <dataValidation type="whole" allowBlank="1" showInputMessage="1" showErrorMessage="1" sqref="M33:N33">
      <formula1>0</formula1>
      <formula2>4</formula2>
    </dataValidation>
  </dataValidations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indexed="42"/>
  </sheetPr>
  <dimension ref="A1:AU48"/>
  <sheetViews>
    <sheetView tabSelected="1" zoomScaleNormal="100" workbookViewId="0"/>
  </sheetViews>
  <sheetFormatPr defaultRowHeight="12.75"/>
  <cols>
    <col min="1" max="1" width="12.28515625" customWidth="1"/>
    <col min="2" max="2" width="17.28515625" customWidth="1"/>
    <col min="3" max="3" width="4.5703125" customWidth="1"/>
    <col min="4" max="9" width="4.28515625" customWidth="1"/>
    <col min="10" max="13" width="4.7109375" customWidth="1"/>
    <col min="14" max="15" width="6.7109375" bestFit="1" customWidth="1"/>
    <col min="16" max="16" width="5.7109375" customWidth="1"/>
    <col min="17" max="17" width="4.85546875" customWidth="1"/>
    <col min="18" max="18" width="6.42578125" customWidth="1"/>
    <col min="19" max="21" width="4.5703125" customWidth="1"/>
    <col min="22" max="22" width="5.42578125" customWidth="1"/>
    <col min="23" max="23" width="4" customWidth="1"/>
    <col min="24" max="24" width="4.140625" customWidth="1"/>
    <col min="25" max="25" width="11.42578125" customWidth="1"/>
    <col min="26" max="26" width="16.28515625" customWidth="1"/>
    <col min="27" max="27" width="4.5703125" customWidth="1"/>
    <col min="28" max="33" width="4.28515625" customWidth="1"/>
    <col min="34" max="37" width="4.7109375" customWidth="1"/>
    <col min="38" max="39" width="6.7109375" bestFit="1" customWidth="1"/>
    <col min="40" max="40" width="5.5703125" customWidth="1"/>
    <col min="41" max="41" width="4.5703125" customWidth="1"/>
    <col min="42" max="42" width="4.85546875" customWidth="1"/>
    <col min="43" max="43" width="7" customWidth="1"/>
    <col min="44" max="45" width="4.85546875" customWidth="1"/>
    <col min="46" max="46" width="5.28515625" customWidth="1"/>
  </cols>
  <sheetData>
    <row r="1" spans="1:47">
      <c r="A1" t="s">
        <v>254</v>
      </c>
      <c r="B1" s="20"/>
      <c r="Y1" t="s">
        <v>255</v>
      </c>
      <c r="Z1" s="20"/>
    </row>
    <row r="2" spans="1:47">
      <c r="A2" t="s">
        <v>8</v>
      </c>
      <c r="B2" t="s">
        <v>14</v>
      </c>
      <c r="C2" t="s">
        <v>30</v>
      </c>
      <c r="D2" s="31" t="str">
        <f>IF(OR(A3="Dagger", A4="Dagger"), "DSkill", "TSkill")</f>
        <v>DSkill</v>
      </c>
      <c r="E2" t="s">
        <v>3</v>
      </c>
      <c r="F2" t="s">
        <v>4</v>
      </c>
      <c r="G2" t="s">
        <v>42</v>
      </c>
      <c r="H2" t="s">
        <v>208</v>
      </c>
      <c r="I2" t="s">
        <v>9</v>
      </c>
      <c r="J2" t="s">
        <v>10</v>
      </c>
      <c r="K2" t="s">
        <v>12</v>
      </c>
      <c r="L2" t="s">
        <v>152</v>
      </c>
      <c r="M2" t="s">
        <v>345</v>
      </c>
      <c r="N2" t="s">
        <v>122</v>
      </c>
      <c r="O2" t="s">
        <v>119</v>
      </c>
      <c r="P2" t="s">
        <v>118</v>
      </c>
      <c r="Q2" t="s">
        <v>11</v>
      </c>
      <c r="R2" t="s">
        <v>116</v>
      </c>
      <c r="S2" s="31" t="s">
        <v>649</v>
      </c>
      <c r="T2" t="s">
        <v>636</v>
      </c>
      <c r="U2" t="s">
        <v>635</v>
      </c>
      <c r="V2" t="s">
        <v>13</v>
      </c>
      <c r="W2" t="s">
        <v>845</v>
      </c>
      <c r="Y2" t="s">
        <v>8</v>
      </c>
      <c r="Z2" t="s">
        <v>14</v>
      </c>
      <c r="AA2" t="s">
        <v>30</v>
      </c>
      <c r="AB2" s="31" t="str">
        <f>IF(OR(Y3="Dagger", Y4="Dagger"), "DSkill", "TSkill")</f>
        <v>DSkill</v>
      </c>
      <c r="AC2" t="s">
        <v>3</v>
      </c>
      <c r="AD2" t="s">
        <v>4</v>
      </c>
      <c r="AE2" t="s">
        <v>42</v>
      </c>
      <c r="AF2" t="s">
        <v>208</v>
      </c>
      <c r="AG2" t="s">
        <v>9</v>
      </c>
      <c r="AH2" t="s">
        <v>10</v>
      </c>
      <c r="AI2" t="s">
        <v>12</v>
      </c>
      <c r="AJ2" t="s">
        <v>152</v>
      </c>
      <c r="AK2" t="s">
        <v>345</v>
      </c>
      <c r="AL2" t="s">
        <v>122</v>
      </c>
      <c r="AM2" t="s">
        <v>119</v>
      </c>
      <c r="AN2" t="s">
        <v>118</v>
      </c>
      <c r="AO2" t="s">
        <v>11</v>
      </c>
      <c r="AP2" t="s">
        <v>116</v>
      </c>
      <c r="AQ2" s="31" t="s">
        <v>649</v>
      </c>
      <c r="AR2" t="s">
        <v>636</v>
      </c>
      <c r="AS2" t="s">
        <v>635</v>
      </c>
      <c r="AT2" t="s">
        <v>13</v>
      </c>
      <c r="AU2" t="s">
        <v>845</v>
      </c>
    </row>
    <row r="3" spans="1:47">
      <c r="A3" s="31" t="s">
        <v>519</v>
      </c>
      <c r="B3" s="33" t="s">
        <v>833</v>
      </c>
      <c r="C3">
        <f t="shared" ref="C3:D5" ca="1" si="0">IF(ISBLANK($B3), 0, VLOOKUP($B3, INDIRECT($A3), MATCH(C$2, StatHeader, 0), 0))</f>
        <v>0</v>
      </c>
      <c r="D3">
        <f t="shared" ca="1" si="0"/>
        <v>0</v>
      </c>
      <c r="E3">
        <f t="shared" ref="E3:T18" ca="1" si="1">IF(ISBLANK($B3), 0, VLOOKUP($B3, INDIRECT($A3), MATCH(E$2, StatHeader, 0), 0))</f>
        <v>0</v>
      </c>
      <c r="F3">
        <f t="shared" ca="1" si="1"/>
        <v>0</v>
      </c>
      <c r="G3">
        <f t="shared" ca="1" si="1"/>
        <v>0</v>
      </c>
      <c r="H3">
        <f t="shared" ca="1" si="1"/>
        <v>0</v>
      </c>
      <c r="I3">
        <f t="shared" ca="1" si="1"/>
        <v>60</v>
      </c>
      <c r="J3">
        <f t="shared" ca="1" si="1"/>
        <v>0</v>
      </c>
      <c r="K3" s="2">
        <f t="shared" ca="1" si="1"/>
        <v>0</v>
      </c>
      <c r="L3" s="2">
        <f t="shared" ca="1" si="1"/>
        <v>0</v>
      </c>
      <c r="M3" s="2">
        <f t="shared" ca="1" si="1"/>
        <v>0</v>
      </c>
      <c r="N3" s="2">
        <f t="shared" ca="1" si="1"/>
        <v>0</v>
      </c>
      <c r="O3" s="2">
        <f t="shared" ca="1" si="1"/>
        <v>0</v>
      </c>
      <c r="P3" s="2">
        <f t="shared" ca="1" si="1"/>
        <v>0</v>
      </c>
      <c r="Q3" s="35">
        <f t="shared" ca="1" si="1"/>
        <v>0</v>
      </c>
      <c r="R3" s="35">
        <f t="shared" ca="1" si="1"/>
        <v>0</v>
      </c>
      <c r="S3" s="2">
        <f t="shared" ca="1" si="1"/>
        <v>0</v>
      </c>
      <c r="T3">
        <f t="shared" ca="1" si="1"/>
        <v>0</v>
      </c>
      <c r="U3">
        <f t="shared" ref="T3:U12" ca="1" si="2">IF(ISBLANK($B3), 0, VLOOKUP($B3, INDIRECT($A3), MATCH(U$2, StatHeader, 0), 0))</f>
        <v>0</v>
      </c>
      <c r="V3">
        <f t="shared" ref="V3:W5" ca="1" si="3">IF(ISBLANK($B3), 0, VLOOKUP($B3, INDIRECT($A3), MATCH(V$2, StatHeader, 0), 0))</f>
        <v>0</v>
      </c>
      <c r="W3">
        <f t="shared" ca="1" si="3"/>
        <v>0</v>
      </c>
      <c r="X3" t="str">
        <f t="shared" ref="X3:X18" si="4">IF(Z3=B3, "=", "-")</f>
        <v>-</v>
      </c>
      <c r="Y3" s="31" t="s">
        <v>519</v>
      </c>
      <c r="Z3" s="33" t="s">
        <v>835</v>
      </c>
      <c r="AA3">
        <f t="shared" ref="AA3:AB5" ca="1" si="5">IF(ISBLANK($Z3), 0, VLOOKUP($Z3, INDIRECT($Y3), MATCH(AA$2, StatHeader, 0), 0))</f>
        <v>0</v>
      </c>
      <c r="AB3">
        <f t="shared" ca="1" si="5"/>
        <v>0</v>
      </c>
      <c r="AC3">
        <f t="shared" ref="AC3:AR12" ca="1" si="6">IF(ISBLANK($Z3), 0, VLOOKUP($Z3, INDIRECT($Y3), MATCH(AC$2, StatHeader, 0), 0))</f>
        <v>0</v>
      </c>
      <c r="AD3">
        <f t="shared" ca="1" si="6"/>
        <v>0</v>
      </c>
      <c r="AE3">
        <f t="shared" ca="1" si="6"/>
        <v>0</v>
      </c>
      <c r="AF3">
        <f t="shared" ca="1" si="6"/>
        <v>0</v>
      </c>
      <c r="AG3">
        <f t="shared" ca="1" si="6"/>
        <v>0</v>
      </c>
      <c r="AH3">
        <f t="shared" ca="1" si="6"/>
        <v>30</v>
      </c>
      <c r="AI3" s="2">
        <f t="shared" ca="1" si="6"/>
        <v>0</v>
      </c>
      <c r="AJ3" s="2">
        <f t="shared" ca="1" si="6"/>
        <v>0</v>
      </c>
      <c r="AK3" s="2">
        <f t="shared" ca="1" si="6"/>
        <v>0</v>
      </c>
      <c r="AL3" s="2">
        <f t="shared" ca="1" si="6"/>
        <v>0</v>
      </c>
      <c r="AM3" s="2">
        <f t="shared" ca="1" si="6"/>
        <v>0</v>
      </c>
      <c r="AN3" s="2">
        <f t="shared" ca="1" si="6"/>
        <v>0</v>
      </c>
      <c r="AO3" s="35">
        <f t="shared" ca="1" si="6"/>
        <v>0</v>
      </c>
      <c r="AP3" s="35">
        <f t="shared" ca="1" si="6"/>
        <v>0</v>
      </c>
      <c r="AQ3" s="2">
        <f t="shared" ca="1" si="6"/>
        <v>0</v>
      </c>
      <c r="AR3">
        <f t="shared" ca="1" si="6"/>
        <v>0</v>
      </c>
      <c r="AS3">
        <f t="shared" ref="AR3:AS12" ca="1" si="7">IF(ISBLANK($Z3), 0, VLOOKUP($Z3, INDIRECT($Y3), MATCH(AS$2, StatHeader, 0), 0))</f>
        <v>0</v>
      </c>
      <c r="AT3">
        <f t="shared" ref="AT3:AU5" ca="1" si="8">IF(ISBLANK($Z3), 0, VLOOKUP($Z3, INDIRECT($Y3), MATCH(AT$2, StatHeader, 0), 0))</f>
        <v>10</v>
      </c>
      <c r="AU3" s="200">
        <f t="shared" ca="1" si="8"/>
        <v>0</v>
      </c>
    </row>
    <row r="4" spans="1:47">
      <c r="A4" s="32" t="s">
        <v>517</v>
      </c>
      <c r="B4" s="41" t="s">
        <v>899</v>
      </c>
      <c r="C4">
        <f t="shared" ca="1" si="0"/>
        <v>0</v>
      </c>
      <c r="D4">
        <f t="shared" ca="1" si="0"/>
        <v>0</v>
      </c>
      <c r="E4">
        <f t="shared" ca="1" si="1"/>
        <v>0</v>
      </c>
      <c r="F4">
        <f t="shared" ca="1" si="1"/>
        <v>0</v>
      </c>
      <c r="G4">
        <f t="shared" ca="1" si="1"/>
        <v>15</v>
      </c>
      <c r="H4">
        <f t="shared" ca="1" si="1"/>
        <v>0</v>
      </c>
      <c r="I4">
        <f t="shared" ca="1" si="1"/>
        <v>0</v>
      </c>
      <c r="J4">
        <f t="shared" ca="1" si="1"/>
        <v>67</v>
      </c>
      <c r="K4" s="2">
        <f t="shared" ca="1" si="1"/>
        <v>0</v>
      </c>
      <c r="L4" s="2">
        <f t="shared" ca="1" si="1"/>
        <v>0.04</v>
      </c>
      <c r="M4" s="2">
        <f t="shared" ca="1" si="1"/>
        <v>0</v>
      </c>
      <c r="N4" s="2">
        <f t="shared" ca="1" si="1"/>
        <v>0</v>
      </c>
      <c r="O4" s="2">
        <f t="shared" ca="1" si="1"/>
        <v>0</v>
      </c>
      <c r="P4" s="2">
        <f t="shared" ca="1" si="1"/>
        <v>0</v>
      </c>
      <c r="Q4">
        <f t="shared" ca="1" si="1"/>
        <v>0</v>
      </c>
      <c r="R4" s="35">
        <f t="shared" ca="1" si="1"/>
        <v>0</v>
      </c>
      <c r="S4" s="2">
        <f t="shared" ca="1" si="1"/>
        <v>0</v>
      </c>
      <c r="T4">
        <f t="shared" ca="1" si="2"/>
        <v>0</v>
      </c>
      <c r="U4">
        <f t="shared" ca="1" si="2"/>
        <v>0</v>
      </c>
      <c r="V4">
        <f t="shared" ca="1" si="3"/>
        <v>0</v>
      </c>
      <c r="W4" s="200">
        <f t="shared" ca="1" si="3"/>
        <v>0</v>
      </c>
      <c r="X4" t="str">
        <f t="shared" si="4"/>
        <v>=</v>
      </c>
      <c r="Y4" s="32" t="s">
        <v>517</v>
      </c>
      <c r="Z4" s="41" t="s">
        <v>899</v>
      </c>
      <c r="AA4">
        <f t="shared" ca="1" si="5"/>
        <v>0</v>
      </c>
      <c r="AB4">
        <f t="shared" ca="1" si="5"/>
        <v>0</v>
      </c>
      <c r="AC4">
        <f t="shared" ca="1" si="6"/>
        <v>0</v>
      </c>
      <c r="AD4">
        <f t="shared" ca="1" si="6"/>
        <v>0</v>
      </c>
      <c r="AE4">
        <f t="shared" ca="1" si="6"/>
        <v>15</v>
      </c>
      <c r="AF4">
        <f t="shared" ca="1" si="6"/>
        <v>0</v>
      </c>
      <c r="AG4">
        <f t="shared" ca="1" si="6"/>
        <v>0</v>
      </c>
      <c r="AH4">
        <f t="shared" ca="1" si="6"/>
        <v>67</v>
      </c>
      <c r="AI4" s="2">
        <f t="shared" ca="1" si="6"/>
        <v>0</v>
      </c>
      <c r="AJ4" s="2">
        <f t="shared" ca="1" si="6"/>
        <v>0.04</v>
      </c>
      <c r="AK4" s="2">
        <f t="shared" ca="1" si="6"/>
        <v>0</v>
      </c>
      <c r="AL4" s="2">
        <f t="shared" ca="1" si="6"/>
        <v>0</v>
      </c>
      <c r="AM4" s="2">
        <f t="shared" ca="1" si="6"/>
        <v>0</v>
      </c>
      <c r="AN4" s="2">
        <f t="shared" ca="1" si="6"/>
        <v>0</v>
      </c>
      <c r="AO4">
        <f t="shared" ca="1" si="6"/>
        <v>0</v>
      </c>
      <c r="AP4" s="35">
        <f t="shared" ca="1" si="6"/>
        <v>0</v>
      </c>
      <c r="AQ4" s="2">
        <f t="shared" ca="1" si="6"/>
        <v>0</v>
      </c>
      <c r="AR4">
        <f t="shared" ca="1" si="7"/>
        <v>0</v>
      </c>
      <c r="AS4">
        <f t="shared" ca="1" si="7"/>
        <v>0</v>
      </c>
      <c r="AT4">
        <f t="shared" ca="1" si="8"/>
        <v>0</v>
      </c>
      <c r="AU4" s="200">
        <f t="shared" ca="1" si="8"/>
        <v>0</v>
      </c>
    </row>
    <row r="5" spans="1:47">
      <c r="A5" t="s">
        <v>128</v>
      </c>
      <c r="B5" s="42"/>
      <c r="C5">
        <f t="shared" ca="1" si="0"/>
        <v>0</v>
      </c>
      <c r="D5">
        <f t="shared" ca="1" si="0"/>
        <v>0</v>
      </c>
      <c r="E5">
        <f t="shared" ca="1" si="1"/>
        <v>0</v>
      </c>
      <c r="F5">
        <f t="shared" ca="1" si="1"/>
        <v>0</v>
      </c>
      <c r="G5">
        <f t="shared" ca="1" si="1"/>
        <v>0</v>
      </c>
      <c r="H5">
        <f t="shared" ca="1" si="1"/>
        <v>0</v>
      </c>
      <c r="I5">
        <f t="shared" ca="1" si="1"/>
        <v>0</v>
      </c>
      <c r="J5">
        <f t="shared" ca="1" si="1"/>
        <v>0</v>
      </c>
      <c r="K5" s="2">
        <f t="shared" ca="1" si="1"/>
        <v>0</v>
      </c>
      <c r="L5" s="2">
        <f t="shared" ca="1" si="1"/>
        <v>0</v>
      </c>
      <c r="M5" s="2">
        <f t="shared" ca="1" si="1"/>
        <v>0</v>
      </c>
      <c r="N5" s="2">
        <f t="shared" ca="1" si="1"/>
        <v>0</v>
      </c>
      <c r="O5" s="2">
        <f t="shared" ca="1" si="1"/>
        <v>0</v>
      </c>
      <c r="P5" s="2">
        <f t="shared" ca="1" si="1"/>
        <v>0</v>
      </c>
      <c r="Q5">
        <f t="shared" ca="1" si="1"/>
        <v>0</v>
      </c>
      <c r="R5" s="35">
        <f t="shared" ca="1" si="1"/>
        <v>0</v>
      </c>
      <c r="S5" s="2">
        <f t="shared" ca="1" si="1"/>
        <v>0</v>
      </c>
      <c r="T5">
        <f t="shared" ca="1" si="2"/>
        <v>0</v>
      </c>
      <c r="U5">
        <f t="shared" ca="1" si="2"/>
        <v>0</v>
      </c>
      <c r="V5">
        <f t="shared" ca="1" si="3"/>
        <v>0</v>
      </c>
      <c r="W5" s="200">
        <f t="shared" ca="1" si="3"/>
        <v>0</v>
      </c>
      <c r="X5" t="str">
        <f t="shared" si="4"/>
        <v>=</v>
      </c>
      <c r="Y5" t="s">
        <v>128</v>
      </c>
      <c r="Z5" s="42"/>
      <c r="AA5">
        <f t="shared" ca="1" si="5"/>
        <v>0</v>
      </c>
      <c r="AB5">
        <f t="shared" ca="1" si="5"/>
        <v>0</v>
      </c>
      <c r="AC5">
        <f t="shared" ca="1" si="6"/>
        <v>0</v>
      </c>
      <c r="AD5">
        <f t="shared" ca="1" si="6"/>
        <v>0</v>
      </c>
      <c r="AE5">
        <f t="shared" ca="1" si="6"/>
        <v>0</v>
      </c>
      <c r="AF5">
        <f t="shared" ca="1" si="6"/>
        <v>0</v>
      </c>
      <c r="AG5">
        <f t="shared" ca="1" si="6"/>
        <v>0</v>
      </c>
      <c r="AH5">
        <f t="shared" ca="1" si="6"/>
        <v>0</v>
      </c>
      <c r="AI5" s="2">
        <f t="shared" ca="1" si="6"/>
        <v>0</v>
      </c>
      <c r="AJ5" s="2">
        <f t="shared" ca="1" si="6"/>
        <v>0</v>
      </c>
      <c r="AK5" s="2">
        <f t="shared" ca="1" si="6"/>
        <v>0</v>
      </c>
      <c r="AL5" s="2">
        <f t="shared" ca="1" si="6"/>
        <v>0</v>
      </c>
      <c r="AM5" s="2">
        <f t="shared" ca="1" si="6"/>
        <v>0</v>
      </c>
      <c r="AN5" s="2">
        <f t="shared" ca="1" si="6"/>
        <v>0</v>
      </c>
      <c r="AO5">
        <f t="shared" ca="1" si="6"/>
        <v>0</v>
      </c>
      <c r="AP5" s="35">
        <f t="shared" ca="1" si="6"/>
        <v>0</v>
      </c>
      <c r="AQ5" s="2">
        <f t="shared" ca="1" si="6"/>
        <v>0</v>
      </c>
      <c r="AR5">
        <f t="shared" ca="1" si="7"/>
        <v>0</v>
      </c>
      <c r="AS5">
        <f t="shared" ca="1" si="7"/>
        <v>0</v>
      </c>
      <c r="AT5">
        <f t="shared" ca="1" si="8"/>
        <v>0</v>
      </c>
      <c r="AU5" s="200">
        <f t="shared" ca="1" si="8"/>
        <v>0</v>
      </c>
    </row>
    <row r="6" spans="1:47">
      <c r="A6" s="32" t="s">
        <v>654</v>
      </c>
      <c r="B6" s="32" t="s">
        <v>785</v>
      </c>
      <c r="C6">
        <f t="shared" ref="C6:V18" ca="1" si="9">IF(ISBLANK($B6), 0, VLOOKUP($B6, INDIRECT($A6), MATCH(C$2, StatHeader, 0), 0))</f>
        <v>0</v>
      </c>
      <c r="D6">
        <f t="shared" ca="1" si="9"/>
        <v>0</v>
      </c>
      <c r="E6">
        <f t="shared" ca="1" si="1"/>
        <v>0</v>
      </c>
      <c r="F6">
        <f t="shared" ca="1" si="1"/>
        <v>0</v>
      </c>
      <c r="G6">
        <f t="shared" ca="1" si="1"/>
        <v>0</v>
      </c>
      <c r="H6">
        <f t="shared" ca="1" si="1"/>
        <v>0</v>
      </c>
      <c r="I6">
        <f t="shared" ca="1" si="1"/>
        <v>13</v>
      </c>
      <c r="J6">
        <f t="shared" ca="1" si="1"/>
        <v>0</v>
      </c>
      <c r="K6" s="2">
        <f t="shared" ca="1" si="1"/>
        <v>0</v>
      </c>
      <c r="L6" s="2">
        <f t="shared" ca="1" si="1"/>
        <v>0</v>
      </c>
      <c r="M6" s="2">
        <f t="shared" ca="1" si="1"/>
        <v>0</v>
      </c>
      <c r="N6" s="2">
        <f t="shared" ca="1" si="1"/>
        <v>0</v>
      </c>
      <c r="O6" s="2">
        <f t="shared" ca="1" si="1"/>
        <v>0</v>
      </c>
      <c r="P6" s="2">
        <f t="shared" ca="1" si="1"/>
        <v>0</v>
      </c>
      <c r="Q6" s="35">
        <f t="shared" ca="1" si="1"/>
        <v>0</v>
      </c>
      <c r="R6" s="35">
        <f t="shared" ca="1" si="1"/>
        <v>0</v>
      </c>
      <c r="S6" s="2">
        <f t="shared" ca="1" si="1"/>
        <v>0</v>
      </c>
      <c r="T6">
        <f t="shared" ca="1" si="2"/>
        <v>0</v>
      </c>
      <c r="U6">
        <f t="shared" ca="1" si="2"/>
        <v>0</v>
      </c>
      <c r="V6">
        <f t="shared" ca="1" si="9"/>
        <v>2</v>
      </c>
      <c r="W6" s="200">
        <f t="shared" ref="W6:W18" ca="1" si="10">IF(ISBLANK($B6), 0, VLOOKUP($B6, INDIRECT($A6), MATCH(W$2, StatHeader, 0), 0))</f>
        <v>0</v>
      </c>
      <c r="X6" t="str">
        <f t="shared" si="4"/>
        <v>=</v>
      </c>
      <c r="Y6" s="32" t="s">
        <v>654</v>
      </c>
      <c r="Z6" s="32" t="s">
        <v>785</v>
      </c>
      <c r="AA6">
        <f t="shared" ref="AA6:AT18" ca="1" si="11">IF(ISBLANK($Z6), 0, VLOOKUP($Z6, INDIRECT($Y6), MATCH(AA$2, StatHeader, 0), 0))</f>
        <v>0</v>
      </c>
      <c r="AB6">
        <f t="shared" ca="1" si="11"/>
        <v>0</v>
      </c>
      <c r="AC6">
        <f t="shared" ca="1" si="6"/>
        <v>0</v>
      </c>
      <c r="AD6">
        <f t="shared" ca="1" si="6"/>
        <v>0</v>
      </c>
      <c r="AE6">
        <f t="shared" ca="1" si="6"/>
        <v>0</v>
      </c>
      <c r="AF6">
        <f t="shared" ca="1" si="6"/>
        <v>0</v>
      </c>
      <c r="AG6">
        <f t="shared" ca="1" si="6"/>
        <v>13</v>
      </c>
      <c r="AH6">
        <f t="shared" ca="1" si="6"/>
        <v>0</v>
      </c>
      <c r="AI6" s="2">
        <f t="shared" ca="1" si="6"/>
        <v>0</v>
      </c>
      <c r="AJ6" s="2">
        <f t="shared" ca="1" si="6"/>
        <v>0</v>
      </c>
      <c r="AK6" s="2">
        <f t="shared" ca="1" si="6"/>
        <v>0</v>
      </c>
      <c r="AL6" s="2">
        <f t="shared" ca="1" si="6"/>
        <v>0</v>
      </c>
      <c r="AM6" s="2">
        <f t="shared" ca="1" si="6"/>
        <v>0</v>
      </c>
      <c r="AN6" s="2">
        <f t="shared" ca="1" si="6"/>
        <v>0</v>
      </c>
      <c r="AO6" s="35">
        <f t="shared" ca="1" si="6"/>
        <v>0</v>
      </c>
      <c r="AP6" s="35">
        <f t="shared" ca="1" si="6"/>
        <v>0</v>
      </c>
      <c r="AQ6" s="2">
        <f t="shared" ca="1" si="6"/>
        <v>0</v>
      </c>
      <c r="AR6">
        <f t="shared" ca="1" si="7"/>
        <v>0</v>
      </c>
      <c r="AS6">
        <f t="shared" ca="1" si="7"/>
        <v>0</v>
      </c>
      <c r="AT6">
        <f t="shared" ca="1" si="11"/>
        <v>2</v>
      </c>
      <c r="AU6" s="200">
        <f t="shared" ref="AU6:AU18" ca="1" si="12">IF(ISBLANK($Z6), 0, VLOOKUP($Z6, INDIRECT($Y6), MATCH(AU$2, StatHeader, 0), 0))</f>
        <v>0</v>
      </c>
    </row>
    <row r="7" spans="1:47">
      <c r="A7" t="s">
        <v>16</v>
      </c>
      <c r="B7" s="32" t="s">
        <v>705</v>
      </c>
      <c r="C7">
        <f t="shared" ca="1" si="9"/>
        <v>0</v>
      </c>
      <c r="D7">
        <f t="shared" ca="1" si="9"/>
        <v>0</v>
      </c>
      <c r="E7">
        <f t="shared" ca="1" si="1"/>
        <v>31</v>
      </c>
      <c r="F7">
        <f t="shared" ca="1" si="1"/>
        <v>33</v>
      </c>
      <c r="G7">
        <f t="shared" ca="1" si="1"/>
        <v>19</v>
      </c>
      <c r="H7">
        <f t="shared" ca="1" si="1"/>
        <v>14</v>
      </c>
      <c r="I7">
        <f t="shared" ca="1" si="1"/>
        <v>56</v>
      </c>
      <c r="J7">
        <f t="shared" ca="1" si="1"/>
        <v>0</v>
      </c>
      <c r="K7" s="2">
        <f t="shared" ca="1" si="1"/>
        <v>0</v>
      </c>
      <c r="L7" s="2">
        <f t="shared" ca="1" si="1"/>
        <v>0.04</v>
      </c>
      <c r="M7" s="2">
        <f t="shared" ca="1" si="1"/>
        <v>0</v>
      </c>
      <c r="N7" s="2">
        <f t="shared" ca="1" si="1"/>
        <v>0</v>
      </c>
      <c r="O7" s="2">
        <f t="shared" ca="1" si="1"/>
        <v>0</v>
      </c>
      <c r="P7" s="2">
        <f t="shared" ca="1" si="1"/>
        <v>0.06</v>
      </c>
      <c r="Q7" s="35">
        <f t="shared" ca="1" si="1"/>
        <v>81</v>
      </c>
      <c r="R7" s="35">
        <f t="shared" ca="1" si="1"/>
        <v>0</v>
      </c>
      <c r="S7" s="2">
        <f t="shared" ca="1" si="1"/>
        <v>0</v>
      </c>
      <c r="T7">
        <f t="shared" ca="1" si="2"/>
        <v>36</v>
      </c>
      <c r="U7">
        <f t="shared" ca="1" si="2"/>
        <v>0</v>
      </c>
      <c r="V7">
        <f t="shared" ca="1" si="9"/>
        <v>0</v>
      </c>
      <c r="W7" s="200">
        <f t="shared" ca="1" si="10"/>
        <v>0</v>
      </c>
      <c r="X7" t="str">
        <f t="shared" si="4"/>
        <v>=</v>
      </c>
      <c r="Y7" t="s">
        <v>16</v>
      </c>
      <c r="Z7" s="32" t="s">
        <v>705</v>
      </c>
      <c r="AA7">
        <f t="shared" ca="1" si="11"/>
        <v>0</v>
      </c>
      <c r="AB7">
        <f t="shared" ca="1" si="11"/>
        <v>0</v>
      </c>
      <c r="AC7">
        <f t="shared" ca="1" si="6"/>
        <v>31</v>
      </c>
      <c r="AD7">
        <f t="shared" ca="1" si="6"/>
        <v>33</v>
      </c>
      <c r="AE7">
        <f t="shared" ca="1" si="6"/>
        <v>19</v>
      </c>
      <c r="AF7">
        <f t="shared" ca="1" si="6"/>
        <v>14</v>
      </c>
      <c r="AG7">
        <f t="shared" ca="1" si="6"/>
        <v>56</v>
      </c>
      <c r="AH7">
        <f t="shared" ca="1" si="6"/>
        <v>0</v>
      </c>
      <c r="AI7" s="2">
        <f t="shared" ca="1" si="6"/>
        <v>0</v>
      </c>
      <c r="AJ7" s="2">
        <f t="shared" ca="1" si="6"/>
        <v>0.04</v>
      </c>
      <c r="AK7" s="2">
        <f t="shared" ca="1" si="6"/>
        <v>0</v>
      </c>
      <c r="AL7" s="2">
        <f t="shared" ca="1" si="6"/>
        <v>0</v>
      </c>
      <c r="AM7" s="2">
        <f t="shared" ca="1" si="6"/>
        <v>0</v>
      </c>
      <c r="AN7" s="2">
        <f t="shared" ca="1" si="6"/>
        <v>0.06</v>
      </c>
      <c r="AO7" s="35">
        <f t="shared" ca="1" si="6"/>
        <v>81</v>
      </c>
      <c r="AP7" s="35">
        <f t="shared" ca="1" si="6"/>
        <v>0</v>
      </c>
      <c r="AQ7" s="2">
        <f t="shared" ca="1" si="6"/>
        <v>0</v>
      </c>
      <c r="AR7">
        <f t="shared" ca="1" si="7"/>
        <v>36</v>
      </c>
      <c r="AS7">
        <f t="shared" ca="1" si="7"/>
        <v>0</v>
      </c>
      <c r="AT7">
        <f t="shared" ca="1" si="11"/>
        <v>0</v>
      </c>
      <c r="AU7" s="200">
        <f t="shared" ca="1" si="12"/>
        <v>0</v>
      </c>
    </row>
    <row r="8" spans="1:47">
      <c r="A8" t="s">
        <v>17</v>
      </c>
      <c r="B8" s="32" t="s">
        <v>850</v>
      </c>
      <c r="C8">
        <f t="shared" ca="1" si="9"/>
        <v>0</v>
      </c>
      <c r="D8">
        <f t="shared" ca="1" si="9"/>
        <v>0</v>
      </c>
      <c r="E8">
        <f t="shared" ca="1" si="1"/>
        <v>0</v>
      </c>
      <c r="F8">
        <f t="shared" ca="1" si="1"/>
        <v>15</v>
      </c>
      <c r="G8">
        <f t="shared" ca="1" si="1"/>
        <v>15</v>
      </c>
      <c r="H8">
        <f t="shared" ca="1" si="1"/>
        <v>0</v>
      </c>
      <c r="I8">
        <f t="shared" ca="1" si="1"/>
        <v>0</v>
      </c>
      <c r="J8">
        <f t="shared" ca="1" si="1"/>
        <v>25</v>
      </c>
      <c r="K8" s="2">
        <f t="shared" ca="1" si="1"/>
        <v>0</v>
      </c>
      <c r="L8" s="2">
        <f t="shared" ca="1" si="1"/>
        <v>0</v>
      </c>
      <c r="M8" s="2">
        <f t="shared" ca="1" si="1"/>
        <v>0</v>
      </c>
      <c r="N8" s="2">
        <f t="shared" ca="1" si="1"/>
        <v>0</v>
      </c>
      <c r="O8" s="2">
        <f t="shared" ca="1" si="1"/>
        <v>0</v>
      </c>
      <c r="P8" s="2">
        <f t="shared" ca="1" si="1"/>
        <v>0</v>
      </c>
      <c r="Q8" s="35">
        <f t="shared" ca="1" si="1"/>
        <v>0</v>
      </c>
      <c r="R8" s="35">
        <f t="shared" ca="1" si="1"/>
        <v>0</v>
      </c>
      <c r="S8" s="2">
        <f t="shared" ca="1" si="1"/>
        <v>0.25</v>
      </c>
      <c r="T8">
        <f t="shared" ca="1" si="2"/>
        <v>0</v>
      </c>
      <c r="U8">
        <f t="shared" ca="1" si="2"/>
        <v>25</v>
      </c>
      <c r="V8">
        <f t="shared" ca="1" si="9"/>
        <v>7</v>
      </c>
      <c r="W8" s="200">
        <f t="shared" ca="1" si="10"/>
        <v>0.1</v>
      </c>
      <c r="X8" t="str">
        <f t="shared" si="4"/>
        <v>=</v>
      </c>
      <c r="Y8" t="s">
        <v>17</v>
      </c>
      <c r="Z8" s="32" t="s">
        <v>850</v>
      </c>
      <c r="AA8">
        <f t="shared" ca="1" si="11"/>
        <v>0</v>
      </c>
      <c r="AB8">
        <f t="shared" ca="1" si="11"/>
        <v>0</v>
      </c>
      <c r="AC8">
        <f t="shared" ca="1" si="6"/>
        <v>0</v>
      </c>
      <c r="AD8">
        <f t="shared" ca="1" si="6"/>
        <v>15</v>
      </c>
      <c r="AE8">
        <f t="shared" ca="1" si="6"/>
        <v>15</v>
      </c>
      <c r="AF8">
        <f t="shared" ca="1" si="6"/>
        <v>0</v>
      </c>
      <c r="AG8">
        <f t="shared" ca="1" si="6"/>
        <v>0</v>
      </c>
      <c r="AH8">
        <f t="shared" ca="1" si="6"/>
        <v>25</v>
      </c>
      <c r="AI8" s="2">
        <f t="shared" ca="1" si="6"/>
        <v>0</v>
      </c>
      <c r="AJ8" s="2">
        <f t="shared" ca="1" si="6"/>
        <v>0</v>
      </c>
      <c r="AK8" s="2">
        <f t="shared" ca="1" si="6"/>
        <v>0</v>
      </c>
      <c r="AL8" s="2">
        <f t="shared" ca="1" si="6"/>
        <v>0</v>
      </c>
      <c r="AM8" s="2">
        <f t="shared" ca="1" si="6"/>
        <v>0</v>
      </c>
      <c r="AN8" s="2">
        <f t="shared" ca="1" si="6"/>
        <v>0</v>
      </c>
      <c r="AO8" s="35">
        <f t="shared" ca="1" si="6"/>
        <v>0</v>
      </c>
      <c r="AP8" s="35">
        <f t="shared" ca="1" si="6"/>
        <v>0</v>
      </c>
      <c r="AQ8" s="2">
        <f t="shared" ca="1" si="6"/>
        <v>0.25</v>
      </c>
      <c r="AR8">
        <f t="shared" ca="1" si="7"/>
        <v>0</v>
      </c>
      <c r="AS8">
        <f t="shared" ca="1" si="7"/>
        <v>25</v>
      </c>
      <c r="AT8">
        <f ca="1">IF(ISBLANK($Z8), 0, VLOOKUP($Z8, INDIRECT($Y8), MATCH(AT$2, StatHeader, 0), 0))</f>
        <v>7</v>
      </c>
      <c r="AU8" s="200">
        <f t="shared" ca="1" si="12"/>
        <v>0.1</v>
      </c>
    </row>
    <row r="9" spans="1:47">
      <c r="A9" t="s">
        <v>70</v>
      </c>
      <c r="B9" s="32" t="s">
        <v>711</v>
      </c>
      <c r="C9">
        <f t="shared" ca="1" si="9"/>
        <v>0</v>
      </c>
      <c r="D9">
        <f t="shared" ca="1" si="9"/>
        <v>0</v>
      </c>
      <c r="E9">
        <f t="shared" ca="1" si="1"/>
        <v>0</v>
      </c>
      <c r="F9">
        <f t="shared" ca="1" si="1"/>
        <v>0</v>
      </c>
      <c r="G9">
        <f t="shared" ca="1" si="1"/>
        <v>0</v>
      </c>
      <c r="H9">
        <f t="shared" ca="1" si="1"/>
        <v>0</v>
      </c>
      <c r="I9">
        <f t="shared" ca="1" si="1"/>
        <v>0</v>
      </c>
      <c r="J9">
        <f t="shared" ca="1" si="1"/>
        <v>6</v>
      </c>
      <c r="K9" s="2">
        <f t="shared" ca="1" si="1"/>
        <v>0.03</v>
      </c>
      <c r="L9" s="2">
        <f t="shared" ca="1" si="1"/>
        <v>0</v>
      </c>
      <c r="M9" s="2">
        <f t="shared" ca="1" si="1"/>
        <v>0</v>
      </c>
      <c r="N9" s="2">
        <f t="shared" ca="1" si="1"/>
        <v>0</v>
      </c>
      <c r="O9" s="2">
        <f t="shared" ca="1" si="1"/>
        <v>0</v>
      </c>
      <c r="P9" s="2">
        <f t="shared" ca="1" si="1"/>
        <v>0</v>
      </c>
      <c r="Q9" s="35">
        <f t="shared" ca="1" si="1"/>
        <v>0</v>
      </c>
      <c r="R9" s="35">
        <f t="shared" ca="1" si="1"/>
        <v>0</v>
      </c>
      <c r="S9" s="2">
        <f t="shared" ca="1" si="1"/>
        <v>0</v>
      </c>
      <c r="T9">
        <f t="shared" ca="1" si="2"/>
        <v>0</v>
      </c>
      <c r="U9">
        <f t="shared" ca="1" si="2"/>
        <v>0</v>
      </c>
      <c r="V9">
        <f t="shared" ca="1" si="9"/>
        <v>3</v>
      </c>
      <c r="W9" s="200">
        <f t="shared" ca="1" si="10"/>
        <v>0</v>
      </c>
      <c r="X9" t="str">
        <f t="shared" si="4"/>
        <v>-</v>
      </c>
      <c r="Y9" t="s">
        <v>70</v>
      </c>
      <c r="Z9" s="32" t="s">
        <v>699</v>
      </c>
      <c r="AA9">
        <f t="shared" ca="1" si="11"/>
        <v>0</v>
      </c>
      <c r="AB9">
        <f t="shared" ca="1" si="11"/>
        <v>0</v>
      </c>
      <c r="AC9">
        <f t="shared" ca="1" si="6"/>
        <v>0</v>
      </c>
      <c r="AD9">
        <f t="shared" ca="1" si="6"/>
        <v>0</v>
      </c>
      <c r="AE9">
        <f t="shared" ca="1" si="6"/>
        <v>0</v>
      </c>
      <c r="AF9">
        <f t="shared" ca="1" si="6"/>
        <v>0</v>
      </c>
      <c r="AG9">
        <f t="shared" ca="1" si="6"/>
        <v>-10</v>
      </c>
      <c r="AH9">
        <f t="shared" ca="1" si="6"/>
        <v>-10</v>
      </c>
      <c r="AI9" s="2">
        <f t="shared" ca="1" si="6"/>
        <v>0</v>
      </c>
      <c r="AJ9" s="2">
        <f t="shared" ca="1" si="6"/>
        <v>0</v>
      </c>
      <c r="AK9" s="2">
        <f t="shared" ca="1" si="6"/>
        <v>0</v>
      </c>
      <c r="AL9" s="2">
        <f t="shared" ca="1" si="6"/>
        <v>0</v>
      </c>
      <c r="AM9" s="2">
        <f t="shared" ca="1" si="6"/>
        <v>0</v>
      </c>
      <c r="AN9" s="2">
        <f t="shared" ca="1" si="6"/>
        <v>0</v>
      </c>
      <c r="AO9" s="35">
        <f t="shared" ca="1" si="6"/>
        <v>0</v>
      </c>
      <c r="AP9" s="35">
        <f t="shared" ca="1" si="6"/>
        <v>0</v>
      </c>
      <c r="AQ9" s="2">
        <f t="shared" ca="1" si="6"/>
        <v>0</v>
      </c>
      <c r="AR9">
        <f t="shared" ca="1" si="7"/>
        <v>-10</v>
      </c>
      <c r="AS9">
        <f t="shared" ca="1" si="7"/>
        <v>-10</v>
      </c>
      <c r="AT9">
        <f t="shared" ca="1" si="11"/>
        <v>8</v>
      </c>
      <c r="AU9" s="200">
        <f t="shared" ca="1" si="12"/>
        <v>0</v>
      </c>
    </row>
    <row r="10" spans="1:47">
      <c r="A10" t="s">
        <v>70</v>
      </c>
      <c r="B10" s="32" t="s">
        <v>698</v>
      </c>
      <c r="C10">
        <f t="shared" ca="1" si="9"/>
        <v>0</v>
      </c>
      <c r="D10">
        <f t="shared" ca="1" si="9"/>
        <v>0</v>
      </c>
      <c r="E10">
        <f t="shared" ca="1" si="1"/>
        <v>0</v>
      </c>
      <c r="F10">
        <f t="shared" ca="1" si="1"/>
        <v>0</v>
      </c>
      <c r="G10">
        <f t="shared" ca="1" si="1"/>
        <v>0</v>
      </c>
      <c r="H10">
        <f t="shared" ca="1" si="1"/>
        <v>0</v>
      </c>
      <c r="I10">
        <f t="shared" ca="1" si="1"/>
        <v>10</v>
      </c>
      <c r="J10">
        <f t="shared" ca="1" si="1"/>
        <v>10</v>
      </c>
      <c r="K10" s="2">
        <f t="shared" ca="1" si="1"/>
        <v>0.01</v>
      </c>
      <c r="L10" s="2">
        <f t="shared" ca="1" si="1"/>
        <v>0</v>
      </c>
      <c r="M10" s="2">
        <f t="shared" ca="1" si="1"/>
        <v>0</v>
      </c>
      <c r="N10" s="2">
        <f t="shared" ca="1" si="1"/>
        <v>0</v>
      </c>
      <c r="O10" s="2">
        <f t="shared" ca="1" si="1"/>
        <v>0</v>
      </c>
      <c r="P10" s="2">
        <f t="shared" ca="1" si="1"/>
        <v>0</v>
      </c>
      <c r="Q10" s="35">
        <f t="shared" ca="1" si="1"/>
        <v>0</v>
      </c>
      <c r="R10" s="35">
        <f t="shared" ca="1" si="1"/>
        <v>0</v>
      </c>
      <c r="S10" s="2">
        <f t="shared" ca="1" si="1"/>
        <v>0</v>
      </c>
      <c r="T10">
        <f t="shared" ca="1" si="2"/>
        <v>10</v>
      </c>
      <c r="U10">
        <f t="shared" ca="1" si="2"/>
        <v>10</v>
      </c>
      <c r="V10">
        <f t="shared" ca="1" si="9"/>
        <v>5</v>
      </c>
      <c r="W10" s="200">
        <f t="shared" ca="1" si="10"/>
        <v>0</v>
      </c>
      <c r="X10" t="str">
        <f t="shared" si="4"/>
        <v>=</v>
      </c>
      <c r="Y10" t="s">
        <v>70</v>
      </c>
      <c r="Z10" s="32" t="s">
        <v>698</v>
      </c>
      <c r="AA10">
        <f t="shared" ca="1" si="11"/>
        <v>0</v>
      </c>
      <c r="AB10">
        <f t="shared" ca="1" si="11"/>
        <v>0</v>
      </c>
      <c r="AC10">
        <f t="shared" ca="1" si="6"/>
        <v>0</v>
      </c>
      <c r="AD10">
        <f t="shared" ca="1" si="6"/>
        <v>0</v>
      </c>
      <c r="AE10">
        <f t="shared" ca="1" si="6"/>
        <v>0</v>
      </c>
      <c r="AF10">
        <f t="shared" ca="1" si="6"/>
        <v>0</v>
      </c>
      <c r="AG10">
        <f t="shared" ca="1" si="6"/>
        <v>10</v>
      </c>
      <c r="AH10">
        <f t="shared" ca="1" si="6"/>
        <v>10</v>
      </c>
      <c r="AI10" s="2">
        <f t="shared" ca="1" si="6"/>
        <v>0.01</v>
      </c>
      <c r="AJ10" s="2">
        <f t="shared" ca="1" si="6"/>
        <v>0</v>
      </c>
      <c r="AK10" s="2">
        <f t="shared" ca="1" si="6"/>
        <v>0</v>
      </c>
      <c r="AL10" s="2">
        <f t="shared" ca="1" si="6"/>
        <v>0</v>
      </c>
      <c r="AM10" s="2">
        <f t="shared" ca="1" si="6"/>
        <v>0</v>
      </c>
      <c r="AN10" s="2">
        <f t="shared" ca="1" si="6"/>
        <v>0</v>
      </c>
      <c r="AO10" s="35">
        <f t="shared" ca="1" si="6"/>
        <v>0</v>
      </c>
      <c r="AP10" s="35">
        <f t="shared" ca="1" si="6"/>
        <v>0</v>
      </c>
      <c r="AQ10" s="2">
        <f t="shared" ca="1" si="6"/>
        <v>0</v>
      </c>
      <c r="AR10">
        <f t="shared" ca="1" si="7"/>
        <v>10</v>
      </c>
      <c r="AS10">
        <f t="shared" ca="1" si="7"/>
        <v>10</v>
      </c>
      <c r="AT10">
        <f t="shared" ca="1" si="11"/>
        <v>5</v>
      </c>
      <c r="AU10" s="200">
        <f t="shared" ca="1" si="12"/>
        <v>0</v>
      </c>
    </row>
    <row r="11" spans="1:47">
      <c r="A11" t="s">
        <v>18</v>
      </c>
      <c r="B11" s="32" t="s">
        <v>807</v>
      </c>
      <c r="C11">
        <f t="shared" ca="1" si="9"/>
        <v>0</v>
      </c>
      <c r="D11">
        <f t="shared" ca="1" si="9"/>
        <v>0</v>
      </c>
      <c r="E11">
        <f t="shared" ca="1" si="1"/>
        <v>33</v>
      </c>
      <c r="F11">
        <f t="shared" ca="1" si="1"/>
        <v>39</v>
      </c>
      <c r="G11">
        <f t="shared" ca="1" si="1"/>
        <v>37</v>
      </c>
      <c r="H11">
        <f t="shared" ca="1" si="1"/>
        <v>24</v>
      </c>
      <c r="I11">
        <f t="shared" ca="1" si="1"/>
        <v>0</v>
      </c>
      <c r="J11">
        <f t="shared" ca="1" si="1"/>
        <v>52</v>
      </c>
      <c r="K11" s="2">
        <f t="shared" ca="1" si="1"/>
        <v>0</v>
      </c>
      <c r="L11" s="2">
        <f t="shared" ca="1" si="1"/>
        <v>0.06</v>
      </c>
      <c r="M11" s="2">
        <f t="shared" ca="1" si="1"/>
        <v>0</v>
      </c>
      <c r="N11" s="2">
        <f t="shared" ca="1" si="1"/>
        <v>0</v>
      </c>
      <c r="O11" s="2">
        <f t="shared" ca="1" si="1"/>
        <v>0.09</v>
      </c>
      <c r="P11" s="2">
        <f t="shared" ca="1" si="1"/>
        <v>0</v>
      </c>
      <c r="Q11" s="35">
        <f t="shared" ca="1" si="1"/>
        <v>40</v>
      </c>
      <c r="R11" s="35">
        <f t="shared" ca="1" si="1"/>
        <v>0</v>
      </c>
      <c r="S11" s="2">
        <f t="shared" ca="1" si="1"/>
        <v>0</v>
      </c>
      <c r="T11">
        <f t="shared" ca="1" si="2"/>
        <v>0</v>
      </c>
      <c r="U11">
        <f t="shared" ca="1" si="2"/>
        <v>47</v>
      </c>
      <c r="V11">
        <f t="shared" ca="1" si="9"/>
        <v>0</v>
      </c>
      <c r="W11" s="200">
        <f t="shared" ca="1" si="10"/>
        <v>0</v>
      </c>
      <c r="X11" t="str">
        <f t="shared" si="4"/>
        <v>=</v>
      </c>
      <c r="Y11" t="s">
        <v>18</v>
      </c>
      <c r="Z11" s="32" t="s">
        <v>807</v>
      </c>
      <c r="AA11">
        <f t="shared" ca="1" si="11"/>
        <v>0</v>
      </c>
      <c r="AB11">
        <f t="shared" ca="1" si="11"/>
        <v>0</v>
      </c>
      <c r="AC11">
        <f t="shared" ca="1" si="6"/>
        <v>33</v>
      </c>
      <c r="AD11">
        <f t="shared" ca="1" si="6"/>
        <v>39</v>
      </c>
      <c r="AE11">
        <f t="shared" ca="1" si="6"/>
        <v>37</v>
      </c>
      <c r="AF11">
        <f t="shared" ca="1" si="6"/>
        <v>24</v>
      </c>
      <c r="AG11">
        <f t="shared" ca="1" si="6"/>
        <v>0</v>
      </c>
      <c r="AH11">
        <f t="shared" ca="1" si="6"/>
        <v>52</v>
      </c>
      <c r="AI11" s="2">
        <f t="shared" ca="1" si="6"/>
        <v>0</v>
      </c>
      <c r="AJ11" s="2">
        <f t="shared" ca="1" si="6"/>
        <v>0.06</v>
      </c>
      <c r="AK11" s="2">
        <f t="shared" ca="1" si="6"/>
        <v>0</v>
      </c>
      <c r="AL11" s="2">
        <f t="shared" ca="1" si="6"/>
        <v>0</v>
      </c>
      <c r="AM11" s="2">
        <f t="shared" ca="1" si="6"/>
        <v>0.09</v>
      </c>
      <c r="AN11" s="2">
        <f t="shared" ca="1" si="6"/>
        <v>0</v>
      </c>
      <c r="AO11" s="35">
        <f t="shared" ca="1" si="6"/>
        <v>40</v>
      </c>
      <c r="AP11" s="35">
        <f t="shared" ca="1" si="6"/>
        <v>0</v>
      </c>
      <c r="AQ11" s="2">
        <f t="shared" ca="1" si="6"/>
        <v>0</v>
      </c>
      <c r="AR11">
        <f t="shared" ca="1" si="7"/>
        <v>0</v>
      </c>
      <c r="AS11">
        <f t="shared" ca="1" si="7"/>
        <v>47</v>
      </c>
      <c r="AT11">
        <f t="shared" ca="1" si="11"/>
        <v>0</v>
      </c>
      <c r="AU11" s="200">
        <f t="shared" ca="1" si="12"/>
        <v>0</v>
      </c>
    </row>
    <row r="12" spans="1:47">
      <c r="A12" t="s">
        <v>19</v>
      </c>
      <c r="B12" s="32" t="s">
        <v>705</v>
      </c>
      <c r="C12">
        <f t="shared" ca="1" si="9"/>
        <v>0</v>
      </c>
      <c r="D12">
        <f t="shared" ca="1" si="9"/>
        <v>0</v>
      </c>
      <c r="E12">
        <f t="shared" ca="1" si="1"/>
        <v>27</v>
      </c>
      <c r="F12">
        <f t="shared" ca="1" si="1"/>
        <v>56</v>
      </c>
      <c r="G12">
        <f t="shared" ca="1" si="1"/>
        <v>7</v>
      </c>
      <c r="H12">
        <f t="shared" ca="1" si="1"/>
        <v>12</v>
      </c>
      <c r="I12">
        <f t="shared" ca="1" si="1"/>
        <v>20</v>
      </c>
      <c r="J12">
        <f t="shared" ca="1" si="1"/>
        <v>32</v>
      </c>
      <c r="K12" s="2">
        <f t="shared" ca="1" si="1"/>
        <v>0</v>
      </c>
      <c r="L12" s="2">
        <f t="shared" ca="1" si="1"/>
        <v>0.04</v>
      </c>
      <c r="M12" s="2">
        <f t="shared" ca="1" si="1"/>
        <v>0</v>
      </c>
      <c r="N12" s="2">
        <f t="shared" ca="1" si="1"/>
        <v>0</v>
      </c>
      <c r="O12" s="2">
        <f t="shared" ca="1" si="1"/>
        <v>0</v>
      </c>
      <c r="P12" s="2">
        <f t="shared" ca="1" si="1"/>
        <v>0</v>
      </c>
      <c r="Q12" s="35">
        <f t="shared" ca="1" si="1"/>
        <v>51</v>
      </c>
      <c r="R12" s="35">
        <f t="shared" ca="1" si="1"/>
        <v>0</v>
      </c>
      <c r="S12" s="2">
        <f t="shared" ca="1" si="1"/>
        <v>0</v>
      </c>
      <c r="T12">
        <f t="shared" ca="1" si="2"/>
        <v>0</v>
      </c>
      <c r="U12">
        <f t="shared" ca="1" si="2"/>
        <v>32</v>
      </c>
      <c r="V12">
        <f t="shared" ca="1" si="9"/>
        <v>7</v>
      </c>
      <c r="W12" s="200">
        <f t="shared" ca="1" si="10"/>
        <v>0</v>
      </c>
      <c r="X12" t="str">
        <f t="shared" si="4"/>
        <v>=</v>
      </c>
      <c r="Y12" t="s">
        <v>19</v>
      </c>
      <c r="Z12" s="32" t="s">
        <v>705</v>
      </c>
      <c r="AA12">
        <f t="shared" ca="1" si="11"/>
        <v>0</v>
      </c>
      <c r="AB12">
        <f t="shared" ca="1" si="11"/>
        <v>0</v>
      </c>
      <c r="AC12">
        <f t="shared" ca="1" si="6"/>
        <v>27</v>
      </c>
      <c r="AD12">
        <f t="shared" ca="1" si="6"/>
        <v>56</v>
      </c>
      <c r="AE12">
        <f t="shared" ca="1" si="6"/>
        <v>7</v>
      </c>
      <c r="AF12">
        <f t="shared" ca="1" si="6"/>
        <v>12</v>
      </c>
      <c r="AG12">
        <f t="shared" ca="1" si="6"/>
        <v>20</v>
      </c>
      <c r="AH12">
        <f t="shared" ca="1" si="6"/>
        <v>32</v>
      </c>
      <c r="AI12" s="2">
        <f t="shared" ca="1" si="6"/>
        <v>0</v>
      </c>
      <c r="AJ12" s="2">
        <f t="shared" ca="1" si="6"/>
        <v>0.04</v>
      </c>
      <c r="AK12" s="2">
        <f t="shared" ca="1" si="6"/>
        <v>0</v>
      </c>
      <c r="AL12" s="2">
        <f t="shared" ca="1" si="6"/>
        <v>0</v>
      </c>
      <c r="AM12" s="2">
        <f t="shared" ca="1" si="6"/>
        <v>0</v>
      </c>
      <c r="AN12" s="2">
        <f t="shared" ca="1" si="6"/>
        <v>0</v>
      </c>
      <c r="AO12" s="35">
        <f t="shared" ca="1" si="6"/>
        <v>51</v>
      </c>
      <c r="AP12" s="35">
        <f t="shared" ca="1" si="6"/>
        <v>0</v>
      </c>
      <c r="AQ12" s="2">
        <f t="shared" ca="1" si="6"/>
        <v>0</v>
      </c>
      <c r="AR12">
        <f t="shared" ca="1" si="7"/>
        <v>0</v>
      </c>
      <c r="AS12">
        <f t="shared" ca="1" si="7"/>
        <v>32</v>
      </c>
      <c r="AT12">
        <f t="shared" ca="1" si="11"/>
        <v>7</v>
      </c>
      <c r="AU12" s="200">
        <f t="shared" ca="1" si="12"/>
        <v>0</v>
      </c>
    </row>
    <row r="13" spans="1:47">
      <c r="A13" t="s">
        <v>71</v>
      </c>
      <c r="B13" s="32" t="s">
        <v>872</v>
      </c>
      <c r="C13">
        <f t="shared" ca="1" si="9"/>
        <v>0</v>
      </c>
      <c r="D13">
        <f t="shared" ca="1" si="9"/>
        <v>0</v>
      </c>
      <c r="E13">
        <f t="shared" ca="1" si="9"/>
        <v>10</v>
      </c>
      <c r="F13">
        <f t="shared" ca="1" si="9"/>
        <v>0</v>
      </c>
      <c r="G13">
        <f t="shared" ca="1" si="9"/>
        <v>0</v>
      </c>
      <c r="H13">
        <f t="shared" ca="1" si="9"/>
        <v>0</v>
      </c>
      <c r="I13">
        <f t="shared" ca="1" si="9"/>
        <v>16</v>
      </c>
      <c r="J13">
        <f t="shared" ca="1" si="9"/>
        <v>0</v>
      </c>
      <c r="K13" s="2">
        <f t="shared" ca="1" si="9"/>
        <v>0</v>
      </c>
      <c r="L13" s="2">
        <f t="shared" ca="1" si="9"/>
        <v>0.05</v>
      </c>
      <c r="M13" s="2">
        <f t="shared" ca="1" si="9"/>
        <v>0</v>
      </c>
      <c r="N13" s="2">
        <f t="shared" ca="1" si="9"/>
        <v>0</v>
      </c>
      <c r="O13" s="2">
        <f t="shared" ca="1" si="9"/>
        <v>0</v>
      </c>
      <c r="P13" s="2">
        <f t="shared" ca="1" si="9"/>
        <v>0</v>
      </c>
      <c r="Q13" s="35">
        <f t="shared" ca="1" si="9"/>
        <v>0</v>
      </c>
      <c r="R13" s="35">
        <f t="shared" ca="1" si="9"/>
        <v>0</v>
      </c>
      <c r="S13" s="2">
        <f t="shared" ca="1" si="1"/>
        <v>0</v>
      </c>
      <c r="T13">
        <f t="shared" ca="1" si="9"/>
        <v>0</v>
      </c>
      <c r="U13">
        <f t="shared" ca="1" si="9"/>
        <v>0</v>
      </c>
      <c r="V13">
        <f t="shared" ca="1" si="9"/>
        <v>0</v>
      </c>
      <c r="W13" s="200">
        <f t="shared" ca="1" si="10"/>
        <v>0</v>
      </c>
      <c r="X13" t="str">
        <f t="shared" si="4"/>
        <v>=</v>
      </c>
      <c r="Y13" t="s">
        <v>71</v>
      </c>
      <c r="Z13" s="32" t="s">
        <v>872</v>
      </c>
      <c r="AA13">
        <f t="shared" ca="1" si="11"/>
        <v>0</v>
      </c>
      <c r="AB13">
        <f t="shared" ca="1" si="11"/>
        <v>0</v>
      </c>
      <c r="AC13">
        <f t="shared" ca="1" si="11"/>
        <v>10</v>
      </c>
      <c r="AD13">
        <f t="shared" ca="1" si="11"/>
        <v>0</v>
      </c>
      <c r="AE13">
        <f t="shared" ca="1" si="11"/>
        <v>0</v>
      </c>
      <c r="AF13">
        <f t="shared" ca="1" si="11"/>
        <v>0</v>
      </c>
      <c r="AG13">
        <f t="shared" ca="1" si="11"/>
        <v>16</v>
      </c>
      <c r="AH13">
        <f t="shared" ca="1" si="11"/>
        <v>0</v>
      </c>
      <c r="AI13" s="2">
        <f t="shared" ca="1" si="11"/>
        <v>0</v>
      </c>
      <c r="AJ13" s="2">
        <f t="shared" ca="1" si="11"/>
        <v>0.05</v>
      </c>
      <c r="AK13" s="2">
        <f t="shared" ca="1" si="11"/>
        <v>0</v>
      </c>
      <c r="AL13" s="2">
        <f t="shared" ca="1" si="11"/>
        <v>0</v>
      </c>
      <c r="AM13" s="2">
        <f t="shared" ca="1" si="11"/>
        <v>0</v>
      </c>
      <c r="AN13" s="2">
        <f t="shared" ca="1" si="11"/>
        <v>0</v>
      </c>
      <c r="AO13" s="35">
        <f t="shared" ca="1" si="11"/>
        <v>0</v>
      </c>
      <c r="AP13" s="35">
        <f t="shared" ca="1" si="11"/>
        <v>0</v>
      </c>
      <c r="AQ13" s="2">
        <f t="shared" ca="1" si="11"/>
        <v>0</v>
      </c>
      <c r="AR13">
        <f t="shared" ca="1" si="11"/>
        <v>0</v>
      </c>
      <c r="AS13">
        <f t="shared" ca="1" si="11"/>
        <v>0</v>
      </c>
      <c r="AT13">
        <f t="shared" ca="1" si="11"/>
        <v>0</v>
      </c>
      <c r="AU13" s="200">
        <f t="shared" ca="1" si="12"/>
        <v>0</v>
      </c>
    </row>
    <row r="14" spans="1:47">
      <c r="A14" t="s">
        <v>71</v>
      </c>
      <c r="B14" s="32" t="s">
        <v>153</v>
      </c>
      <c r="C14">
        <f t="shared" ca="1" si="9"/>
        <v>0</v>
      </c>
      <c r="D14">
        <f t="shared" ca="1" si="9"/>
        <v>0</v>
      </c>
      <c r="E14">
        <f t="shared" ca="1" si="9"/>
        <v>0</v>
      </c>
      <c r="F14">
        <f t="shared" ca="1" si="9"/>
        <v>0</v>
      </c>
      <c r="G14">
        <f t="shared" ca="1" si="9"/>
        <v>0</v>
      </c>
      <c r="H14">
        <f t="shared" ca="1" si="9"/>
        <v>0</v>
      </c>
      <c r="I14">
        <f t="shared" ca="1" si="9"/>
        <v>0</v>
      </c>
      <c r="J14">
        <f t="shared" ca="1" si="9"/>
        <v>0</v>
      </c>
      <c r="K14" s="2">
        <f t="shared" ca="1" si="9"/>
        <v>0.03</v>
      </c>
      <c r="L14" s="2">
        <f t="shared" ca="1" si="9"/>
        <v>0.03</v>
      </c>
      <c r="M14" s="2">
        <f t="shared" ca="1" si="9"/>
        <v>0</v>
      </c>
      <c r="N14" s="2">
        <f t="shared" ca="1" si="9"/>
        <v>0</v>
      </c>
      <c r="O14" s="2">
        <f t="shared" ca="1" si="9"/>
        <v>0</v>
      </c>
      <c r="P14" s="2">
        <f t="shared" ca="1" si="9"/>
        <v>0</v>
      </c>
      <c r="Q14" s="35">
        <f t="shared" ca="1" si="9"/>
        <v>0</v>
      </c>
      <c r="R14" s="35">
        <f t="shared" ca="1" si="9"/>
        <v>0</v>
      </c>
      <c r="S14" s="2">
        <f t="shared" ca="1" si="1"/>
        <v>0</v>
      </c>
      <c r="T14">
        <f t="shared" ca="1" si="9"/>
        <v>0</v>
      </c>
      <c r="U14">
        <f t="shared" ca="1" si="9"/>
        <v>0</v>
      </c>
      <c r="V14">
        <f t="shared" ca="1" si="9"/>
        <v>0</v>
      </c>
      <c r="W14" s="200">
        <f t="shared" ca="1" si="10"/>
        <v>0</v>
      </c>
      <c r="X14" t="str">
        <f t="shared" si="4"/>
        <v>=</v>
      </c>
      <c r="Y14" t="s">
        <v>71</v>
      </c>
      <c r="Z14" s="32" t="s">
        <v>153</v>
      </c>
      <c r="AA14">
        <f t="shared" ca="1" si="11"/>
        <v>0</v>
      </c>
      <c r="AB14">
        <f t="shared" ca="1" si="11"/>
        <v>0</v>
      </c>
      <c r="AC14">
        <f t="shared" ca="1" si="11"/>
        <v>0</v>
      </c>
      <c r="AD14">
        <f t="shared" ca="1" si="11"/>
        <v>0</v>
      </c>
      <c r="AE14">
        <f t="shared" ca="1" si="11"/>
        <v>0</v>
      </c>
      <c r="AF14">
        <f t="shared" ca="1" si="11"/>
        <v>0</v>
      </c>
      <c r="AG14">
        <f t="shared" ca="1" si="11"/>
        <v>0</v>
      </c>
      <c r="AH14">
        <f t="shared" ca="1" si="11"/>
        <v>0</v>
      </c>
      <c r="AI14" s="2">
        <f t="shared" ca="1" si="11"/>
        <v>0.03</v>
      </c>
      <c r="AJ14" s="2">
        <f t="shared" ca="1" si="11"/>
        <v>0.03</v>
      </c>
      <c r="AK14" s="2">
        <f t="shared" ca="1" si="11"/>
        <v>0</v>
      </c>
      <c r="AL14" s="2">
        <f t="shared" ca="1" si="11"/>
        <v>0</v>
      </c>
      <c r="AM14" s="2">
        <f t="shared" ca="1" si="11"/>
        <v>0</v>
      </c>
      <c r="AN14" s="2">
        <f t="shared" ca="1" si="11"/>
        <v>0</v>
      </c>
      <c r="AO14" s="35">
        <f t="shared" ca="1" si="11"/>
        <v>0</v>
      </c>
      <c r="AP14" s="35">
        <f t="shared" ca="1" si="11"/>
        <v>0</v>
      </c>
      <c r="AQ14" s="2">
        <f t="shared" ca="1" si="11"/>
        <v>0</v>
      </c>
      <c r="AR14">
        <f t="shared" ca="1" si="11"/>
        <v>0</v>
      </c>
      <c r="AS14">
        <f t="shared" ca="1" si="11"/>
        <v>0</v>
      </c>
      <c r="AT14">
        <f t="shared" ca="1" si="11"/>
        <v>0</v>
      </c>
      <c r="AU14" s="200">
        <f t="shared" ca="1" si="12"/>
        <v>0</v>
      </c>
    </row>
    <row r="15" spans="1:47">
      <c r="A15" t="s">
        <v>20</v>
      </c>
      <c r="B15" s="32" t="s">
        <v>762</v>
      </c>
      <c r="C15">
        <f t="shared" ca="1" si="9"/>
        <v>0</v>
      </c>
      <c r="D15">
        <f t="shared" ca="1" si="9"/>
        <v>0</v>
      </c>
      <c r="E15">
        <f t="shared" ca="1" si="9"/>
        <v>0</v>
      </c>
      <c r="F15">
        <f t="shared" ca="1" si="9"/>
        <v>30</v>
      </c>
      <c r="G15">
        <f t="shared" ca="1" si="9"/>
        <v>0</v>
      </c>
      <c r="H15">
        <f t="shared" ca="1" si="9"/>
        <v>0</v>
      </c>
      <c r="I15">
        <f t="shared" ca="1" si="9"/>
        <v>20</v>
      </c>
      <c r="J15">
        <f t="shared" ca="1" si="9"/>
        <v>20</v>
      </c>
      <c r="K15" s="2">
        <f t="shared" ca="1" si="9"/>
        <v>0</v>
      </c>
      <c r="L15" s="2">
        <f t="shared" ca="1" si="9"/>
        <v>0</v>
      </c>
      <c r="M15" s="2">
        <f t="shared" ca="1" si="9"/>
        <v>0</v>
      </c>
      <c r="N15" s="2">
        <f t="shared" ca="1" si="9"/>
        <v>0</v>
      </c>
      <c r="O15" s="2">
        <f t="shared" ca="1" si="9"/>
        <v>0</v>
      </c>
      <c r="P15" s="2">
        <f t="shared" ca="1" si="9"/>
        <v>0</v>
      </c>
      <c r="Q15" s="35">
        <f t="shared" ca="1" si="9"/>
        <v>0</v>
      </c>
      <c r="R15" s="35">
        <f t="shared" ca="1" si="9"/>
        <v>0</v>
      </c>
      <c r="S15" s="2">
        <f t="shared" ca="1" si="1"/>
        <v>0</v>
      </c>
      <c r="T15">
        <f t="shared" ca="1" si="9"/>
        <v>0</v>
      </c>
      <c r="U15">
        <f t="shared" ca="1" si="9"/>
        <v>0</v>
      </c>
      <c r="V15">
        <f t="shared" ca="1" si="9"/>
        <v>10</v>
      </c>
      <c r="W15" s="200">
        <f t="shared" ca="1" si="10"/>
        <v>0</v>
      </c>
      <c r="X15" t="str">
        <f t="shared" si="4"/>
        <v>=</v>
      </c>
      <c r="Y15" t="s">
        <v>20</v>
      </c>
      <c r="Z15" s="32" t="s">
        <v>762</v>
      </c>
      <c r="AA15">
        <f t="shared" ca="1" si="11"/>
        <v>0</v>
      </c>
      <c r="AB15">
        <f t="shared" ca="1" si="11"/>
        <v>0</v>
      </c>
      <c r="AC15">
        <f t="shared" ca="1" si="11"/>
        <v>0</v>
      </c>
      <c r="AD15">
        <f t="shared" ca="1" si="11"/>
        <v>30</v>
      </c>
      <c r="AE15">
        <f t="shared" ca="1" si="11"/>
        <v>0</v>
      </c>
      <c r="AF15">
        <f t="shared" ca="1" si="11"/>
        <v>0</v>
      </c>
      <c r="AG15">
        <f t="shared" ca="1" si="11"/>
        <v>20</v>
      </c>
      <c r="AH15">
        <f t="shared" ca="1" si="11"/>
        <v>20</v>
      </c>
      <c r="AI15" s="2">
        <f t="shared" ca="1" si="11"/>
        <v>0</v>
      </c>
      <c r="AJ15" s="2">
        <f t="shared" ca="1" si="11"/>
        <v>0</v>
      </c>
      <c r="AK15" s="2">
        <f t="shared" ca="1" si="11"/>
        <v>0</v>
      </c>
      <c r="AL15" s="2">
        <f t="shared" ca="1" si="11"/>
        <v>0</v>
      </c>
      <c r="AM15" s="2">
        <f t="shared" ca="1" si="11"/>
        <v>0</v>
      </c>
      <c r="AN15" s="2">
        <f t="shared" ca="1" si="11"/>
        <v>0</v>
      </c>
      <c r="AO15" s="35">
        <f t="shared" ca="1" si="11"/>
        <v>0</v>
      </c>
      <c r="AP15" s="35">
        <f t="shared" ca="1" si="11"/>
        <v>0</v>
      </c>
      <c r="AQ15" s="2">
        <f t="shared" ca="1" si="11"/>
        <v>0</v>
      </c>
      <c r="AR15">
        <f t="shared" ca="1" si="11"/>
        <v>0</v>
      </c>
      <c r="AS15">
        <f t="shared" ca="1" si="11"/>
        <v>0</v>
      </c>
      <c r="AT15">
        <f t="shared" ca="1" si="11"/>
        <v>10</v>
      </c>
      <c r="AU15" s="200">
        <f t="shared" ca="1" si="12"/>
        <v>0</v>
      </c>
    </row>
    <row r="16" spans="1:47">
      <c r="A16" t="s">
        <v>21</v>
      </c>
      <c r="B16" s="32" t="s">
        <v>881</v>
      </c>
      <c r="C16">
        <f t="shared" ca="1" si="9"/>
        <v>0</v>
      </c>
      <c r="D16">
        <f t="shared" ca="1" si="9"/>
        <v>0</v>
      </c>
      <c r="E16">
        <f t="shared" ca="1" si="9"/>
        <v>15</v>
      </c>
      <c r="F16">
        <f t="shared" ca="1" si="9"/>
        <v>0</v>
      </c>
      <c r="G16">
        <f t="shared" ca="1" si="9"/>
        <v>0</v>
      </c>
      <c r="H16">
        <f t="shared" ca="1" si="9"/>
        <v>0</v>
      </c>
      <c r="I16">
        <f t="shared" ca="1" si="9"/>
        <v>15</v>
      </c>
      <c r="J16">
        <f t="shared" ca="1" si="9"/>
        <v>0</v>
      </c>
      <c r="K16" s="2">
        <f t="shared" ca="1" si="9"/>
        <v>0.05</v>
      </c>
      <c r="L16" s="2">
        <f t="shared" ca="1" si="9"/>
        <v>0.02</v>
      </c>
      <c r="M16" s="2">
        <f t="shared" ca="1" si="9"/>
        <v>0</v>
      </c>
      <c r="N16" s="2">
        <f t="shared" ca="1" si="9"/>
        <v>0</v>
      </c>
      <c r="O16" s="2">
        <f t="shared" ca="1" si="9"/>
        <v>0</v>
      </c>
      <c r="P16" s="2">
        <f t="shared" ca="1" si="9"/>
        <v>0</v>
      </c>
      <c r="Q16" s="35">
        <f t="shared" ca="1" si="9"/>
        <v>91</v>
      </c>
      <c r="R16" s="35">
        <f t="shared" ca="1" si="9"/>
        <v>0</v>
      </c>
      <c r="S16" s="2">
        <f t="shared" ca="1" si="1"/>
        <v>0</v>
      </c>
      <c r="T16">
        <f t="shared" ca="1" si="9"/>
        <v>0</v>
      </c>
      <c r="U16">
        <f t="shared" ca="1" si="9"/>
        <v>0</v>
      </c>
      <c r="V16">
        <f t="shared" ca="1" si="9"/>
        <v>0</v>
      </c>
      <c r="W16" s="200">
        <f t="shared" ca="1" si="10"/>
        <v>0</v>
      </c>
      <c r="X16" t="str">
        <f t="shared" si="4"/>
        <v>=</v>
      </c>
      <c r="Y16" t="s">
        <v>21</v>
      </c>
      <c r="Z16" s="32" t="s">
        <v>881</v>
      </c>
      <c r="AA16">
        <f t="shared" ca="1" si="11"/>
        <v>0</v>
      </c>
      <c r="AB16">
        <f t="shared" ca="1" si="11"/>
        <v>0</v>
      </c>
      <c r="AC16">
        <f t="shared" ca="1" si="11"/>
        <v>15</v>
      </c>
      <c r="AD16">
        <f t="shared" ca="1" si="11"/>
        <v>0</v>
      </c>
      <c r="AE16">
        <f t="shared" ca="1" si="11"/>
        <v>0</v>
      </c>
      <c r="AF16">
        <f t="shared" ca="1" si="11"/>
        <v>0</v>
      </c>
      <c r="AG16">
        <f t="shared" ca="1" si="11"/>
        <v>15</v>
      </c>
      <c r="AH16">
        <f t="shared" ca="1" si="11"/>
        <v>0</v>
      </c>
      <c r="AI16" s="2">
        <f t="shared" ca="1" si="11"/>
        <v>0.05</v>
      </c>
      <c r="AJ16" s="2">
        <f t="shared" ca="1" si="11"/>
        <v>0.02</v>
      </c>
      <c r="AK16" s="2">
        <f t="shared" ca="1" si="11"/>
        <v>0</v>
      </c>
      <c r="AL16" s="2">
        <f t="shared" ca="1" si="11"/>
        <v>0</v>
      </c>
      <c r="AM16" s="2">
        <f t="shared" ca="1" si="11"/>
        <v>0</v>
      </c>
      <c r="AN16" s="2">
        <f t="shared" ca="1" si="11"/>
        <v>0</v>
      </c>
      <c r="AO16" s="35">
        <f t="shared" ca="1" si="11"/>
        <v>91</v>
      </c>
      <c r="AP16" s="35">
        <f t="shared" ca="1" si="11"/>
        <v>0</v>
      </c>
      <c r="AQ16" s="2">
        <f t="shared" ca="1" si="11"/>
        <v>0</v>
      </c>
      <c r="AR16">
        <f t="shared" ca="1" si="11"/>
        <v>0</v>
      </c>
      <c r="AS16">
        <f t="shared" ca="1" si="11"/>
        <v>0</v>
      </c>
      <c r="AT16">
        <f t="shared" ca="1" si="11"/>
        <v>0</v>
      </c>
      <c r="AU16" s="200">
        <f t="shared" ca="1" si="12"/>
        <v>0</v>
      </c>
    </row>
    <row r="17" spans="1:47">
      <c r="A17" t="s">
        <v>22</v>
      </c>
      <c r="B17" s="32" t="s">
        <v>695</v>
      </c>
      <c r="C17">
        <f t="shared" ca="1" si="9"/>
        <v>0</v>
      </c>
      <c r="D17">
        <f t="shared" ca="1" si="9"/>
        <v>0</v>
      </c>
      <c r="E17">
        <f t="shared" ca="1" si="9"/>
        <v>48</v>
      </c>
      <c r="F17">
        <f t="shared" ca="1" si="9"/>
        <v>16</v>
      </c>
      <c r="G17">
        <f t="shared" ca="1" si="9"/>
        <v>30</v>
      </c>
      <c r="H17">
        <f t="shared" ca="1" si="9"/>
        <v>28</v>
      </c>
      <c r="I17">
        <f t="shared" ca="1" si="9"/>
        <v>0</v>
      </c>
      <c r="J17">
        <f t="shared" ca="1" si="9"/>
        <v>15</v>
      </c>
      <c r="K17" s="2">
        <f t="shared" ca="1" si="9"/>
        <v>0.03</v>
      </c>
      <c r="L17" s="2">
        <f t="shared" ca="1" si="9"/>
        <v>0.03</v>
      </c>
      <c r="M17" s="2">
        <f t="shared" ca="1" si="9"/>
        <v>0</v>
      </c>
      <c r="N17" s="2">
        <f t="shared" ca="1" si="9"/>
        <v>0</v>
      </c>
      <c r="O17" s="2">
        <f t="shared" ca="1" si="9"/>
        <v>0</v>
      </c>
      <c r="P17" s="2">
        <f t="shared" ca="1" si="9"/>
        <v>0</v>
      </c>
      <c r="Q17" s="35">
        <f t="shared" ca="1" si="9"/>
        <v>61</v>
      </c>
      <c r="R17" s="35">
        <f t="shared" ca="1" si="9"/>
        <v>0</v>
      </c>
      <c r="S17" s="2">
        <f t="shared" ca="1" si="1"/>
        <v>0</v>
      </c>
      <c r="T17">
        <f t="shared" ca="1" si="9"/>
        <v>0</v>
      </c>
      <c r="U17">
        <f t="shared" ca="1" si="9"/>
        <v>15</v>
      </c>
      <c r="V17">
        <f t="shared" ca="1" si="9"/>
        <v>7</v>
      </c>
      <c r="W17" s="200">
        <f t="shared" ca="1" si="10"/>
        <v>0</v>
      </c>
      <c r="X17" t="str">
        <f t="shared" si="4"/>
        <v>=</v>
      </c>
      <c r="Y17" t="s">
        <v>22</v>
      </c>
      <c r="Z17" s="33" t="s">
        <v>695</v>
      </c>
      <c r="AA17">
        <f t="shared" ca="1" si="11"/>
        <v>0</v>
      </c>
      <c r="AB17">
        <f t="shared" ca="1" si="11"/>
        <v>0</v>
      </c>
      <c r="AC17">
        <f t="shared" ca="1" si="11"/>
        <v>48</v>
      </c>
      <c r="AD17">
        <f t="shared" ca="1" si="11"/>
        <v>16</v>
      </c>
      <c r="AE17">
        <f t="shared" ca="1" si="11"/>
        <v>30</v>
      </c>
      <c r="AF17">
        <f t="shared" ca="1" si="11"/>
        <v>28</v>
      </c>
      <c r="AG17">
        <f t="shared" ca="1" si="11"/>
        <v>0</v>
      </c>
      <c r="AH17">
        <f t="shared" ca="1" si="11"/>
        <v>15</v>
      </c>
      <c r="AI17" s="2">
        <f t="shared" ca="1" si="11"/>
        <v>0.03</v>
      </c>
      <c r="AJ17" s="2">
        <f t="shared" ca="1" si="11"/>
        <v>0.03</v>
      </c>
      <c r="AK17" s="2">
        <f t="shared" ca="1" si="11"/>
        <v>0</v>
      </c>
      <c r="AL17" s="2">
        <f t="shared" ca="1" si="11"/>
        <v>0</v>
      </c>
      <c r="AM17" s="2">
        <f t="shared" ca="1" si="11"/>
        <v>0</v>
      </c>
      <c r="AN17" s="2">
        <f t="shared" ca="1" si="11"/>
        <v>0</v>
      </c>
      <c r="AO17" s="35">
        <f t="shared" ca="1" si="11"/>
        <v>61</v>
      </c>
      <c r="AP17" s="35">
        <f t="shared" ca="1" si="11"/>
        <v>0</v>
      </c>
      <c r="AQ17" s="2">
        <f t="shared" ca="1" si="11"/>
        <v>0</v>
      </c>
      <c r="AR17">
        <f t="shared" ca="1" si="11"/>
        <v>0</v>
      </c>
      <c r="AS17">
        <f t="shared" ca="1" si="11"/>
        <v>15</v>
      </c>
      <c r="AT17">
        <f t="shared" ca="1" si="11"/>
        <v>7</v>
      </c>
      <c r="AU17" s="200">
        <f t="shared" ca="1" si="12"/>
        <v>0</v>
      </c>
    </row>
    <row r="18" spans="1:47">
      <c r="A18" t="s">
        <v>23</v>
      </c>
      <c r="B18" s="32" t="s">
        <v>807</v>
      </c>
      <c r="C18">
        <f t="shared" ca="1" si="9"/>
        <v>0</v>
      </c>
      <c r="D18">
        <f t="shared" ca="1" si="9"/>
        <v>0</v>
      </c>
      <c r="E18">
        <f t="shared" ca="1" si="9"/>
        <v>20</v>
      </c>
      <c r="F18">
        <f t="shared" ca="1" si="9"/>
        <v>44</v>
      </c>
      <c r="G18">
        <f t="shared" ca="1" si="9"/>
        <v>44</v>
      </c>
      <c r="H18">
        <f t="shared" ca="1" si="9"/>
        <v>0</v>
      </c>
      <c r="I18">
        <f t="shared" ca="1" si="9"/>
        <v>0</v>
      </c>
      <c r="J18">
        <f t="shared" ca="1" si="9"/>
        <v>48</v>
      </c>
      <c r="K18" s="2">
        <f t="shared" ca="1" si="9"/>
        <v>0</v>
      </c>
      <c r="L18" s="2">
        <f t="shared" ca="1" si="9"/>
        <v>0.04</v>
      </c>
      <c r="M18" s="2">
        <f t="shared" ca="1" si="9"/>
        <v>0</v>
      </c>
      <c r="N18" s="2">
        <f t="shared" ca="1" si="9"/>
        <v>0</v>
      </c>
      <c r="O18" s="2">
        <f t="shared" ca="1" si="9"/>
        <v>0.05</v>
      </c>
      <c r="P18" s="2">
        <f t="shared" ca="1" si="9"/>
        <v>0</v>
      </c>
      <c r="Q18" s="35">
        <f t="shared" ca="1" si="9"/>
        <v>30</v>
      </c>
      <c r="R18" s="35">
        <f t="shared" ca="1" si="9"/>
        <v>0</v>
      </c>
      <c r="S18" s="2">
        <f t="shared" ca="1" si="1"/>
        <v>0</v>
      </c>
      <c r="T18">
        <f t="shared" ca="1" si="9"/>
        <v>0</v>
      </c>
      <c r="U18">
        <f t="shared" ca="1" si="9"/>
        <v>43</v>
      </c>
      <c r="V18">
        <f t="shared" ca="1" si="9"/>
        <v>0</v>
      </c>
      <c r="W18" s="200">
        <f t="shared" ca="1" si="10"/>
        <v>0</v>
      </c>
      <c r="X18" t="str">
        <f t="shared" si="4"/>
        <v>-</v>
      </c>
      <c r="Y18" t="s">
        <v>23</v>
      </c>
      <c r="Z18" s="32" t="s">
        <v>721</v>
      </c>
      <c r="AA18">
        <f t="shared" ca="1" si="11"/>
        <v>0</v>
      </c>
      <c r="AB18">
        <f t="shared" ca="1" si="11"/>
        <v>0</v>
      </c>
      <c r="AC18">
        <f t="shared" ca="1" si="11"/>
        <v>16</v>
      </c>
      <c r="AD18">
        <f t="shared" ca="1" si="11"/>
        <v>34</v>
      </c>
      <c r="AE18">
        <f t="shared" ca="1" si="11"/>
        <v>43</v>
      </c>
      <c r="AF18">
        <f t="shared" ca="1" si="11"/>
        <v>0</v>
      </c>
      <c r="AG18">
        <f t="shared" ca="1" si="11"/>
        <v>35</v>
      </c>
      <c r="AH18">
        <f t="shared" ca="1" si="11"/>
        <v>35</v>
      </c>
      <c r="AI18" s="2">
        <f t="shared" ca="1" si="11"/>
        <v>0</v>
      </c>
      <c r="AJ18" s="2">
        <f t="shared" ca="1" si="11"/>
        <v>0.06</v>
      </c>
      <c r="AK18" s="2">
        <f t="shared" ca="1" si="11"/>
        <v>0</v>
      </c>
      <c r="AL18" s="2">
        <f t="shared" ca="1" si="11"/>
        <v>0</v>
      </c>
      <c r="AM18" s="2">
        <f t="shared" ca="1" si="11"/>
        <v>0</v>
      </c>
      <c r="AN18" s="2">
        <f t="shared" ca="1" si="11"/>
        <v>0</v>
      </c>
      <c r="AO18" s="35">
        <f t="shared" ca="1" si="11"/>
        <v>40</v>
      </c>
      <c r="AP18" s="35">
        <f t="shared" ca="1" si="11"/>
        <v>0</v>
      </c>
      <c r="AQ18" s="2">
        <f t="shared" ca="1" si="11"/>
        <v>0</v>
      </c>
      <c r="AR18">
        <f t="shared" ca="1" si="11"/>
        <v>10</v>
      </c>
      <c r="AS18">
        <f t="shared" ca="1" si="11"/>
        <v>10</v>
      </c>
      <c r="AT18">
        <f t="shared" ca="1" si="11"/>
        <v>0</v>
      </c>
      <c r="AU18" s="200">
        <f t="shared" ca="1" si="12"/>
        <v>0</v>
      </c>
    </row>
    <row r="19" spans="1:47">
      <c r="A19" t="s">
        <v>24</v>
      </c>
      <c r="B19" s="118"/>
      <c r="C19">
        <f>SUMIF(INDEX(SetBonusLookup, 0, 1), "="&amp;C2, INDEX(SetBonusLookup, 0, MATCH("TPSet1Gear", INDEX(SetBonusLookup, 1, 0), 0)))</f>
        <v>0</v>
      </c>
      <c r="D19">
        <f>SUMIF(INDEX(SetBonusLookup, 0, 1), "="&amp;D2, INDEX(SetBonusLookup, 0, MATCH("TPSet1Gear", INDEX(SetBonusLookup, 1, 0), 0)))</f>
        <v>0</v>
      </c>
      <c r="E19">
        <f t="shared" ref="E19:R19" si="13">SUMIF(INDEX(SetBonusLookup, 0, 1), "="&amp;E2, INDEX(SetBonusLookup, 0, MATCH("TPSet1Gear", INDEX(SetBonusLookup, 1, 0), 0)))</f>
        <v>0</v>
      </c>
      <c r="F19">
        <f t="shared" ca="1" si="13"/>
        <v>0</v>
      </c>
      <c r="G19">
        <f t="shared" ca="1" si="13"/>
        <v>0</v>
      </c>
      <c r="H19">
        <f t="shared" si="13"/>
        <v>0</v>
      </c>
      <c r="I19">
        <f t="shared" si="13"/>
        <v>0</v>
      </c>
      <c r="J19">
        <f t="shared" ca="1" si="13"/>
        <v>0</v>
      </c>
      <c r="K19" s="89">
        <f t="shared" ca="1" si="13"/>
        <v>0</v>
      </c>
      <c r="L19" s="89">
        <f t="shared" ca="1" si="13"/>
        <v>0</v>
      </c>
      <c r="M19" s="89">
        <f t="shared" si="13"/>
        <v>0</v>
      </c>
      <c r="N19" s="89">
        <f t="shared" ca="1" si="13"/>
        <v>0</v>
      </c>
      <c r="O19" s="89">
        <f ca="1">SUMIF(INDEX(SetBonusLookup, 0, 1), "="&amp;O2, INDEX(SetBonusLookup, 0, MATCH("TPSet1Gear", INDEX(SetBonusLookup, 1, 0), 0)))</f>
        <v>0.04</v>
      </c>
      <c r="P19" s="89">
        <f t="shared" si="13"/>
        <v>0</v>
      </c>
      <c r="Q19">
        <f t="shared" ca="1" si="13"/>
        <v>0</v>
      </c>
      <c r="R19">
        <f t="shared" si="13"/>
        <v>0</v>
      </c>
      <c r="S19" s="2">
        <f t="shared" ref="S19" ca="1" si="14">IF(ISBLANK($B19), 0, VLOOKUP($B19, INDIRECT($A19), MATCH(S$2, StatHeader, 0), 0))</f>
        <v>0</v>
      </c>
      <c r="T19">
        <f t="shared" ref="T19:U19" si="15">SUMIF(INDEX(SetBonusLookup, 0, 1), "="&amp;T2, INDEX(SetBonusLookup, 0, MATCH("TPSet1Gear", INDEX(SetBonusLookup, 1, 0), 0)))</f>
        <v>0</v>
      </c>
      <c r="U19">
        <f t="shared" ca="1" si="15"/>
        <v>0</v>
      </c>
      <c r="V19">
        <f>SUMIF(INDEX(SetBonusLookup, 0, 1), "="&amp;V2, INDEX(SetBonusLookup, 0, MATCH("TPSet1Gear", INDEX(SetBonusLookup, 1, 0), 0)))</f>
        <v>0</v>
      </c>
      <c r="W19" s="200"/>
      <c r="X19" t="str">
        <f ca="1">IF(AND(C19=AA19, D19=AB19, E19=AC19, F19=AD19, G19=AE19, H19=AF19, I19=AG19, J19=AH19, K19=AI19, L19=AJ19, M19=AK19, N19=AL19, O19=AM19, P19=AN19, Q19=AO19, R19=AP19, V19=AT19), "=", "-")</f>
        <v>=</v>
      </c>
      <c r="Y19" t="s">
        <v>24</v>
      </c>
      <c r="Z19" s="118"/>
      <c r="AA19">
        <f>SUMIF(INDEX(SetBonusLookup, 0, 1), "="&amp;AA2, INDEX(SetBonusLookup, 0, MATCH("TPSet2Gear", INDEX(SetBonusLookup, 1, 0), 0)))</f>
        <v>0</v>
      </c>
      <c r="AB19">
        <f>SUMIF(INDEX(SetBonusLookup, 0, 1), "="&amp;AB2, INDEX(SetBonusLookup, 0, MATCH("TPSet2Gear", INDEX(SetBonusLookup, 1, 0), 0)))</f>
        <v>0</v>
      </c>
      <c r="AC19">
        <f t="shared" ref="AC19:AP19" si="16">SUMIF(INDEX(SetBonusLookup, 0, 1), "="&amp;AC2, INDEX(SetBonusLookup, 0, MATCH("TPSet2Gear", INDEX(SetBonusLookup, 1, 0), 0)))</f>
        <v>0</v>
      </c>
      <c r="AD19">
        <f t="shared" ca="1" si="16"/>
        <v>0</v>
      </c>
      <c r="AE19">
        <f t="shared" ca="1" si="16"/>
        <v>0</v>
      </c>
      <c r="AF19">
        <f t="shared" si="16"/>
        <v>0</v>
      </c>
      <c r="AG19">
        <f t="shared" si="16"/>
        <v>0</v>
      </c>
      <c r="AH19">
        <f t="shared" ca="1" si="16"/>
        <v>0</v>
      </c>
      <c r="AI19" s="89">
        <f t="shared" ca="1" si="16"/>
        <v>0</v>
      </c>
      <c r="AJ19" s="89">
        <f t="shared" ca="1" si="16"/>
        <v>0</v>
      </c>
      <c r="AK19" s="89">
        <f t="shared" si="16"/>
        <v>0</v>
      </c>
      <c r="AL19" s="89">
        <f t="shared" ca="1" si="16"/>
        <v>0</v>
      </c>
      <c r="AM19" s="89">
        <f t="shared" ca="1" si="16"/>
        <v>0.04</v>
      </c>
      <c r="AN19" s="89">
        <f t="shared" si="16"/>
        <v>0</v>
      </c>
      <c r="AO19">
        <f t="shared" ca="1" si="16"/>
        <v>0</v>
      </c>
      <c r="AP19">
        <f t="shared" si="16"/>
        <v>0</v>
      </c>
      <c r="AQ19" s="89">
        <f t="shared" ref="AQ19:AS19" si="17">SUMIF(INDEX(SetBonusLookup, 0, 1), "="&amp;AQ2, INDEX(SetBonusLookup, 0, MATCH("TPSet2Gear", INDEX(SetBonusLookup, 1, 0), 0)))</f>
        <v>0</v>
      </c>
      <c r="AR19">
        <f t="shared" si="17"/>
        <v>0</v>
      </c>
      <c r="AS19">
        <f t="shared" ca="1" si="17"/>
        <v>0</v>
      </c>
      <c r="AT19">
        <f>SUMIF(INDEX(SetBonusLookup, 0, 1), "="&amp;AT2, INDEX(SetBonusLookup, 0, MATCH("TPSet2Gear", INDEX(SetBonusLookup, 1, 0), 0)))</f>
        <v>0</v>
      </c>
      <c r="AU19" s="200"/>
    </row>
    <row r="20" spans="1:47">
      <c r="A20" t="s">
        <v>470</v>
      </c>
      <c r="C20" s="32"/>
      <c r="D20" s="32"/>
      <c r="E20" s="32"/>
      <c r="F20" s="32"/>
      <c r="G20" s="32"/>
      <c r="H20" s="32"/>
      <c r="I20" s="32"/>
      <c r="J20" s="32"/>
      <c r="K20" s="34"/>
      <c r="L20" s="34"/>
      <c r="M20" s="34"/>
      <c r="N20" s="34"/>
      <c r="O20" s="34"/>
      <c r="P20" s="34"/>
      <c r="Q20" s="36"/>
      <c r="R20" s="36"/>
      <c r="S20" s="34"/>
      <c r="T20" s="32"/>
      <c r="U20" s="32">
        <v>4</v>
      </c>
      <c r="V20" s="32"/>
      <c r="X20" t="str">
        <f>IF(AND(C20=AA20, D20=AB20, E20=AC20, F20=AD20, G20=AE20, H20=AF20, I20=AG20, J20=AH20, K20=AI20, L20=AJ20, M20=AK20, N20=AL20, O20=AM20, P20=AN20, Q20=AO20, R20=AP20, V20=AT20), "=", "-")</f>
        <v>=</v>
      </c>
      <c r="Y20" t="s">
        <v>470</v>
      </c>
      <c r="AA20" s="32"/>
      <c r="AB20" s="32"/>
      <c r="AC20" s="32"/>
      <c r="AD20" s="32"/>
      <c r="AE20" s="32"/>
      <c r="AF20" s="32"/>
      <c r="AG20" s="32"/>
      <c r="AH20" s="32"/>
      <c r="AI20" s="34"/>
      <c r="AJ20" s="34"/>
      <c r="AK20" s="34"/>
      <c r="AL20" s="34"/>
      <c r="AM20" s="34"/>
      <c r="AN20" s="34"/>
      <c r="AO20" s="36"/>
      <c r="AP20" s="36"/>
      <c r="AQ20" s="34"/>
      <c r="AR20" s="32"/>
      <c r="AS20" s="32">
        <v>47</v>
      </c>
      <c r="AT20" s="32"/>
    </row>
    <row r="21" spans="1:47">
      <c r="K21" s="2"/>
      <c r="L21" s="2"/>
      <c r="M21" s="2"/>
      <c r="N21" s="2"/>
      <c r="O21" s="2"/>
      <c r="P21" s="2"/>
      <c r="Q21" s="2"/>
      <c r="R21" s="2"/>
      <c r="S21" s="2"/>
      <c r="AI21" s="2"/>
      <c r="AJ21" s="2"/>
      <c r="AK21" s="2"/>
      <c r="AL21" s="2"/>
      <c r="AM21" s="2"/>
      <c r="AN21" s="2"/>
      <c r="AO21" s="2"/>
      <c r="AP21" s="2"/>
      <c r="AQ21" s="2"/>
    </row>
    <row r="22" spans="1:47">
      <c r="A22" t="s">
        <v>7</v>
      </c>
      <c r="C22">
        <f t="shared" ref="C22:P22" ca="1" si="18">SUM(C3:C20)</f>
        <v>0</v>
      </c>
      <c r="D22">
        <f t="shared" ca="1" si="18"/>
        <v>0</v>
      </c>
      <c r="E22">
        <f t="shared" ca="1" si="18"/>
        <v>184</v>
      </c>
      <c r="F22">
        <f t="shared" ca="1" si="18"/>
        <v>233</v>
      </c>
      <c r="G22">
        <f t="shared" ca="1" si="18"/>
        <v>167</v>
      </c>
      <c r="H22">
        <f t="shared" ca="1" si="18"/>
        <v>78</v>
      </c>
      <c r="I22">
        <f t="shared" ca="1" si="18"/>
        <v>210</v>
      </c>
      <c r="J22">
        <f t="shared" ca="1" si="18"/>
        <v>275</v>
      </c>
      <c r="K22" s="2">
        <f t="shared" ca="1" si="18"/>
        <v>0.15000000000000002</v>
      </c>
      <c r="L22" s="2">
        <f t="shared" ca="1" si="18"/>
        <v>0.35000000000000003</v>
      </c>
      <c r="M22" s="2">
        <f t="shared" ca="1" si="18"/>
        <v>0</v>
      </c>
      <c r="N22" s="2">
        <f t="shared" ca="1" si="18"/>
        <v>0</v>
      </c>
      <c r="O22" s="2">
        <f t="shared" ca="1" si="18"/>
        <v>0.18000000000000002</v>
      </c>
      <c r="P22" s="2">
        <f t="shared" ca="1" si="18"/>
        <v>0.06</v>
      </c>
      <c r="Q22" s="2">
        <f ca="1">SUM(Q3:Q20)/1024</f>
        <v>0.345703125</v>
      </c>
      <c r="R22">
        <f ca="1">SUM(R3:R20)</f>
        <v>0</v>
      </c>
      <c r="S22" s="2">
        <f t="shared" ref="S22" ca="1" si="19">SUM(S3:S20)</f>
        <v>0.25</v>
      </c>
      <c r="T22">
        <f t="shared" ref="T22:U22" ca="1" si="20">SUM(T3:T20)</f>
        <v>46</v>
      </c>
      <c r="U22">
        <f t="shared" ca="1" si="20"/>
        <v>176</v>
      </c>
      <c r="V22">
        <f ca="1">SUM(V3:V20)</f>
        <v>41</v>
      </c>
      <c r="W22" s="200">
        <f ca="1">SUM(W3:W20)</f>
        <v>0.1</v>
      </c>
      <c r="Y22" t="s">
        <v>7</v>
      </c>
      <c r="AA22">
        <f t="shared" ref="AA22:AN22" ca="1" si="21">SUM(AA3:AA20)</f>
        <v>0</v>
      </c>
      <c r="AB22">
        <f t="shared" ca="1" si="21"/>
        <v>0</v>
      </c>
      <c r="AC22">
        <f t="shared" ca="1" si="21"/>
        <v>180</v>
      </c>
      <c r="AD22">
        <f t="shared" ca="1" si="21"/>
        <v>223</v>
      </c>
      <c r="AE22">
        <f t="shared" ca="1" si="21"/>
        <v>166</v>
      </c>
      <c r="AF22">
        <f t="shared" ca="1" si="21"/>
        <v>78</v>
      </c>
      <c r="AG22">
        <f t="shared" ca="1" si="21"/>
        <v>175</v>
      </c>
      <c r="AH22">
        <f t="shared" ca="1" si="21"/>
        <v>276</v>
      </c>
      <c r="AI22" s="2">
        <f t="shared" ca="1" si="21"/>
        <v>0.12</v>
      </c>
      <c r="AJ22" s="2">
        <f t="shared" ca="1" si="21"/>
        <v>0.37000000000000005</v>
      </c>
      <c r="AK22" s="2">
        <f t="shared" ca="1" si="21"/>
        <v>0</v>
      </c>
      <c r="AL22" s="2">
        <f t="shared" ca="1" si="21"/>
        <v>0</v>
      </c>
      <c r="AM22" s="2">
        <f t="shared" ca="1" si="21"/>
        <v>0.13</v>
      </c>
      <c r="AN22" s="2">
        <f t="shared" ca="1" si="21"/>
        <v>0.06</v>
      </c>
      <c r="AO22" s="2">
        <f ca="1">SUM(AO3:AO20)/1024</f>
        <v>0.35546875</v>
      </c>
      <c r="AP22">
        <f ca="1">SUM(AP3:AP20)</f>
        <v>0</v>
      </c>
      <c r="AQ22" s="2">
        <f t="shared" ref="AQ22:AS22" ca="1" si="22">SUM(AQ3:AQ20)</f>
        <v>0.25</v>
      </c>
      <c r="AR22">
        <f t="shared" ca="1" si="22"/>
        <v>46</v>
      </c>
      <c r="AS22">
        <f t="shared" ca="1" si="22"/>
        <v>176</v>
      </c>
      <c r="AT22">
        <f ca="1">SUM(AT3:AT20)</f>
        <v>56</v>
      </c>
      <c r="AU22" s="200">
        <f ca="1">SUM(AU3:AU20)</f>
        <v>0.1</v>
      </c>
    </row>
    <row r="23" spans="1:47">
      <c r="A23" s="9" t="s">
        <v>102</v>
      </c>
      <c r="B23" s="8">
        <f ca="1">Data!D286</f>
        <v>2596.8680214511369</v>
      </c>
      <c r="Y23" s="9" t="s">
        <v>102</v>
      </c>
      <c r="Z23" s="8">
        <f ca="1">Data!E286</f>
        <v>2507.4762923858475</v>
      </c>
    </row>
    <row r="25" spans="1:47">
      <c r="A25" t="s">
        <v>256</v>
      </c>
      <c r="Y25" t="s">
        <v>257</v>
      </c>
    </row>
    <row r="26" spans="1:47">
      <c r="A26" t="s">
        <v>8</v>
      </c>
      <c r="B26" t="s">
        <v>14</v>
      </c>
      <c r="C26" t="s">
        <v>30</v>
      </c>
      <c r="D26" t="s">
        <v>3</v>
      </c>
      <c r="E26" t="s">
        <v>4</v>
      </c>
      <c r="F26" t="s">
        <v>42</v>
      </c>
      <c r="G26" t="s">
        <v>208</v>
      </c>
      <c r="H26" t="s">
        <v>9</v>
      </c>
      <c r="I26" t="s">
        <v>10</v>
      </c>
      <c r="J26" t="s">
        <v>12</v>
      </c>
      <c r="K26" t="s">
        <v>152</v>
      </c>
      <c r="L26" t="s">
        <v>345</v>
      </c>
      <c r="M26" t="s">
        <v>122</v>
      </c>
      <c r="N26" t="s">
        <v>119</v>
      </c>
      <c r="O26" t="s">
        <v>118</v>
      </c>
      <c r="P26" t="s">
        <v>163</v>
      </c>
      <c r="Q26" t="s">
        <v>339</v>
      </c>
      <c r="R26" t="s">
        <v>289</v>
      </c>
      <c r="S26" t="s">
        <v>457</v>
      </c>
      <c r="V26" t="s">
        <v>13</v>
      </c>
      <c r="W26" t="s">
        <v>845</v>
      </c>
      <c r="Y26" t="s">
        <v>8</v>
      </c>
      <c r="Z26" t="s">
        <v>14</v>
      </c>
      <c r="AA26" t="s">
        <v>30</v>
      </c>
      <c r="AB26" t="s">
        <v>3</v>
      </c>
      <c r="AC26" t="s">
        <v>4</v>
      </c>
      <c r="AD26" t="s">
        <v>42</v>
      </c>
      <c r="AE26" t="s">
        <v>208</v>
      </c>
      <c r="AF26" t="s">
        <v>9</v>
      </c>
      <c r="AG26" t="s">
        <v>10</v>
      </c>
      <c r="AH26" t="s">
        <v>12</v>
      </c>
      <c r="AI26" t="s">
        <v>152</v>
      </c>
      <c r="AJ26" t="s">
        <v>345</v>
      </c>
      <c r="AK26" t="s">
        <v>122</v>
      </c>
      <c r="AL26" t="s">
        <v>119</v>
      </c>
      <c r="AM26" t="s">
        <v>118</v>
      </c>
      <c r="AN26" t="s">
        <v>163</v>
      </c>
      <c r="AO26" t="s">
        <v>339</v>
      </c>
      <c r="AP26" t="s">
        <v>289</v>
      </c>
      <c r="AQ26" t="s">
        <v>457</v>
      </c>
      <c r="AT26" t="s">
        <v>13</v>
      </c>
      <c r="AU26" t="s">
        <v>845</v>
      </c>
    </row>
    <row r="27" spans="1:47">
      <c r="A27" s="31" t="s">
        <v>519</v>
      </c>
      <c r="B27" t="str">
        <f>B3</f>
        <v>Kikoku Aug 121</v>
      </c>
      <c r="C27">
        <f t="shared" ref="C27:V42" ca="1" si="23">IF(ISBLANK($B27), 0, VLOOKUP($B27, INDIRECT($A27), MATCH(C$26, StatHeader, 0), 0))</f>
        <v>0</v>
      </c>
      <c r="D27">
        <f t="shared" ca="1" si="23"/>
        <v>0</v>
      </c>
      <c r="E27">
        <f t="shared" ca="1" si="23"/>
        <v>0</v>
      </c>
      <c r="F27">
        <f t="shared" ca="1" si="23"/>
        <v>0</v>
      </c>
      <c r="G27">
        <f t="shared" ca="1" si="23"/>
        <v>0</v>
      </c>
      <c r="H27">
        <f t="shared" ca="1" si="23"/>
        <v>60</v>
      </c>
      <c r="I27">
        <f t="shared" ca="1" si="23"/>
        <v>0</v>
      </c>
      <c r="J27" s="2">
        <f t="shared" ca="1" si="23"/>
        <v>0</v>
      </c>
      <c r="K27" s="2">
        <f t="shared" ca="1" si="23"/>
        <v>0</v>
      </c>
      <c r="L27" s="2">
        <f t="shared" ca="1" si="23"/>
        <v>0</v>
      </c>
      <c r="M27" s="2">
        <f t="shared" ca="1" si="23"/>
        <v>0</v>
      </c>
      <c r="N27" s="2">
        <f t="shared" ca="1" si="23"/>
        <v>0</v>
      </c>
      <c r="O27" s="2">
        <f t="shared" ca="1" si="23"/>
        <v>0</v>
      </c>
      <c r="P27" s="2">
        <f t="shared" ca="1" si="23"/>
        <v>0</v>
      </c>
      <c r="Q27" s="2">
        <f t="shared" ca="1" si="23"/>
        <v>0</v>
      </c>
      <c r="R27" s="35">
        <f t="shared" ca="1" si="23"/>
        <v>0</v>
      </c>
      <c r="S27" s="35">
        <f ca="1">IF(ISBLANK($B27), 0, IF(ISNUMBER(VLOOKUP($B27, INDIRECT($A27), MATCH("D"&amp;S$26, StatHeader, 0), 0)), IF(Setup!$F$35=1, VLOOKUP($B27, INDIRECT($A27), MATCH("D"&amp;S$26, StatHeader, 0), 0), 0), VLOOKUP($B27, INDIRECT($A27), MATCH(S$26, StatHeader, 0), 0)))</f>
        <v>0</v>
      </c>
      <c r="T27" s="35"/>
      <c r="U27" s="35"/>
      <c r="V27">
        <f t="shared" ca="1" si="23"/>
        <v>0</v>
      </c>
      <c r="W27">
        <f t="shared" ref="W27:W43" ca="1" si="24">IF(ISBLANK($B27), 0, VLOOKUP($B27, INDIRECT($A27), MATCH(W$2, StatHeader, 0), 0))</f>
        <v>0</v>
      </c>
      <c r="Y27" s="31" t="s">
        <v>519</v>
      </c>
      <c r="Z27" t="str">
        <f>Z3</f>
        <v>Heishi Shorinken Aug</v>
      </c>
      <c r="AA27">
        <f t="shared" ref="AA27:AT42" ca="1" si="25">IF(ISBLANK($Z27), 0, VLOOKUP($Z27, INDIRECT($Y27), MATCH(AA$26, StatHeader, 0), 0))</f>
        <v>0</v>
      </c>
      <c r="AB27">
        <f t="shared" ca="1" si="25"/>
        <v>0</v>
      </c>
      <c r="AC27">
        <f t="shared" ca="1" si="25"/>
        <v>0</v>
      </c>
      <c r="AD27">
        <f t="shared" ca="1" si="25"/>
        <v>0</v>
      </c>
      <c r="AE27">
        <f t="shared" ca="1" si="25"/>
        <v>0</v>
      </c>
      <c r="AF27">
        <f t="shared" ca="1" si="25"/>
        <v>0</v>
      </c>
      <c r="AG27">
        <f t="shared" ca="1" si="25"/>
        <v>30</v>
      </c>
      <c r="AH27" s="2">
        <f t="shared" ca="1" si="25"/>
        <v>0</v>
      </c>
      <c r="AI27" s="2">
        <f t="shared" ca="1" si="25"/>
        <v>0</v>
      </c>
      <c r="AJ27" s="2">
        <f t="shared" ca="1" si="25"/>
        <v>0</v>
      </c>
      <c r="AK27" s="2">
        <f t="shared" ca="1" si="25"/>
        <v>0</v>
      </c>
      <c r="AL27" s="2">
        <f t="shared" ca="1" si="25"/>
        <v>0</v>
      </c>
      <c r="AM27" s="2">
        <f t="shared" ca="1" si="25"/>
        <v>0</v>
      </c>
      <c r="AN27" s="2">
        <f t="shared" ca="1" si="25"/>
        <v>0</v>
      </c>
      <c r="AO27" s="2">
        <f t="shared" ca="1" si="25"/>
        <v>0</v>
      </c>
      <c r="AP27" s="35">
        <f t="shared" ca="1" si="25"/>
        <v>500</v>
      </c>
      <c r="AQ27" s="35">
        <f ca="1">IF(ISBLANK($Z27), 0, IF(ISNUMBER(VLOOKUP($Z27, INDIRECT($Y27), MATCH("D"&amp;AQ$26, StatHeader, 0), 0)), IF(Setup!$G$35=1, VLOOKUP($Z27, INDIRECT($Y27), MATCH("D"&amp;AQ$26, StatHeader, 0), 0), 0), VLOOKUP($Z27, INDIRECT($Y27), MATCH(AQ$26, StatHeader, 0), 0)))</f>
        <v>0</v>
      </c>
      <c r="AR27" s="35"/>
      <c r="AS27" s="35"/>
      <c r="AT27">
        <f t="shared" ca="1" si="25"/>
        <v>10</v>
      </c>
      <c r="AU27">
        <f t="shared" ref="AU27:AU43" ca="1" si="26">IF(ISBLANK($Z27), 0, VLOOKUP($Z27, INDIRECT($Y27), MATCH(AU$2, StatHeader, 0), 0))</f>
        <v>0</v>
      </c>
    </row>
    <row r="28" spans="1:47">
      <c r="A28" t="str">
        <f>A4</f>
        <v>Dagger</v>
      </c>
      <c r="B28" s="14" t="str">
        <f>B4</f>
        <v>Ternion +1 (Aug)</v>
      </c>
      <c r="C28">
        <f t="shared" ca="1" si="23"/>
        <v>0</v>
      </c>
      <c r="D28">
        <f t="shared" ca="1" si="23"/>
        <v>0</v>
      </c>
      <c r="E28">
        <f t="shared" ca="1" si="23"/>
        <v>0</v>
      </c>
      <c r="F28">
        <f t="shared" ca="1" si="23"/>
        <v>15</v>
      </c>
      <c r="G28">
        <f t="shared" ca="1" si="23"/>
        <v>0</v>
      </c>
      <c r="H28">
        <f t="shared" ca="1" si="23"/>
        <v>0</v>
      </c>
      <c r="I28">
        <f t="shared" ca="1" si="23"/>
        <v>67</v>
      </c>
      <c r="J28" s="2">
        <f t="shared" ca="1" si="23"/>
        <v>0</v>
      </c>
      <c r="K28" s="2">
        <f t="shared" ca="1" si="23"/>
        <v>0.04</v>
      </c>
      <c r="L28" s="2">
        <f t="shared" ca="1" si="23"/>
        <v>0</v>
      </c>
      <c r="M28" s="2">
        <f t="shared" ca="1" si="23"/>
        <v>0</v>
      </c>
      <c r="N28" s="2">
        <f t="shared" ca="1" si="23"/>
        <v>0</v>
      </c>
      <c r="O28" s="2">
        <f t="shared" ca="1" si="23"/>
        <v>0</v>
      </c>
      <c r="P28" s="2">
        <f t="shared" ca="1" si="23"/>
        <v>0.05</v>
      </c>
      <c r="Q28" s="2">
        <f t="shared" ca="1" si="23"/>
        <v>0</v>
      </c>
      <c r="R28" s="35">
        <f t="shared" ca="1" si="23"/>
        <v>0</v>
      </c>
      <c r="S28" s="35">
        <f ca="1">IF(ISBLANK($B28), 0, IF(ISNUMBER(VLOOKUP($B28, INDIRECT($A28), MATCH("D"&amp;S$26, StatHeader, 0), 0)), IF(Setup!$F$35=1, VLOOKUP($B28, INDIRECT($A28), MATCH("D"&amp;S$26, StatHeader, 0), 0), 0), VLOOKUP($B28, INDIRECT($A28), MATCH(S$26, StatHeader, 0), 0)))</f>
        <v>0</v>
      </c>
      <c r="T28" s="35"/>
      <c r="U28" s="35"/>
      <c r="V28">
        <f t="shared" ca="1" si="23"/>
        <v>0</v>
      </c>
      <c r="W28" s="200">
        <f t="shared" ca="1" si="24"/>
        <v>0</v>
      </c>
      <c r="Y28" t="str">
        <f>Y4</f>
        <v>Dagger</v>
      </c>
      <c r="Z28" s="14" t="str">
        <f>Z4</f>
        <v>Ternion +1 (Aug)</v>
      </c>
      <c r="AA28">
        <f t="shared" ca="1" si="25"/>
        <v>0</v>
      </c>
      <c r="AB28">
        <f t="shared" ca="1" si="25"/>
        <v>0</v>
      </c>
      <c r="AC28">
        <f t="shared" ca="1" si="25"/>
        <v>0</v>
      </c>
      <c r="AD28">
        <f t="shared" ca="1" si="25"/>
        <v>15</v>
      </c>
      <c r="AE28">
        <f t="shared" ca="1" si="25"/>
        <v>0</v>
      </c>
      <c r="AF28">
        <f t="shared" ca="1" si="25"/>
        <v>0</v>
      </c>
      <c r="AG28">
        <f ca="1">IF(ISBLANK($Z28), 0, VLOOKUP($Z28, INDIRECT($Y28), MATCH(AG$26, StatHeader, 0), 0))</f>
        <v>67</v>
      </c>
      <c r="AH28" s="2">
        <f t="shared" ca="1" si="25"/>
        <v>0</v>
      </c>
      <c r="AI28" s="2">
        <f t="shared" ca="1" si="25"/>
        <v>0.04</v>
      </c>
      <c r="AJ28" s="2">
        <f t="shared" ca="1" si="25"/>
        <v>0</v>
      </c>
      <c r="AK28" s="2">
        <f t="shared" ca="1" si="25"/>
        <v>0</v>
      </c>
      <c r="AL28" s="2">
        <f t="shared" ca="1" si="25"/>
        <v>0</v>
      </c>
      <c r="AM28" s="2">
        <f t="shared" ca="1" si="25"/>
        <v>0</v>
      </c>
      <c r="AN28" s="2">
        <f t="shared" ca="1" si="25"/>
        <v>0.05</v>
      </c>
      <c r="AO28" s="2">
        <f t="shared" ca="1" si="25"/>
        <v>0</v>
      </c>
      <c r="AP28" s="35">
        <f t="shared" ca="1" si="25"/>
        <v>0</v>
      </c>
      <c r="AQ28" s="35">
        <f ca="1">IF(ISBLANK($Z28), 0, IF(ISNUMBER(VLOOKUP($Z28, INDIRECT($Y28), MATCH("D"&amp;AQ$26, StatHeader, 0), 0)), IF(Setup!$G$35=1, VLOOKUP($Z28, INDIRECT($Y28), MATCH("D"&amp;AQ$26, StatHeader, 0), 0), 0), VLOOKUP($Z28, INDIRECT($Y28), MATCH(AQ$26, StatHeader, 0), 0)))</f>
        <v>0</v>
      </c>
      <c r="AR28" s="35"/>
      <c r="AS28" s="35"/>
      <c r="AT28">
        <f t="shared" ca="1" si="25"/>
        <v>0</v>
      </c>
      <c r="AU28" s="200">
        <f t="shared" ca="1" si="26"/>
        <v>0</v>
      </c>
    </row>
    <row r="29" spans="1:47">
      <c r="A29" t="s">
        <v>128</v>
      </c>
      <c r="B29" s="42"/>
      <c r="C29">
        <f t="shared" ca="1" si="23"/>
        <v>0</v>
      </c>
      <c r="D29">
        <f t="shared" ca="1" si="23"/>
        <v>0</v>
      </c>
      <c r="E29">
        <f t="shared" ca="1" si="23"/>
        <v>0</v>
      </c>
      <c r="F29">
        <f t="shared" ca="1" si="23"/>
        <v>0</v>
      </c>
      <c r="G29">
        <f t="shared" ca="1" si="23"/>
        <v>0</v>
      </c>
      <c r="H29">
        <f t="shared" ca="1" si="23"/>
        <v>0</v>
      </c>
      <c r="I29">
        <f t="shared" ca="1" si="23"/>
        <v>0</v>
      </c>
      <c r="J29" s="2">
        <f t="shared" ca="1" si="23"/>
        <v>0</v>
      </c>
      <c r="K29" s="2">
        <f t="shared" ca="1" si="23"/>
        <v>0</v>
      </c>
      <c r="L29" s="2">
        <f t="shared" ca="1" si="23"/>
        <v>0</v>
      </c>
      <c r="M29" s="2">
        <f t="shared" ca="1" si="23"/>
        <v>0</v>
      </c>
      <c r="N29" s="2">
        <f t="shared" ca="1" si="23"/>
        <v>0</v>
      </c>
      <c r="O29" s="2">
        <f t="shared" ca="1" si="23"/>
        <v>0</v>
      </c>
      <c r="P29" s="2">
        <f t="shared" ca="1" si="23"/>
        <v>0</v>
      </c>
      <c r="Q29" s="2">
        <f t="shared" ca="1" si="23"/>
        <v>0</v>
      </c>
      <c r="R29" s="35">
        <f t="shared" ca="1" si="23"/>
        <v>0</v>
      </c>
      <c r="S29" s="35">
        <f ca="1">IF(ISBLANK($B29), 0, IF(ISNUMBER(VLOOKUP($B29, INDIRECT($A29), MATCH("D"&amp;S$26, StatHeader, 0), 0)), IF(Setup!$F$35=1, VLOOKUP($B29, INDIRECT($A29), MATCH("D"&amp;S$26, StatHeader, 0), 0), 0), VLOOKUP($B29, INDIRECT($A29), MATCH(S$26, StatHeader, 0), 0)))</f>
        <v>0</v>
      </c>
      <c r="T29" s="35"/>
      <c r="U29" s="35"/>
      <c r="V29">
        <f t="shared" ca="1" si="23"/>
        <v>0</v>
      </c>
      <c r="W29" s="200">
        <f t="shared" ca="1" si="24"/>
        <v>0</v>
      </c>
      <c r="X29" t="str">
        <f t="shared" ref="X29:X41" si="27">IF(Z29=B29, "=", "-")</f>
        <v>=</v>
      </c>
      <c r="Y29" t="s">
        <v>128</v>
      </c>
      <c r="Z29" s="42"/>
      <c r="AA29">
        <f t="shared" ca="1" si="25"/>
        <v>0</v>
      </c>
      <c r="AB29">
        <f t="shared" ca="1" si="25"/>
        <v>0</v>
      </c>
      <c r="AC29">
        <f t="shared" ca="1" si="25"/>
        <v>0</v>
      </c>
      <c r="AD29">
        <f t="shared" ca="1" si="25"/>
        <v>0</v>
      </c>
      <c r="AE29">
        <f t="shared" ca="1" si="25"/>
        <v>0</v>
      </c>
      <c r="AF29">
        <f t="shared" ca="1" si="25"/>
        <v>0</v>
      </c>
      <c r="AG29">
        <f t="shared" ca="1" si="25"/>
        <v>0</v>
      </c>
      <c r="AH29" s="2">
        <f t="shared" ca="1" si="25"/>
        <v>0</v>
      </c>
      <c r="AI29" s="2">
        <f t="shared" ca="1" si="25"/>
        <v>0</v>
      </c>
      <c r="AJ29" s="2">
        <f t="shared" ca="1" si="25"/>
        <v>0</v>
      </c>
      <c r="AK29" s="2">
        <f t="shared" ca="1" si="25"/>
        <v>0</v>
      </c>
      <c r="AL29" s="2">
        <f t="shared" ca="1" si="25"/>
        <v>0</v>
      </c>
      <c r="AM29" s="2">
        <f t="shared" ca="1" si="25"/>
        <v>0</v>
      </c>
      <c r="AN29" s="2">
        <f t="shared" ca="1" si="25"/>
        <v>0</v>
      </c>
      <c r="AO29" s="2">
        <f t="shared" ca="1" si="25"/>
        <v>0</v>
      </c>
      <c r="AP29" s="35">
        <f t="shared" ca="1" si="25"/>
        <v>0</v>
      </c>
      <c r="AQ29" s="35">
        <f ca="1">IF(ISBLANK($Z29), 0, IF(ISNUMBER(VLOOKUP($Z29, INDIRECT($Y29), MATCH("D"&amp;AQ$26, StatHeader, 0), 0)), IF(Setup!$G$35=1, VLOOKUP($Z29, INDIRECT($Y29), MATCH("D"&amp;AQ$26, StatHeader, 0), 0), 0), VLOOKUP($Z29, INDIRECT($Y29), MATCH(AQ$26, StatHeader, 0), 0)))</f>
        <v>0</v>
      </c>
      <c r="AR29" s="35"/>
      <c r="AS29" s="35"/>
      <c r="AT29">
        <f t="shared" ca="1" si="25"/>
        <v>0</v>
      </c>
      <c r="AU29" s="200">
        <f t="shared" ca="1" si="26"/>
        <v>0</v>
      </c>
    </row>
    <row r="30" spans="1:47">
      <c r="A30" s="210" t="s">
        <v>15</v>
      </c>
      <c r="B30" s="32" t="s">
        <v>886</v>
      </c>
      <c r="C30">
        <f t="shared" ca="1" si="23"/>
        <v>0</v>
      </c>
      <c r="D30">
        <f t="shared" ca="1" si="23"/>
        <v>7</v>
      </c>
      <c r="E30">
        <f t="shared" ca="1" si="23"/>
        <v>7</v>
      </c>
      <c r="F30">
        <f t="shared" ca="1" si="23"/>
        <v>0</v>
      </c>
      <c r="G30">
        <f t="shared" ca="1" si="23"/>
        <v>0</v>
      </c>
      <c r="H30">
        <f t="shared" ca="1" si="23"/>
        <v>10</v>
      </c>
      <c r="I30">
        <f t="shared" ca="1" si="23"/>
        <v>0</v>
      </c>
      <c r="J30" s="2">
        <f t="shared" ca="1" si="23"/>
        <v>0</v>
      </c>
      <c r="K30" s="2">
        <f t="shared" ca="1" si="23"/>
        <v>0</v>
      </c>
      <c r="L30" s="2">
        <f t="shared" ca="1" si="23"/>
        <v>0</v>
      </c>
      <c r="M30" s="2">
        <f t="shared" ca="1" si="23"/>
        <v>0</v>
      </c>
      <c r="N30" s="2">
        <f t="shared" ca="1" si="23"/>
        <v>0</v>
      </c>
      <c r="O30" s="2">
        <f t="shared" ca="1" si="23"/>
        <v>0</v>
      </c>
      <c r="P30" s="2">
        <f t="shared" ca="1" si="23"/>
        <v>0</v>
      </c>
      <c r="Q30" s="2">
        <f t="shared" ca="1" si="23"/>
        <v>0</v>
      </c>
      <c r="R30" s="35">
        <f t="shared" ca="1" si="23"/>
        <v>0</v>
      </c>
      <c r="S30" s="35">
        <f ca="1">IF(ISBLANK($B30), 0, IF(ISNUMBER(VLOOKUP($B30, INDIRECT($A30), MATCH("D"&amp;S$26, StatHeader, 0), 0)), IF(Setup!$F$35=1, VLOOKUP($B30, INDIRECT($A30), MATCH("D"&amp;S$26, StatHeader, 0), 0), 0), VLOOKUP($B30, INDIRECT($A30), MATCH(S$26, StatHeader, 0), 0)))</f>
        <v>0</v>
      </c>
      <c r="T30" s="35"/>
      <c r="U30" s="35"/>
      <c r="V30">
        <f t="shared" ca="1" si="23"/>
        <v>5</v>
      </c>
      <c r="W30" s="200">
        <f t="shared" ca="1" si="24"/>
        <v>0</v>
      </c>
      <c r="X30" t="str">
        <f t="shared" si="27"/>
        <v>-</v>
      </c>
      <c r="Y30" s="210" t="s">
        <v>15</v>
      </c>
      <c r="Z30" s="32" t="s">
        <v>908</v>
      </c>
      <c r="AA30">
        <f t="shared" ca="1" si="25"/>
        <v>0</v>
      </c>
      <c r="AB30">
        <f t="shared" ca="1" si="25"/>
        <v>15</v>
      </c>
      <c r="AC30">
        <f t="shared" ca="1" si="25"/>
        <v>0</v>
      </c>
      <c r="AD30">
        <f t="shared" ca="1" si="25"/>
        <v>0</v>
      </c>
      <c r="AE30">
        <f t="shared" ca="1" si="25"/>
        <v>0</v>
      </c>
      <c r="AF30">
        <f t="shared" ca="1" si="25"/>
        <v>13</v>
      </c>
      <c r="AG30">
        <f t="shared" ca="1" si="25"/>
        <v>13</v>
      </c>
      <c r="AH30" s="2">
        <f t="shared" ca="1" si="25"/>
        <v>0</v>
      </c>
      <c r="AI30" s="2">
        <f t="shared" ca="1" si="25"/>
        <v>0</v>
      </c>
      <c r="AJ30" s="2">
        <f t="shared" ca="1" si="25"/>
        <v>0</v>
      </c>
      <c r="AK30" s="2">
        <f t="shared" ca="1" si="25"/>
        <v>0</v>
      </c>
      <c r="AL30" s="2">
        <f t="shared" ca="1" si="25"/>
        <v>0</v>
      </c>
      <c r="AM30" s="2">
        <f t="shared" ca="1" si="25"/>
        <v>0</v>
      </c>
      <c r="AN30" s="2">
        <f t="shared" ca="1" si="25"/>
        <v>0</v>
      </c>
      <c r="AO30" s="2">
        <f t="shared" ca="1" si="25"/>
        <v>0</v>
      </c>
      <c r="AP30" s="35">
        <f t="shared" ca="1" si="25"/>
        <v>0</v>
      </c>
      <c r="AQ30" s="35">
        <f ca="1">IF(ISBLANK($Z30), 0, IF(ISNUMBER(VLOOKUP($Z30, INDIRECT($Y30), MATCH("D"&amp;AQ$26, StatHeader, 0), 0)), IF(Setup!$G$35=1, VLOOKUP($Z30, INDIRECT($Y30), MATCH("D"&amp;AQ$26, StatHeader, 0), 0), 0), VLOOKUP($Z30, INDIRECT($Y30), MATCH(AQ$26, StatHeader, 0), 0)))</f>
        <v>0</v>
      </c>
      <c r="AR30" s="35"/>
      <c r="AS30" s="35"/>
      <c r="AT30">
        <f t="shared" ca="1" si="25"/>
        <v>0</v>
      </c>
      <c r="AU30" s="200">
        <f t="shared" ca="1" si="26"/>
        <v>0</v>
      </c>
    </row>
    <row r="31" spans="1:47">
      <c r="A31" t="s">
        <v>16</v>
      </c>
      <c r="B31" s="32" t="s">
        <v>790</v>
      </c>
      <c r="C31">
        <f t="shared" ca="1" si="23"/>
        <v>0</v>
      </c>
      <c r="D31">
        <f t="shared" ca="1" si="23"/>
        <v>33</v>
      </c>
      <c r="E31">
        <f t="shared" ca="1" si="23"/>
        <v>33</v>
      </c>
      <c r="F31">
        <f t="shared" ca="1" si="23"/>
        <v>32</v>
      </c>
      <c r="G31">
        <f t="shared" ca="1" si="23"/>
        <v>31</v>
      </c>
      <c r="H31">
        <f t="shared" ca="1" si="23"/>
        <v>0</v>
      </c>
      <c r="I31">
        <f t="shared" ca="1" si="23"/>
        <v>0</v>
      </c>
      <c r="J31" s="2">
        <f t="shared" ca="1" si="23"/>
        <v>0</v>
      </c>
      <c r="K31" s="2">
        <f t="shared" ca="1" si="23"/>
        <v>0</v>
      </c>
      <c r="L31" s="2">
        <f t="shared" ca="1" si="23"/>
        <v>0</v>
      </c>
      <c r="M31" s="2">
        <f t="shared" ca="1" si="23"/>
        <v>0</v>
      </c>
      <c r="N31" s="2">
        <f t="shared" ca="1" si="23"/>
        <v>0</v>
      </c>
      <c r="O31" s="2">
        <f t="shared" ca="1" si="23"/>
        <v>0</v>
      </c>
      <c r="P31" s="2">
        <f t="shared" ca="1" si="23"/>
        <v>0.1</v>
      </c>
      <c r="Q31" s="2">
        <f t="shared" ca="1" si="23"/>
        <v>0</v>
      </c>
      <c r="R31" s="35">
        <f t="shared" ca="1" si="23"/>
        <v>0</v>
      </c>
      <c r="S31" s="35">
        <f ca="1">IF(ISBLANK($B31), 0, IF(ISNUMBER(VLOOKUP($B31, INDIRECT($A31), MATCH("D"&amp;S$26, StatHeader, 0), 0)), IF(Setup!$F$35=1, VLOOKUP($B31, INDIRECT($A31), MATCH("D"&amp;S$26, StatHeader, 0), 0), 0), VLOOKUP($B31, INDIRECT($A31), MATCH(S$26, StatHeader, 0), 0)))</f>
        <v>0</v>
      </c>
      <c r="T31" s="35"/>
      <c r="U31" s="35"/>
      <c r="V31">
        <f t="shared" ca="1" si="23"/>
        <v>0</v>
      </c>
      <c r="W31" s="200">
        <f t="shared" ca="1" si="24"/>
        <v>0</v>
      </c>
      <c r="X31" t="str">
        <f t="shared" si="27"/>
        <v>=</v>
      </c>
      <c r="Y31" t="s">
        <v>16</v>
      </c>
      <c r="Z31" s="32" t="s">
        <v>790</v>
      </c>
      <c r="AA31">
        <f t="shared" ca="1" si="25"/>
        <v>0</v>
      </c>
      <c r="AB31">
        <f t="shared" ca="1" si="25"/>
        <v>33</v>
      </c>
      <c r="AC31">
        <f t="shared" ca="1" si="25"/>
        <v>33</v>
      </c>
      <c r="AD31">
        <f t="shared" ca="1" si="25"/>
        <v>32</v>
      </c>
      <c r="AE31">
        <f t="shared" ca="1" si="25"/>
        <v>31</v>
      </c>
      <c r="AF31">
        <f t="shared" ca="1" si="25"/>
        <v>0</v>
      </c>
      <c r="AG31">
        <f t="shared" ca="1" si="25"/>
        <v>0</v>
      </c>
      <c r="AH31" s="2">
        <f t="shared" ca="1" si="25"/>
        <v>0</v>
      </c>
      <c r="AI31" s="2">
        <f t="shared" ca="1" si="25"/>
        <v>0</v>
      </c>
      <c r="AJ31" s="2">
        <f t="shared" ca="1" si="25"/>
        <v>0</v>
      </c>
      <c r="AK31" s="2">
        <f t="shared" ca="1" si="25"/>
        <v>0</v>
      </c>
      <c r="AL31" s="2">
        <f t="shared" ca="1" si="25"/>
        <v>0</v>
      </c>
      <c r="AM31" s="2">
        <f t="shared" ca="1" si="25"/>
        <v>0</v>
      </c>
      <c r="AN31" s="2">
        <f t="shared" ca="1" si="25"/>
        <v>0.1</v>
      </c>
      <c r="AO31" s="2">
        <f t="shared" ca="1" si="25"/>
        <v>0</v>
      </c>
      <c r="AP31" s="35">
        <f t="shared" ca="1" si="25"/>
        <v>0</v>
      </c>
      <c r="AQ31" s="35">
        <f ca="1">IF(ISBLANK($Z31), 0, IF(ISNUMBER(VLOOKUP($Z31, INDIRECT($Y31), MATCH("D"&amp;AQ$26, StatHeader, 0), 0)), IF(Setup!$G$35=1, VLOOKUP($Z31, INDIRECT($Y31), MATCH("D"&amp;AQ$26, StatHeader, 0), 0), 0), VLOOKUP($Z31, INDIRECT($Y31), MATCH(AQ$26, StatHeader, 0), 0)))</f>
        <v>0</v>
      </c>
      <c r="AR31" s="35"/>
      <c r="AS31" s="35"/>
      <c r="AT31">
        <f t="shared" ca="1" si="25"/>
        <v>0</v>
      </c>
      <c r="AU31" s="200">
        <f t="shared" ca="1" si="26"/>
        <v>0</v>
      </c>
    </row>
    <row r="32" spans="1:47">
      <c r="A32" t="s">
        <v>17</v>
      </c>
      <c r="B32" s="32" t="s">
        <v>850</v>
      </c>
      <c r="C32">
        <f t="shared" ca="1" si="23"/>
        <v>0</v>
      </c>
      <c r="D32">
        <f t="shared" ca="1" si="23"/>
        <v>0</v>
      </c>
      <c r="E32">
        <f t="shared" ca="1" si="23"/>
        <v>15</v>
      </c>
      <c r="F32">
        <f t="shared" ca="1" si="23"/>
        <v>15</v>
      </c>
      <c r="G32">
        <f t="shared" ca="1" si="23"/>
        <v>0</v>
      </c>
      <c r="H32">
        <f t="shared" ca="1" si="23"/>
        <v>0</v>
      </c>
      <c r="I32">
        <f t="shared" ca="1" si="23"/>
        <v>25</v>
      </c>
      <c r="J32" s="2">
        <f t="shared" ca="1" si="23"/>
        <v>0</v>
      </c>
      <c r="K32" s="2">
        <f t="shared" ca="1" si="23"/>
        <v>0</v>
      </c>
      <c r="L32" s="2">
        <f t="shared" ca="1" si="23"/>
        <v>0</v>
      </c>
      <c r="M32" s="2">
        <f t="shared" ca="1" si="23"/>
        <v>0</v>
      </c>
      <c r="N32" s="2">
        <f t="shared" ca="1" si="23"/>
        <v>0</v>
      </c>
      <c r="O32" s="2">
        <f t="shared" ca="1" si="23"/>
        <v>0</v>
      </c>
      <c r="P32" s="2">
        <f t="shared" ca="1" si="23"/>
        <v>0</v>
      </c>
      <c r="Q32" s="2">
        <f t="shared" ca="1" si="23"/>
        <v>0</v>
      </c>
      <c r="R32" s="35">
        <f t="shared" ca="1" si="23"/>
        <v>0</v>
      </c>
      <c r="S32" s="35">
        <f ca="1">IF(ISBLANK($B32), 0, IF(ISNUMBER(VLOOKUP($B32, INDIRECT($A32), MATCH("D"&amp;S$26, StatHeader, 0), 0)), IF(Setup!$F$35=1, VLOOKUP($B32, INDIRECT($A32), MATCH("D"&amp;S$26, StatHeader, 0), 0), 0), VLOOKUP($B32, INDIRECT($A32), MATCH(S$26, StatHeader, 0), 0)))</f>
        <v>0</v>
      </c>
      <c r="T32" s="35"/>
      <c r="U32" s="35"/>
      <c r="V32">
        <f t="shared" ca="1" si="23"/>
        <v>7</v>
      </c>
      <c r="W32" s="200">
        <f t="shared" ca="1" si="24"/>
        <v>0.1</v>
      </c>
      <c r="X32" t="str">
        <f t="shared" si="27"/>
        <v>=</v>
      </c>
      <c r="Y32" t="s">
        <v>17</v>
      </c>
      <c r="Z32" s="32" t="s">
        <v>850</v>
      </c>
      <c r="AA32">
        <f t="shared" ca="1" si="25"/>
        <v>0</v>
      </c>
      <c r="AB32">
        <f t="shared" ca="1" si="25"/>
        <v>0</v>
      </c>
      <c r="AC32">
        <f t="shared" ca="1" si="25"/>
        <v>15</v>
      </c>
      <c r="AD32">
        <f t="shared" ca="1" si="25"/>
        <v>15</v>
      </c>
      <c r="AE32">
        <f t="shared" ca="1" si="25"/>
        <v>0</v>
      </c>
      <c r="AF32">
        <f t="shared" ca="1" si="25"/>
        <v>0</v>
      </c>
      <c r="AG32">
        <f t="shared" ca="1" si="25"/>
        <v>25</v>
      </c>
      <c r="AH32" s="2">
        <f t="shared" ca="1" si="25"/>
        <v>0</v>
      </c>
      <c r="AI32" s="2">
        <f t="shared" ca="1" si="25"/>
        <v>0</v>
      </c>
      <c r="AJ32" s="2">
        <f t="shared" ca="1" si="25"/>
        <v>0</v>
      </c>
      <c r="AK32" s="2">
        <f t="shared" ca="1" si="25"/>
        <v>0</v>
      </c>
      <c r="AL32" s="2">
        <f t="shared" ca="1" si="25"/>
        <v>0</v>
      </c>
      <c r="AM32" s="2">
        <f t="shared" ca="1" si="25"/>
        <v>0</v>
      </c>
      <c r="AN32" s="2">
        <f t="shared" ca="1" si="25"/>
        <v>0</v>
      </c>
      <c r="AO32" s="2">
        <f t="shared" ca="1" si="25"/>
        <v>0</v>
      </c>
      <c r="AP32" s="35">
        <f t="shared" ca="1" si="25"/>
        <v>0</v>
      </c>
      <c r="AQ32" s="35">
        <f ca="1">IF(ISBLANK($Z32), 0, IF(ISNUMBER(VLOOKUP($Z32, INDIRECT($Y32), MATCH("D"&amp;AQ$26, StatHeader, 0), 0)), IF(Setup!$G$35=1, VLOOKUP($Z32, INDIRECT($Y32), MATCH("D"&amp;AQ$26, StatHeader, 0), 0), 0), VLOOKUP($Z32, INDIRECT($Y32), MATCH(AQ$26, StatHeader, 0), 0)))</f>
        <v>0</v>
      </c>
      <c r="AR32" s="35"/>
      <c r="AS32" s="35"/>
      <c r="AT32">
        <f t="shared" ca="1" si="25"/>
        <v>7</v>
      </c>
      <c r="AU32" s="200">
        <f t="shared" ca="1" si="26"/>
        <v>0.1</v>
      </c>
    </row>
    <row r="33" spans="1:47">
      <c r="A33" t="s">
        <v>70</v>
      </c>
      <c r="B33" s="32" t="s">
        <v>885</v>
      </c>
      <c r="C33">
        <f t="shared" ca="1" si="23"/>
        <v>0</v>
      </c>
      <c r="D33">
        <f t="shared" ca="1" si="23"/>
        <v>0</v>
      </c>
      <c r="E33">
        <f t="shared" ca="1" si="23"/>
        <v>10</v>
      </c>
      <c r="F33">
        <f t="shared" ca="1" si="23"/>
        <v>0</v>
      </c>
      <c r="G33">
        <f t="shared" ca="1" si="23"/>
        <v>0</v>
      </c>
      <c r="H33">
        <f t="shared" ca="1" si="23"/>
        <v>0</v>
      </c>
      <c r="I33">
        <f t="shared" ca="1" si="23"/>
        <v>10</v>
      </c>
      <c r="J33" s="2">
        <f t="shared" ca="1" si="23"/>
        <v>0</v>
      </c>
      <c r="K33" s="2">
        <f t="shared" ca="1" si="23"/>
        <v>0</v>
      </c>
      <c r="L33" s="2">
        <f t="shared" ca="1" si="23"/>
        <v>0</v>
      </c>
      <c r="M33" s="2">
        <f t="shared" ca="1" si="23"/>
        <v>0</v>
      </c>
      <c r="N33" s="2">
        <f t="shared" ca="1" si="23"/>
        <v>0.05</v>
      </c>
      <c r="O33" s="2">
        <f t="shared" ca="1" si="23"/>
        <v>0</v>
      </c>
      <c r="P33" s="2">
        <f t="shared" ca="1" si="23"/>
        <v>0</v>
      </c>
      <c r="Q33" s="2">
        <f t="shared" ca="1" si="23"/>
        <v>0</v>
      </c>
      <c r="R33" s="35">
        <f t="shared" ca="1" si="23"/>
        <v>0</v>
      </c>
      <c r="S33" s="35">
        <f ca="1">IF(ISBLANK($B33), 0, IF(ISNUMBER(VLOOKUP($B33, INDIRECT($A33), MATCH("D"&amp;S$26, StatHeader, 0), 0)), IF(Setup!$F$35=1, VLOOKUP($B33, INDIRECT($A33), MATCH("D"&amp;S$26, StatHeader, 0), 0), 0), VLOOKUP($B33, INDIRECT($A33), MATCH(S$26, StatHeader, 0), 0)))</f>
        <v>0</v>
      </c>
      <c r="T33" s="35"/>
      <c r="U33" s="35"/>
      <c r="V33">
        <f t="shared" ca="1" si="23"/>
        <v>0</v>
      </c>
      <c r="W33" s="200">
        <f t="shared" ca="1" si="24"/>
        <v>0</v>
      </c>
      <c r="X33" t="str">
        <f t="shared" si="27"/>
        <v>-</v>
      </c>
      <c r="Y33" t="s">
        <v>70</v>
      </c>
      <c r="Z33" s="32" t="s">
        <v>496</v>
      </c>
      <c r="AA33">
        <f t="shared" ca="1" si="25"/>
        <v>0</v>
      </c>
      <c r="AB33">
        <f t="shared" ca="1" si="25"/>
        <v>0</v>
      </c>
      <c r="AC33">
        <f t="shared" ca="1" si="25"/>
        <v>0</v>
      </c>
      <c r="AD33">
        <f t="shared" ca="1" si="25"/>
        <v>0</v>
      </c>
      <c r="AE33">
        <f t="shared" ca="1" si="25"/>
        <v>0</v>
      </c>
      <c r="AF33">
        <f t="shared" ca="1" si="25"/>
        <v>4</v>
      </c>
      <c r="AG33">
        <f t="shared" ca="1" si="25"/>
        <v>0</v>
      </c>
      <c r="AH33" s="2">
        <f t="shared" ca="1" si="25"/>
        <v>0</v>
      </c>
      <c r="AI33" s="2">
        <f t="shared" ca="1" si="25"/>
        <v>0</v>
      </c>
      <c r="AJ33" s="2">
        <f t="shared" ca="1" si="25"/>
        <v>0</v>
      </c>
      <c r="AK33" s="2">
        <f t="shared" ca="1" si="25"/>
        <v>0</v>
      </c>
      <c r="AL33" s="2">
        <f t="shared" ca="1" si="25"/>
        <v>0</v>
      </c>
      <c r="AM33" s="2">
        <f t="shared" ca="1" si="25"/>
        <v>0</v>
      </c>
      <c r="AN33" s="2">
        <f t="shared" ca="1" si="25"/>
        <v>0</v>
      </c>
      <c r="AO33" s="2">
        <f t="shared" ca="1" si="25"/>
        <v>0</v>
      </c>
      <c r="AP33" s="35">
        <f t="shared" ca="1" si="25"/>
        <v>250</v>
      </c>
      <c r="AQ33" s="35">
        <f ca="1">IF(ISBLANK($Z33), 0, IF(ISNUMBER(VLOOKUP($Z33, INDIRECT($Y33), MATCH("D"&amp;AQ$26, StatHeader, 0), 0)), IF(Setup!$G$35=1, VLOOKUP($Z33, INDIRECT($Y33), MATCH("D"&amp;AQ$26, StatHeader, 0), 0), 0), VLOOKUP($Z33, INDIRECT($Y33), MATCH(AQ$26, StatHeader, 0), 0)))</f>
        <v>0</v>
      </c>
      <c r="AR33" s="35"/>
      <c r="AS33" s="35"/>
      <c r="AT33">
        <f t="shared" ca="1" si="25"/>
        <v>0</v>
      </c>
      <c r="AU33" s="200">
        <f t="shared" ca="1" si="26"/>
        <v>0</v>
      </c>
    </row>
    <row r="34" spans="1:47">
      <c r="A34" t="s">
        <v>70</v>
      </c>
      <c r="B34" s="32" t="s">
        <v>878</v>
      </c>
      <c r="C34">
        <f t="shared" ca="1" si="23"/>
        <v>0</v>
      </c>
      <c r="D34">
        <f t="shared" ca="1" si="23"/>
        <v>16</v>
      </c>
      <c r="E34">
        <f t="shared" ca="1" si="23"/>
        <v>16</v>
      </c>
      <c r="F34">
        <f t="shared" ca="1" si="23"/>
        <v>0</v>
      </c>
      <c r="G34">
        <f t="shared" ca="1" si="23"/>
        <v>8</v>
      </c>
      <c r="H34">
        <f t="shared" ca="1" si="23"/>
        <v>0</v>
      </c>
      <c r="I34">
        <f t="shared" ca="1" si="23"/>
        <v>0</v>
      </c>
      <c r="J34" s="2">
        <f t="shared" ca="1" si="23"/>
        <v>0.03</v>
      </c>
      <c r="K34" s="2">
        <f t="shared" ca="1" si="23"/>
        <v>0</v>
      </c>
      <c r="L34" s="2">
        <f t="shared" ca="1" si="23"/>
        <v>0</v>
      </c>
      <c r="M34" s="2">
        <f t="shared" ca="1" si="23"/>
        <v>0</v>
      </c>
      <c r="N34" s="2">
        <f t="shared" ca="1" si="23"/>
        <v>0</v>
      </c>
      <c r="O34" s="2">
        <f t="shared" ca="1" si="23"/>
        <v>0</v>
      </c>
      <c r="P34" s="2">
        <f t="shared" ca="1" si="23"/>
        <v>0</v>
      </c>
      <c r="Q34" s="2">
        <f t="shared" ca="1" si="23"/>
        <v>0</v>
      </c>
      <c r="R34" s="35">
        <f t="shared" ca="1" si="23"/>
        <v>0</v>
      </c>
      <c r="S34" s="35">
        <f ca="1">IF(ISBLANK($B34), 0, IF(ISNUMBER(VLOOKUP($B34, INDIRECT($A34), MATCH("D"&amp;S$26, StatHeader, 0), 0)), IF(Setup!$F$35=1, VLOOKUP($B34, INDIRECT($A34), MATCH("D"&amp;S$26, StatHeader, 0), 0), 0), VLOOKUP($B34, INDIRECT($A34), MATCH(S$26, StatHeader, 0), 0)))</f>
        <v>0</v>
      </c>
      <c r="T34" s="35"/>
      <c r="U34" s="35"/>
      <c r="V34">
        <f t="shared" ca="1" si="23"/>
        <v>0</v>
      </c>
      <c r="W34" s="200">
        <f t="shared" ca="1" si="24"/>
        <v>0</v>
      </c>
      <c r="X34" t="str">
        <f t="shared" si="27"/>
        <v>=</v>
      </c>
      <c r="Y34" t="s">
        <v>70</v>
      </c>
      <c r="Z34" s="32" t="s">
        <v>878</v>
      </c>
      <c r="AA34">
        <f t="shared" ca="1" si="25"/>
        <v>0</v>
      </c>
      <c r="AB34">
        <f t="shared" ca="1" si="25"/>
        <v>16</v>
      </c>
      <c r="AC34">
        <f t="shared" ca="1" si="25"/>
        <v>16</v>
      </c>
      <c r="AD34">
        <f t="shared" ca="1" si="25"/>
        <v>0</v>
      </c>
      <c r="AE34">
        <f t="shared" ca="1" si="25"/>
        <v>8</v>
      </c>
      <c r="AF34">
        <f t="shared" ca="1" si="25"/>
        <v>0</v>
      </c>
      <c r="AG34">
        <f t="shared" ca="1" si="25"/>
        <v>0</v>
      </c>
      <c r="AH34" s="2">
        <f t="shared" ca="1" si="25"/>
        <v>0.03</v>
      </c>
      <c r="AI34" s="2">
        <f t="shared" ca="1" si="25"/>
        <v>0</v>
      </c>
      <c r="AJ34" s="2">
        <f t="shared" ca="1" si="25"/>
        <v>0</v>
      </c>
      <c r="AK34" s="2">
        <f t="shared" ca="1" si="25"/>
        <v>0</v>
      </c>
      <c r="AL34" s="2">
        <f t="shared" ca="1" si="25"/>
        <v>0</v>
      </c>
      <c r="AM34" s="2">
        <f t="shared" ca="1" si="25"/>
        <v>0</v>
      </c>
      <c r="AN34" s="2">
        <f t="shared" ca="1" si="25"/>
        <v>0</v>
      </c>
      <c r="AO34" s="2">
        <f t="shared" ca="1" si="25"/>
        <v>0</v>
      </c>
      <c r="AP34" s="35">
        <f t="shared" ca="1" si="25"/>
        <v>0</v>
      </c>
      <c r="AQ34" s="35">
        <f ca="1">IF(ISBLANK($Z34), 0, IF(ISNUMBER(VLOOKUP($Z34, INDIRECT($Y34), MATCH("D"&amp;AQ$26, StatHeader, 0), 0)), IF(Setup!$G$35=1, VLOOKUP($Z34, INDIRECT($Y34), MATCH("D"&amp;AQ$26, StatHeader, 0), 0), 0), VLOOKUP($Z34, INDIRECT($Y34), MATCH(AQ$26, StatHeader, 0), 0)))</f>
        <v>0</v>
      </c>
      <c r="AR34" s="35"/>
      <c r="AS34" s="35"/>
      <c r="AT34">
        <f t="shared" ca="1" si="25"/>
        <v>0</v>
      </c>
      <c r="AU34" s="200">
        <f t="shared" ca="1" si="26"/>
        <v>0</v>
      </c>
    </row>
    <row r="35" spans="1:47">
      <c r="A35" t="s">
        <v>18</v>
      </c>
      <c r="B35" s="32" t="s">
        <v>903</v>
      </c>
      <c r="C35">
        <f t="shared" ca="1" si="23"/>
        <v>0</v>
      </c>
      <c r="D35">
        <f t="shared" ca="1" si="23"/>
        <v>34</v>
      </c>
      <c r="E35">
        <f t="shared" ca="1" si="23"/>
        <v>45</v>
      </c>
      <c r="F35">
        <f t="shared" ca="1" si="23"/>
        <v>38</v>
      </c>
      <c r="G35">
        <f t="shared" ca="1" si="23"/>
        <v>33</v>
      </c>
      <c r="H35">
        <f t="shared" ca="1" si="23"/>
        <v>84</v>
      </c>
      <c r="I35">
        <f t="shared" ca="1" si="23"/>
        <v>15</v>
      </c>
      <c r="J35" s="2">
        <f t="shared" ca="1" si="23"/>
        <v>0</v>
      </c>
      <c r="K35" s="2">
        <f t="shared" ca="1" si="23"/>
        <v>0</v>
      </c>
      <c r="L35" s="2">
        <f t="shared" ca="1" si="23"/>
        <v>0</v>
      </c>
      <c r="M35" s="2">
        <f t="shared" ca="1" si="23"/>
        <v>0</v>
      </c>
      <c r="N35" s="2">
        <f t="shared" ca="1" si="23"/>
        <v>0</v>
      </c>
      <c r="O35" s="2">
        <f t="shared" ca="1" si="23"/>
        <v>0</v>
      </c>
      <c r="P35" s="2">
        <f t="shared" ca="1" si="23"/>
        <v>0</v>
      </c>
      <c r="Q35" s="2">
        <f t="shared" ca="1" si="23"/>
        <v>0</v>
      </c>
      <c r="R35" s="35">
        <f t="shared" ca="1" si="23"/>
        <v>0</v>
      </c>
      <c r="S35" s="35">
        <f ca="1">IF(ISBLANK($B35), 0, IF(ISNUMBER(VLOOKUP($B35, INDIRECT($A35), MATCH("D"&amp;S$26, StatHeader, 0), 0)), IF(Setup!$F$35=1, VLOOKUP($B35, INDIRECT($A35), MATCH("D"&amp;S$26, StatHeader, 0), 0), 0), VLOOKUP($B35, INDIRECT($A35), MATCH(S$26, StatHeader, 0), 0)))</f>
        <v>0</v>
      </c>
      <c r="T35" s="35"/>
      <c r="U35" s="35"/>
      <c r="V35">
        <f t="shared" ca="1" si="23"/>
        <v>10</v>
      </c>
      <c r="W35" s="200">
        <f t="shared" ca="1" si="24"/>
        <v>0</v>
      </c>
      <c r="X35" t="str">
        <f t="shared" si="27"/>
        <v>=</v>
      </c>
      <c r="Y35" t="s">
        <v>18</v>
      </c>
      <c r="Z35" s="32" t="s">
        <v>903</v>
      </c>
      <c r="AA35">
        <f t="shared" ca="1" si="25"/>
        <v>0</v>
      </c>
      <c r="AB35">
        <f t="shared" ca="1" si="25"/>
        <v>34</v>
      </c>
      <c r="AC35">
        <f t="shared" ca="1" si="25"/>
        <v>45</v>
      </c>
      <c r="AD35">
        <f t="shared" ca="1" si="25"/>
        <v>38</v>
      </c>
      <c r="AE35">
        <f t="shared" ca="1" si="25"/>
        <v>33</v>
      </c>
      <c r="AF35">
        <f t="shared" ca="1" si="25"/>
        <v>84</v>
      </c>
      <c r="AG35">
        <f t="shared" ca="1" si="25"/>
        <v>15</v>
      </c>
      <c r="AH35" s="2">
        <f t="shared" ca="1" si="25"/>
        <v>0</v>
      </c>
      <c r="AI35" s="2">
        <f t="shared" ca="1" si="25"/>
        <v>0</v>
      </c>
      <c r="AJ35" s="2">
        <f t="shared" ca="1" si="25"/>
        <v>0</v>
      </c>
      <c r="AK35" s="2">
        <f t="shared" ca="1" si="25"/>
        <v>0</v>
      </c>
      <c r="AL35" s="2">
        <f t="shared" ca="1" si="25"/>
        <v>0</v>
      </c>
      <c r="AM35" s="2">
        <f t="shared" ca="1" si="25"/>
        <v>0</v>
      </c>
      <c r="AN35" s="2">
        <f t="shared" ca="1" si="25"/>
        <v>0</v>
      </c>
      <c r="AO35" s="2">
        <f t="shared" ca="1" si="25"/>
        <v>0</v>
      </c>
      <c r="AP35" s="35">
        <f t="shared" ca="1" si="25"/>
        <v>0</v>
      </c>
      <c r="AQ35" s="35">
        <f ca="1">IF(ISBLANK($Z35), 0, IF(ISNUMBER(VLOOKUP($Z35, INDIRECT($Y35), MATCH("D"&amp;AQ$26, StatHeader, 0), 0)), IF(Setup!$G$35=1, VLOOKUP($Z35, INDIRECT($Y35), MATCH("D"&amp;AQ$26, StatHeader, 0), 0), 0), VLOOKUP($Z35, INDIRECT($Y35), MATCH(AQ$26, StatHeader, 0), 0)))</f>
        <v>0</v>
      </c>
      <c r="AR35" s="35"/>
      <c r="AS35" s="35"/>
      <c r="AT35">
        <f t="shared" ca="1" si="25"/>
        <v>10</v>
      </c>
      <c r="AU35" s="200">
        <f t="shared" ca="1" si="26"/>
        <v>0</v>
      </c>
    </row>
    <row r="36" spans="1:47">
      <c r="A36" t="s">
        <v>19</v>
      </c>
      <c r="B36" s="32" t="s">
        <v>832</v>
      </c>
      <c r="C36">
        <f t="shared" ca="1" si="23"/>
        <v>0</v>
      </c>
      <c r="D36">
        <f t="shared" ca="1" si="23"/>
        <v>30</v>
      </c>
      <c r="E36">
        <f t="shared" ca="1" si="23"/>
        <v>44</v>
      </c>
      <c r="F36">
        <f t="shared" ca="1" si="23"/>
        <v>16</v>
      </c>
      <c r="G36">
        <f t="shared" ca="1" si="23"/>
        <v>20</v>
      </c>
      <c r="H36">
        <f t="shared" ca="1" si="23"/>
        <v>79</v>
      </c>
      <c r="I36">
        <f t="shared" ca="1" si="23"/>
        <v>38</v>
      </c>
      <c r="J36" s="2">
        <f t="shared" ca="1" si="23"/>
        <v>0</v>
      </c>
      <c r="K36" s="2">
        <f t="shared" ca="1" si="23"/>
        <v>0</v>
      </c>
      <c r="L36" s="2">
        <f t="shared" ca="1" si="23"/>
        <v>0</v>
      </c>
      <c r="M36" s="2">
        <f t="shared" ca="1" si="23"/>
        <v>0</v>
      </c>
      <c r="N36" s="2">
        <f t="shared" ca="1" si="23"/>
        <v>0</v>
      </c>
      <c r="O36" s="2">
        <f t="shared" ca="1" si="23"/>
        <v>0</v>
      </c>
      <c r="P36" s="2">
        <f t="shared" ca="1" si="23"/>
        <v>0</v>
      </c>
      <c r="Q36" s="2">
        <f t="shared" ca="1" si="23"/>
        <v>0</v>
      </c>
      <c r="R36" s="35">
        <f t="shared" ca="1" si="23"/>
        <v>0</v>
      </c>
      <c r="S36" s="35">
        <f ca="1">IF(ISBLANK($B36), 0, IF(ISNUMBER(VLOOKUP($B36, INDIRECT($A36), MATCH("D"&amp;S$26, StatHeader, 0), 0)), IF(Setup!$F$35=1, VLOOKUP($B36, INDIRECT($A36), MATCH("D"&amp;S$26, StatHeader, 0), 0), 0), VLOOKUP($B36, INDIRECT($A36), MATCH(S$26, StatHeader, 0), 0)))</f>
        <v>0</v>
      </c>
      <c r="T36" s="35"/>
      <c r="U36" s="35"/>
      <c r="V36">
        <f t="shared" ca="1" si="23"/>
        <v>0</v>
      </c>
      <c r="W36" s="200">
        <f t="shared" ca="1" si="24"/>
        <v>0</v>
      </c>
      <c r="X36" t="str">
        <f t="shared" si="27"/>
        <v>=</v>
      </c>
      <c r="Y36" t="s">
        <v>19</v>
      </c>
      <c r="Z36" s="32" t="s">
        <v>832</v>
      </c>
      <c r="AA36">
        <f t="shared" ca="1" si="25"/>
        <v>0</v>
      </c>
      <c r="AB36">
        <f t="shared" ca="1" si="25"/>
        <v>30</v>
      </c>
      <c r="AC36">
        <f t="shared" ca="1" si="25"/>
        <v>44</v>
      </c>
      <c r="AD36">
        <f t="shared" ca="1" si="25"/>
        <v>16</v>
      </c>
      <c r="AE36">
        <f t="shared" ca="1" si="25"/>
        <v>20</v>
      </c>
      <c r="AF36">
        <f t="shared" ca="1" si="25"/>
        <v>79</v>
      </c>
      <c r="AG36">
        <f t="shared" ca="1" si="25"/>
        <v>38</v>
      </c>
      <c r="AH36" s="2">
        <f t="shared" ca="1" si="25"/>
        <v>0</v>
      </c>
      <c r="AI36" s="2">
        <f t="shared" ca="1" si="25"/>
        <v>0</v>
      </c>
      <c r="AJ36" s="2">
        <f t="shared" ca="1" si="25"/>
        <v>0</v>
      </c>
      <c r="AK36" s="2">
        <f t="shared" ca="1" si="25"/>
        <v>0</v>
      </c>
      <c r="AL36" s="2">
        <f t="shared" ca="1" si="25"/>
        <v>0</v>
      </c>
      <c r="AM36" s="2">
        <f t="shared" ca="1" si="25"/>
        <v>0</v>
      </c>
      <c r="AN36" s="2">
        <f t="shared" ca="1" si="25"/>
        <v>0</v>
      </c>
      <c r="AO36" s="2">
        <f t="shared" ca="1" si="25"/>
        <v>0</v>
      </c>
      <c r="AP36" s="35">
        <f t="shared" ca="1" si="25"/>
        <v>0</v>
      </c>
      <c r="AQ36" s="35">
        <f ca="1">IF(ISBLANK($Z36), 0, IF(ISNUMBER(VLOOKUP($Z36, INDIRECT($Y36), MATCH("D"&amp;AQ$26, StatHeader, 0), 0)), IF(Setup!$G$35=1, VLOOKUP($Z36, INDIRECT($Y36), MATCH("D"&amp;AQ$26, StatHeader, 0), 0), 0), VLOOKUP($Z36, INDIRECT($Y36), MATCH(AQ$26, StatHeader, 0), 0)))</f>
        <v>0</v>
      </c>
      <c r="AR36" s="35"/>
      <c r="AS36" s="35"/>
      <c r="AT36">
        <f t="shared" ca="1" si="25"/>
        <v>0</v>
      </c>
      <c r="AU36" s="200">
        <f t="shared" ca="1" si="26"/>
        <v>0</v>
      </c>
    </row>
    <row r="37" spans="1:47">
      <c r="A37" t="s">
        <v>71</v>
      </c>
      <c r="B37" s="32" t="s">
        <v>872</v>
      </c>
      <c r="C37">
        <f t="shared" ref="C37:V42" ca="1" si="28">IF(ISBLANK($B37), 0, VLOOKUP($B37, INDIRECT($A37), MATCH(C$26, StatHeader, 0), 0))</f>
        <v>0</v>
      </c>
      <c r="D37">
        <f t="shared" ca="1" si="28"/>
        <v>10</v>
      </c>
      <c r="E37">
        <f t="shared" ca="1" si="28"/>
        <v>0</v>
      </c>
      <c r="F37">
        <f t="shared" ca="1" si="28"/>
        <v>0</v>
      </c>
      <c r="G37">
        <f t="shared" ca="1" si="23"/>
        <v>0</v>
      </c>
      <c r="H37">
        <f t="shared" ca="1" si="28"/>
        <v>16</v>
      </c>
      <c r="I37">
        <f t="shared" ca="1" si="28"/>
        <v>0</v>
      </c>
      <c r="J37" s="2">
        <f t="shared" ca="1" si="28"/>
        <v>0</v>
      </c>
      <c r="K37" s="2">
        <f t="shared" ca="1" si="28"/>
        <v>0.05</v>
      </c>
      <c r="L37" s="2">
        <f t="shared" ca="1" si="23"/>
        <v>0</v>
      </c>
      <c r="M37" s="2">
        <f t="shared" ca="1" si="28"/>
        <v>0</v>
      </c>
      <c r="N37" s="2">
        <f t="shared" ca="1" si="28"/>
        <v>0</v>
      </c>
      <c r="O37" s="2">
        <f t="shared" ca="1" si="28"/>
        <v>0</v>
      </c>
      <c r="P37" s="2">
        <f t="shared" ca="1" si="28"/>
        <v>0</v>
      </c>
      <c r="Q37" s="2">
        <f t="shared" ca="1" si="23"/>
        <v>0</v>
      </c>
      <c r="R37" s="35">
        <f t="shared" ca="1" si="28"/>
        <v>0</v>
      </c>
      <c r="S37" s="35">
        <f ca="1">IF(ISBLANK($B37), 0, IF(ISNUMBER(VLOOKUP($B37, INDIRECT($A37), MATCH("D"&amp;S$26, StatHeader, 0), 0)), IF(Setup!$F$35=1, VLOOKUP($B37, INDIRECT($A37), MATCH("D"&amp;S$26, StatHeader, 0), 0), 0), VLOOKUP($B37, INDIRECT($A37), MATCH(S$26, StatHeader, 0), 0)))</f>
        <v>0</v>
      </c>
      <c r="T37" s="35"/>
      <c r="U37" s="35"/>
      <c r="V37">
        <f t="shared" ca="1" si="28"/>
        <v>0</v>
      </c>
      <c r="W37" s="200">
        <f t="shared" ca="1" si="24"/>
        <v>0</v>
      </c>
      <c r="X37" t="str">
        <f t="shared" si="27"/>
        <v>=</v>
      </c>
      <c r="Y37" t="s">
        <v>71</v>
      </c>
      <c r="Z37" s="32" t="s">
        <v>872</v>
      </c>
      <c r="AA37">
        <f t="shared" ref="AA37:AT42" ca="1" si="29">IF(ISBLANK($Z37), 0, VLOOKUP($Z37, INDIRECT($Y37), MATCH(AA$26, StatHeader, 0), 0))</f>
        <v>0</v>
      </c>
      <c r="AB37">
        <f t="shared" ca="1" si="29"/>
        <v>10</v>
      </c>
      <c r="AC37">
        <f t="shared" ca="1" si="29"/>
        <v>0</v>
      </c>
      <c r="AD37">
        <f t="shared" ca="1" si="29"/>
        <v>0</v>
      </c>
      <c r="AE37">
        <f t="shared" ca="1" si="25"/>
        <v>0</v>
      </c>
      <c r="AF37">
        <f t="shared" ca="1" si="29"/>
        <v>16</v>
      </c>
      <c r="AG37">
        <f t="shared" ca="1" si="29"/>
        <v>0</v>
      </c>
      <c r="AH37" s="2">
        <f t="shared" ca="1" si="29"/>
        <v>0</v>
      </c>
      <c r="AI37" s="2">
        <f t="shared" ca="1" si="29"/>
        <v>0.05</v>
      </c>
      <c r="AJ37" s="2">
        <f t="shared" ca="1" si="25"/>
        <v>0</v>
      </c>
      <c r="AK37" s="2">
        <f t="shared" ca="1" si="29"/>
        <v>0</v>
      </c>
      <c r="AL37" s="2">
        <f t="shared" ca="1" si="29"/>
        <v>0</v>
      </c>
      <c r="AM37" s="2">
        <f t="shared" ca="1" si="29"/>
        <v>0</v>
      </c>
      <c r="AN37" s="2">
        <f t="shared" ca="1" si="29"/>
        <v>0</v>
      </c>
      <c r="AO37" s="2">
        <f t="shared" ca="1" si="25"/>
        <v>0</v>
      </c>
      <c r="AP37" s="35">
        <f t="shared" ca="1" si="29"/>
        <v>0</v>
      </c>
      <c r="AQ37" s="35">
        <f ca="1">IF(ISBLANK($Z37), 0, IF(ISNUMBER(VLOOKUP($Z37, INDIRECT($Y37), MATCH("D"&amp;AQ$26, StatHeader, 0), 0)), IF(Setup!$G$35=1, VLOOKUP($Z37, INDIRECT($Y37), MATCH("D"&amp;AQ$26, StatHeader, 0), 0), 0), VLOOKUP($Z37, INDIRECT($Y37), MATCH(AQ$26, StatHeader, 0), 0)))</f>
        <v>0</v>
      </c>
      <c r="AR37" s="35"/>
      <c r="AS37" s="35"/>
      <c r="AT37">
        <f t="shared" ca="1" si="29"/>
        <v>0</v>
      </c>
      <c r="AU37" s="200">
        <f t="shared" ca="1" si="26"/>
        <v>0</v>
      </c>
    </row>
    <row r="38" spans="1:47">
      <c r="A38" t="s">
        <v>71</v>
      </c>
      <c r="B38" s="32" t="s">
        <v>838</v>
      </c>
      <c r="C38">
        <f t="shared" ca="1" si="28"/>
        <v>0</v>
      </c>
      <c r="D38">
        <f t="shared" ca="1" si="28"/>
        <v>10</v>
      </c>
      <c r="E38">
        <f t="shared" ca="1" si="28"/>
        <v>10</v>
      </c>
      <c r="F38">
        <f t="shared" ca="1" si="28"/>
        <v>10</v>
      </c>
      <c r="G38">
        <f t="shared" ca="1" si="23"/>
        <v>0</v>
      </c>
      <c r="H38">
        <f t="shared" ca="1" si="28"/>
        <v>20</v>
      </c>
      <c r="I38">
        <f t="shared" ca="1" si="28"/>
        <v>0</v>
      </c>
      <c r="J38" s="2">
        <f t="shared" ca="1" si="28"/>
        <v>0</v>
      </c>
      <c r="K38" s="2">
        <f t="shared" ca="1" si="28"/>
        <v>0</v>
      </c>
      <c r="L38" s="2">
        <f t="shared" ca="1" si="23"/>
        <v>0</v>
      </c>
      <c r="M38" s="2">
        <f t="shared" ca="1" si="28"/>
        <v>0</v>
      </c>
      <c r="N38" s="2">
        <f t="shared" ca="1" si="28"/>
        <v>0</v>
      </c>
      <c r="O38" s="2">
        <f t="shared" ca="1" si="28"/>
        <v>0</v>
      </c>
      <c r="P38" s="2">
        <f t="shared" ca="1" si="28"/>
        <v>0</v>
      </c>
      <c r="Q38" s="2">
        <f t="shared" ca="1" si="23"/>
        <v>0</v>
      </c>
      <c r="R38" s="35">
        <f t="shared" ca="1" si="28"/>
        <v>0</v>
      </c>
      <c r="S38" s="35">
        <f ca="1">IF(ISBLANK($B38), 0, IF(ISNUMBER(VLOOKUP($B38, INDIRECT($A38), MATCH("D"&amp;S$26, StatHeader, 0), 0)), IF(Setup!$F$35=1, VLOOKUP($B38, INDIRECT($A38), MATCH("D"&amp;S$26, StatHeader, 0), 0), 0), VLOOKUP($B38, INDIRECT($A38), MATCH(S$26, StatHeader, 0), 0)))</f>
        <v>0</v>
      </c>
      <c r="T38" s="35"/>
      <c r="U38" s="35"/>
      <c r="V38">
        <f t="shared" ca="1" si="28"/>
        <v>0</v>
      </c>
      <c r="W38" s="200">
        <f t="shared" ca="1" si="24"/>
        <v>0</v>
      </c>
      <c r="X38" t="str">
        <f t="shared" si="27"/>
        <v>=</v>
      </c>
      <c r="Y38" t="s">
        <v>71</v>
      </c>
      <c r="Z38" s="32" t="s">
        <v>838</v>
      </c>
      <c r="AA38">
        <f t="shared" ca="1" si="29"/>
        <v>0</v>
      </c>
      <c r="AB38">
        <f t="shared" ca="1" si="29"/>
        <v>10</v>
      </c>
      <c r="AC38">
        <f t="shared" ca="1" si="29"/>
        <v>10</v>
      </c>
      <c r="AD38">
        <f t="shared" ca="1" si="29"/>
        <v>10</v>
      </c>
      <c r="AE38">
        <f t="shared" ca="1" si="25"/>
        <v>0</v>
      </c>
      <c r="AF38">
        <f t="shared" ca="1" si="29"/>
        <v>20</v>
      </c>
      <c r="AG38">
        <f t="shared" ca="1" si="29"/>
        <v>0</v>
      </c>
      <c r="AH38" s="2">
        <f t="shared" ca="1" si="29"/>
        <v>0</v>
      </c>
      <c r="AI38" s="2">
        <f t="shared" ca="1" si="29"/>
        <v>0</v>
      </c>
      <c r="AJ38" s="2">
        <f t="shared" ca="1" si="25"/>
        <v>0</v>
      </c>
      <c r="AK38" s="2">
        <f t="shared" ca="1" si="29"/>
        <v>0</v>
      </c>
      <c r="AL38" s="2">
        <f t="shared" ca="1" si="29"/>
        <v>0</v>
      </c>
      <c r="AM38" s="2">
        <f t="shared" ca="1" si="29"/>
        <v>0</v>
      </c>
      <c r="AN38" s="2">
        <f t="shared" ca="1" si="29"/>
        <v>0</v>
      </c>
      <c r="AO38" s="2">
        <f t="shared" ca="1" si="25"/>
        <v>0</v>
      </c>
      <c r="AP38" s="35">
        <f t="shared" ca="1" si="29"/>
        <v>0</v>
      </c>
      <c r="AQ38" s="35">
        <f ca="1">IF(ISBLANK($Z38), 0, IF(ISNUMBER(VLOOKUP($Z38, INDIRECT($Y38), MATCH("D"&amp;AQ$26, StatHeader, 0), 0)), IF(Setup!$G$35=1, VLOOKUP($Z38, INDIRECT($Y38), MATCH("D"&amp;AQ$26, StatHeader, 0), 0), 0), VLOOKUP($Z38, INDIRECT($Y38), MATCH(AQ$26, StatHeader, 0), 0)))</f>
        <v>0</v>
      </c>
      <c r="AR38" s="35"/>
      <c r="AS38" s="35"/>
      <c r="AT38">
        <f t="shared" ca="1" si="29"/>
        <v>0</v>
      </c>
      <c r="AU38" s="200">
        <f t="shared" ca="1" si="26"/>
        <v>0</v>
      </c>
    </row>
    <row r="39" spans="1:47">
      <c r="A39" t="s">
        <v>20</v>
      </c>
      <c r="B39" s="32" t="s">
        <v>761</v>
      </c>
      <c r="C39">
        <f t="shared" ca="1" si="28"/>
        <v>0</v>
      </c>
      <c r="D39">
        <f t="shared" ca="1" si="28"/>
        <v>0</v>
      </c>
      <c r="E39">
        <f t="shared" ca="1" si="28"/>
        <v>30</v>
      </c>
      <c r="F39">
        <f t="shared" ca="1" si="28"/>
        <v>0</v>
      </c>
      <c r="G39">
        <f t="shared" ca="1" si="23"/>
        <v>0</v>
      </c>
      <c r="H39">
        <f t="shared" ca="1" si="28"/>
        <v>20</v>
      </c>
      <c r="I39">
        <f t="shared" ca="1" si="28"/>
        <v>20</v>
      </c>
      <c r="J39" s="2">
        <f t="shared" ca="1" si="28"/>
        <v>0</v>
      </c>
      <c r="K39" s="2">
        <f t="shared" ca="1" si="28"/>
        <v>0</v>
      </c>
      <c r="L39" s="2">
        <f t="shared" ca="1" si="23"/>
        <v>0</v>
      </c>
      <c r="M39" s="2">
        <f t="shared" ca="1" si="28"/>
        <v>0</v>
      </c>
      <c r="N39" s="2">
        <f t="shared" ca="1" si="28"/>
        <v>0</v>
      </c>
      <c r="O39" s="2">
        <f t="shared" ca="1" si="28"/>
        <v>0</v>
      </c>
      <c r="P39" s="2">
        <f t="shared" ca="1" si="28"/>
        <v>0.1</v>
      </c>
      <c r="Q39" s="2">
        <f t="shared" ca="1" si="23"/>
        <v>0</v>
      </c>
      <c r="R39" s="35">
        <f t="shared" ca="1" si="28"/>
        <v>0</v>
      </c>
      <c r="S39" s="35">
        <f ca="1">IF(ISBLANK($B39), 0, IF(ISNUMBER(VLOOKUP($B39, INDIRECT($A39), MATCH("D"&amp;S$26, StatHeader, 0), 0)), IF(Setup!$F$35=1, VLOOKUP($B39, INDIRECT($A39), MATCH("D"&amp;S$26, StatHeader, 0), 0), 0), VLOOKUP($B39, INDIRECT($A39), MATCH(S$26, StatHeader, 0), 0)))</f>
        <v>0</v>
      </c>
      <c r="T39" s="35"/>
      <c r="U39" s="35"/>
      <c r="V39">
        <f t="shared" ca="1" si="28"/>
        <v>0</v>
      </c>
      <c r="W39" s="200">
        <f t="shared" ca="1" si="24"/>
        <v>0</v>
      </c>
      <c r="X39" t="str">
        <f t="shared" si="27"/>
        <v>-</v>
      </c>
      <c r="Y39" t="s">
        <v>20</v>
      </c>
      <c r="Z39" s="32" t="s">
        <v>771</v>
      </c>
      <c r="AA39">
        <f t="shared" ca="1" si="29"/>
        <v>0</v>
      </c>
      <c r="AB39">
        <f t="shared" ca="1" si="29"/>
        <v>30</v>
      </c>
      <c r="AC39">
        <f t="shared" ca="1" si="29"/>
        <v>0</v>
      </c>
      <c r="AD39">
        <f t="shared" ca="1" si="29"/>
        <v>0</v>
      </c>
      <c r="AE39">
        <f t="shared" ca="1" si="25"/>
        <v>0</v>
      </c>
      <c r="AF39">
        <f t="shared" ca="1" si="29"/>
        <v>20</v>
      </c>
      <c r="AG39">
        <f t="shared" ca="1" si="29"/>
        <v>20</v>
      </c>
      <c r="AH39" s="2">
        <f t="shared" ca="1" si="29"/>
        <v>0</v>
      </c>
      <c r="AI39" s="2">
        <f t="shared" ca="1" si="29"/>
        <v>0</v>
      </c>
      <c r="AJ39" s="2">
        <f t="shared" ca="1" si="25"/>
        <v>0</v>
      </c>
      <c r="AK39" s="2">
        <f t="shared" ca="1" si="29"/>
        <v>0</v>
      </c>
      <c r="AL39" s="2">
        <f t="shared" ca="1" si="29"/>
        <v>0</v>
      </c>
      <c r="AM39" s="2">
        <f t="shared" ca="1" si="29"/>
        <v>0</v>
      </c>
      <c r="AN39" s="2">
        <f t="shared" ca="1" si="29"/>
        <v>0.1</v>
      </c>
      <c r="AO39" s="2">
        <f t="shared" ca="1" si="25"/>
        <v>0</v>
      </c>
      <c r="AP39" s="35">
        <f t="shared" ca="1" si="29"/>
        <v>0</v>
      </c>
      <c r="AQ39" s="35">
        <f ca="1">IF(ISBLANK($Z39), 0, IF(ISNUMBER(VLOOKUP($Z39, INDIRECT($Y39), MATCH("D"&amp;AQ$26, StatHeader, 0), 0)), IF(Setup!$G$35=1, VLOOKUP($Z39, INDIRECT($Y39), MATCH("D"&amp;AQ$26, StatHeader, 0), 0), 0), VLOOKUP($Z39, INDIRECT($Y39), MATCH(AQ$26, StatHeader, 0), 0)))</f>
        <v>0</v>
      </c>
      <c r="AR39" s="35"/>
      <c r="AS39" s="35"/>
      <c r="AT39">
        <f t="shared" ca="1" si="29"/>
        <v>0</v>
      </c>
      <c r="AU39" s="200">
        <f t="shared" ca="1" si="26"/>
        <v>0</v>
      </c>
    </row>
    <row r="40" spans="1:47">
      <c r="A40" t="s">
        <v>21</v>
      </c>
      <c r="B40" s="32" t="s">
        <v>881</v>
      </c>
      <c r="C40">
        <f t="shared" ca="1" si="28"/>
        <v>0</v>
      </c>
      <c r="D40">
        <f t="shared" ca="1" si="28"/>
        <v>15</v>
      </c>
      <c r="E40">
        <f t="shared" ca="1" si="28"/>
        <v>0</v>
      </c>
      <c r="F40">
        <f t="shared" ca="1" si="28"/>
        <v>0</v>
      </c>
      <c r="G40">
        <f t="shared" ca="1" si="23"/>
        <v>0</v>
      </c>
      <c r="H40">
        <f t="shared" ca="1" si="28"/>
        <v>15</v>
      </c>
      <c r="I40">
        <f t="shared" ca="1" si="28"/>
        <v>0</v>
      </c>
      <c r="J40" s="2">
        <f t="shared" ca="1" si="28"/>
        <v>0.05</v>
      </c>
      <c r="K40" s="2">
        <f t="shared" ca="1" si="28"/>
        <v>0.02</v>
      </c>
      <c r="L40" s="2">
        <f t="shared" ca="1" si="23"/>
        <v>0</v>
      </c>
      <c r="M40" s="2">
        <f t="shared" ca="1" si="28"/>
        <v>0</v>
      </c>
      <c r="N40" s="2">
        <f t="shared" ca="1" si="28"/>
        <v>0</v>
      </c>
      <c r="O40" s="2">
        <f t="shared" ca="1" si="28"/>
        <v>0</v>
      </c>
      <c r="P40" s="2">
        <f t="shared" ca="1" si="28"/>
        <v>0</v>
      </c>
      <c r="Q40" s="2">
        <f t="shared" ca="1" si="23"/>
        <v>0</v>
      </c>
      <c r="R40" s="35">
        <f t="shared" ca="1" si="28"/>
        <v>0</v>
      </c>
      <c r="S40" s="35">
        <f ca="1">IF(ISBLANK($B40), 0, IF(ISNUMBER(VLOOKUP($B40, INDIRECT($A40), MATCH("D"&amp;S$26, StatHeader, 0), 0)), IF(Setup!$F$35=1, VLOOKUP($B40, INDIRECT($A40), MATCH("D"&amp;S$26, StatHeader, 0), 0), 0), VLOOKUP($B40, INDIRECT($A40), MATCH(S$26, StatHeader, 0), 0)))</f>
        <v>0</v>
      </c>
      <c r="T40" s="35"/>
      <c r="U40" s="35"/>
      <c r="V40">
        <f t="shared" ca="1" si="28"/>
        <v>0</v>
      </c>
      <c r="W40" s="200">
        <f t="shared" ca="1" si="24"/>
        <v>0</v>
      </c>
      <c r="X40" t="str">
        <f t="shared" si="27"/>
        <v>=</v>
      </c>
      <c r="Y40" t="s">
        <v>21</v>
      </c>
      <c r="Z40" s="32" t="s">
        <v>881</v>
      </c>
      <c r="AA40">
        <f t="shared" ca="1" si="29"/>
        <v>0</v>
      </c>
      <c r="AB40">
        <f t="shared" ca="1" si="29"/>
        <v>15</v>
      </c>
      <c r="AC40">
        <f t="shared" ca="1" si="29"/>
        <v>0</v>
      </c>
      <c r="AD40">
        <f t="shared" ca="1" si="29"/>
        <v>0</v>
      </c>
      <c r="AE40">
        <f t="shared" ca="1" si="25"/>
        <v>0</v>
      </c>
      <c r="AF40">
        <f t="shared" ca="1" si="29"/>
        <v>15</v>
      </c>
      <c r="AG40">
        <f t="shared" ca="1" si="29"/>
        <v>0</v>
      </c>
      <c r="AH40" s="2">
        <f t="shared" ca="1" si="29"/>
        <v>0.05</v>
      </c>
      <c r="AI40" s="2">
        <f t="shared" ca="1" si="29"/>
        <v>0.02</v>
      </c>
      <c r="AJ40" s="2">
        <f t="shared" ca="1" si="25"/>
        <v>0</v>
      </c>
      <c r="AK40" s="2">
        <f t="shared" ca="1" si="29"/>
        <v>0</v>
      </c>
      <c r="AL40" s="2">
        <f t="shared" ca="1" si="29"/>
        <v>0</v>
      </c>
      <c r="AM40" s="2">
        <f t="shared" ca="1" si="29"/>
        <v>0</v>
      </c>
      <c r="AN40" s="2">
        <f t="shared" ca="1" si="29"/>
        <v>0</v>
      </c>
      <c r="AO40" s="2">
        <f t="shared" ca="1" si="25"/>
        <v>0</v>
      </c>
      <c r="AP40" s="35">
        <f t="shared" ca="1" si="29"/>
        <v>0</v>
      </c>
      <c r="AQ40" s="35">
        <f ca="1">IF(ISBLANK($Z40), 0, IF(ISNUMBER(VLOOKUP($Z40, INDIRECT($Y40), MATCH("D"&amp;AQ$26, StatHeader, 0), 0)), IF(Setup!$G$35=1, VLOOKUP($Z40, INDIRECT($Y40), MATCH("D"&amp;AQ$26, StatHeader, 0), 0), 0), VLOOKUP($Z40, INDIRECT($Y40), MATCH(AQ$26, StatHeader, 0), 0)))</f>
        <v>0</v>
      </c>
      <c r="AR40" s="35"/>
      <c r="AS40" s="35"/>
      <c r="AT40">
        <f t="shared" ca="1" si="29"/>
        <v>0</v>
      </c>
      <c r="AU40" s="200">
        <f t="shared" ca="1" si="26"/>
        <v>0</v>
      </c>
    </row>
    <row r="41" spans="1:47">
      <c r="A41" t="s">
        <v>22</v>
      </c>
      <c r="B41" s="32" t="s">
        <v>832</v>
      </c>
      <c r="C41">
        <f t="shared" ca="1" si="28"/>
        <v>0</v>
      </c>
      <c r="D41">
        <f t="shared" ca="1" si="28"/>
        <v>42</v>
      </c>
      <c r="E41">
        <f t="shared" ca="1" si="28"/>
        <v>0</v>
      </c>
      <c r="F41">
        <f t="shared" ca="1" si="28"/>
        <v>36</v>
      </c>
      <c r="G41">
        <f t="shared" ca="1" si="23"/>
        <v>42</v>
      </c>
      <c r="H41">
        <f t="shared" ca="1" si="28"/>
        <v>64</v>
      </c>
      <c r="I41">
        <f t="shared" ca="1" si="28"/>
        <v>39</v>
      </c>
      <c r="J41" s="2">
        <f t="shared" ca="1" si="28"/>
        <v>0</v>
      </c>
      <c r="K41" s="2">
        <f t="shared" ca="1" si="28"/>
        <v>0</v>
      </c>
      <c r="L41" s="2">
        <f t="shared" ca="1" si="23"/>
        <v>0</v>
      </c>
      <c r="M41" s="2">
        <f t="shared" ca="1" si="28"/>
        <v>0.1</v>
      </c>
      <c r="N41" s="2">
        <f t="shared" ca="1" si="28"/>
        <v>0</v>
      </c>
      <c r="O41" s="2">
        <f t="shared" ca="1" si="28"/>
        <v>0</v>
      </c>
      <c r="P41" s="2">
        <f t="shared" ca="1" si="28"/>
        <v>0.1</v>
      </c>
      <c r="Q41" s="2">
        <f t="shared" ca="1" si="23"/>
        <v>0</v>
      </c>
      <c r="R41" s="35">
        <f t="shared" ca="1" si="28"/>
        <v>0</v>
      </c>
      <c r="S41" s="35">
        <f ca="1">IF(ISBLANK($B41), 0, IF(ISNUMBER(VLOOKUP($B41, INDIRECT($A41), MATCH("D"&amp;S$26, StatHeader, 0), 0)), IF(Setup!$F$35=1, VLOOKUP($B41, INDIRECT($A41), MATCH("D"&amp;S$26, StatHeader, 0), 0), 0), VLOOKUP($B41, INDIRECT($A41), MATCH(S$26, StatHeader, 0), 0)))</f>
        <v>0</v>
      </c>
      <c r="T41" s="35"/>
      <c r="U41" s="35"/>
      <c r="V41">
        <f t="shared" ca="1" si="28"/>
        <v>0</v>
      </c>
      <c r="W41" s="200">
        <f t="shared" ca="1" si="24"/>
        <v>0</v>
      </c>
      <c r="X41" t="str">
        <f t="shared" si="27"/>
        <v>=</v>
      </c>
      <c r="Y41" t="s">
        <v>22</v>
      </c>
      <c r="Z41" s="32" t="s">
        <v>832</v>
      </c>
      <c r="AA41">
        <f t="shared" ca="1" si="29"/>
        <v>0</v>
      </c>
      <c r="AB41">
        <f t="shared" ca="1" si="29"/>
        <v>42</v>
      </c>
      <c r="AC41">
        <f t="shared" ca="1" si="29"/>
        <v>0</v>
      </c>
      <c r="AD41">
        <f t="shared" ca="1" si="29"/>
        <v>36</v>
      </c>
      <c r="AE41">
        <f t="shared" ca="1" si="25"/>
        <v>42</v>
      </c>
      <c r="AF41">
        <f t="shared" ca="1" si="29"/>
        <v>64</v>
      </c>
      <c r="AG41">
        <f t="shared" ca="1" si="29"/>
        <v>39</v>
      </c>
      <c r="AH41" s="2">
        <f t="shared" ca="1" si="29"/>
        <v>0</v>
      </c>
      <c r="AI41" s="2">
        <f t="shared" ca="1" si="29"/>
        <v>0</v>
      </c>
      <c r="AJ41" s="2">
        <f t="shared" ca="1" si="25"/>
        <v>0</v>
      </c>
      <c r="AK41" s="2">
        <f t="shared" ca="1" si="29"/>
        <v>0.1</v>
      </c>
      <c r="AL41" s="2">
        <f t="shared" ca="1" si="29"/>
        <v>0</v>
      </c>
      <c r="AM41" s="2">
        <f t="shared" ca="1" si="29"/>
        <v>0</v>
      </c>
      <c r="AN41" s="2">
        <f t="shared" ca="1" si="29"/>
        <v>0.1</v>
      </c>
      <c r="AO41" s="2">
        <f t="shared" ca="1" si="25"/>
        <v>0</v>
      </c>
      <c r="AP41" s="35">
        <f t="shared" ca="1" si="29"/>
        <v>0</v>
      </c>
      <c r="AQ41" s="35">
        <f ca="1">IF(ISBLANK($Z41), 0, IF(ISNUMBER(VLOOKUP($Z41, INDIRECT($Y41), MATCH("D"&amp;AQ$26, StatHeader, 0), 0)), IF(Setup!$G$35=1, VLOOKUP($Z41, INDIRECT($Y41), MATCH("D"&amp;AQ$26, StatHeader, 0), 0), 0), VLOOKUP($Z41, INDIRECT($Y41), MATCH(AQ$26, StatHeader, 0), 0)))</f>
        <v>0</v>
      </c>
      <c r="AR41" s="35"/>
      <c r="AS41" s="35"/>
      <c r="AT41">
        <f t="shared" ca="1" si="29"/>
        <v>0</v>
      </c>
      <c r="AU41" s="200">
        <f t="shared" ca="1" si="26"/>
        <v>0</v>
      </c>
    </row>
    <row r="42" spans="1:47">
      <c r="A42" t="s">
        <v>23</v>
      </c>
      <c r="B42" s="32" t="s">
        <v>832</v>
      </c>
      <c r="C42">
        <f t="shared" ca="1" si="28"/>
        <v>0</v>
      </c>
      <c r="D42">
        <f t="shared" ca="1" si="28"/>
        <v>28</v>
      </c>
      <c r="E42">
        <f t="shared" ca="1" si="28"/>
        <v>29</v>
      </c>
      <c r="F42">
        <f t="shared" ca="1" si="28"/>
        <v>48</v>
      </c>
      <c r="G42">
        <f t="shared" ca="1" si="23"/>
        <v>0</v>
      </c>
      <c r="H42">
        <f t="shared" ca="1" si="28"/>
        <v>76</v>
      </c>
      <c r="I42">
        <f t="shared" ca="1" si="28"/>
        <v>43</v>
      </c>
      <c r="J42" s="2">
        <f t="shared" ca="1" si="28"/>
        <v>0</v>
      </c>
      <c r="K42" s="2">
        <f t="shared" ca="1" si="28"/>
        <v>0</v>
      </c>
      <c r="L42" s="2">
        <f t="shared" ca="1" si="23"/>
        <v>0</v>
      </c>
      <c r="M42" s="2">
        <f t="shared" ca="1" si="28"/>
        <v>0</v>
      </c>
      <c r="N42" s="2">
        <f t="shared" ca="1" si="28"/>
        <v>0</v>
      </c>
      <c r="O42" s="2">
        <f t="shared" ca="1" si="28"/>
        <v>0</v>
      </c>
      <c r="P42" s="2">
        <f t="shared" ca="1" si="28"/>
        <v>0</v>
      </c>
      <c r="Q42" s="2">
        <f t="shared" ca="1" si="23"/>
        <v>0</v>
      </c>
      <c r="R42" s="35">
        <f t="shared" ca="1" si="28"/>
        <v>0</v>
      </c>
      <c r="S42" s="35">
        <f ca="1">IF(ISBLANK($B42), 0, IF(ISNUMBER(VLOOKUP($B42, INDIRECT($A42), MATCH("D"&amp;S$26, StatHeader, 0), 0)), IF(Setup!$F$35=1, VLOOKUP($B42, INDIRECT($A42), MATCH("D"&amp;S$26, StatHeader, 0), 0), 0), VLOOKUP($B42, INDIRECT($A42), MATCH(S$26, StatHeader, 0), 0)))</f>
        <v>0</v>
      </c>
      <c r="T42" s="35"/>
      <c r="U42" s="35"/>
      <c r="V42">
        <f t="shared" ca="1" si="28"/>
        <v>0</v>
      </c>
      <c r="W42" s="200">
        <f t="shared" ca="1" si="24"/>
        <v>0</v>
      </c>
      <c r="X42" t="str">
        <f>IF(Z42=B42, "=", "-")</f>
        <v>=</v>
      </c>
      <c r="Y42" t="s">
        <v>23</v>
      </c>
      <c r="Z42" s="32" t="s">
        <v>832</v>
      </c>
      <c r="AA42">
        <f t="shared" ca="1" si="29"/>
        <v>0</v>
      </c>
      <c r="AB42">
        <f t="shared" ca="1" si="29"/>
        <v>28</v>
      </c>
      <c r="AC42">
        <f t="shared" ca="1" si="29"/>
        <v>29</v>
      </c>
      <c r="AD42">
        <f t="shared" ca="1" si="29"/>
        <v>48</v>
      </c>
      <c r="AE42">
        <f t="shared" ca="1" si="25"/>
        <v>0</v>
      </c>
      <c r="AF42">
        <f t="shared" ca="1" si="29"/>
        <v>76</v>
      </c>
      <c r="AG42">
        <f t="shared" ca="1" si="29"/>
        <v>43</v>
      </c>
      <c r="AH42" s="2">
        <f t="shared" ca="1" si="29"/>
        <v>0</v>
      </c>
      <c r="AI42" s="2">
        <f t="shared" ca="1" si="29"/>
        <v>0</v>
      </c>
      <c r="AJ42" s="2">
        <f t="shared" ca="1" si="25"/>
        <v>0</v>
      </c>
      <c r="AK42" s="2">
        <f t="shared" ca="1" si="29"/>
        <v>0</v>
      </c>
      <c r="AL42" s="2">
        <f t="shared" ca="1" si="29"/>
        <v>0</v>
      </c>
      <c r="AM42" s="2">
        <f t="shared" ca="1" si="29"/>
        <v>0</v>
      </c>
      <c r="AN42" s="2">
        <f t="shared" ca="1" si="29"/>
        <v>0</v>
      </c>
      <c r="AO42" s="2">
        <f t="shared" ca="1" si="25"/>
        <v>0</v>
      </c>
      <c r="AP42" s="35">
        <f t="shared" ca="1" si="29"/>
        <v>0</v>
      </c>
      <c r="AQ42" s="35">
        <f ca="1">IF(ISBLANK($Z42), 0, IF(ISNUMBER(VLOOKUP($Z42, INDIRECT($Y42), MATCH("D"&amp;AQ$26, StatHeader, 0), 0)), IF(Setup!$G$35=1, VLOOKUP($Z42, INDIRECT($Y42), MATCH("D"&amp;AQ$26, StatHeader, 0), 0), 0), VLOOKUP($Z42, INDIRECT($Y42), MATCH(AQ$26, StatHeader, 0), 0)))</f>
        <v>0</v>
      </c>
      <c r="AR42" s="35"/>
      <c r="AS42" s="35"/>
      <c r="AT42">
        <f t="shared" ca="1" si="29"/>
        <v>0</v>
      </c>
      <c r="AU42" s="200">
        <f t="shared" ca="1" si="26"/>
        <v>0</v>
      </c>
    </row>
    <row r="43" spans="1:47">
      <c r="A43" t="s">
        <v>24</v>
      </c>
      <c r="B43" s="118"/>
      <c r="C43">
        <f t="shared" ref="C43:V43" si="30">SUMIF(INDEX(SetBonusLookup, 0, 1), "="&amp;C26, INDEX(SetBonusLookup, 0, MATCH("WSSet1Gear", INDEX(SetBonusLookup, 1, 0), 0)))</f>
        <v>0</v>
      </c>
      <c r="D43">
        <f t="shared" si="30"/>
        <v>0</v>
      </c>
      <c r="E43">
        <f ca="1">SUMIF(INDEX(SetBonusLookup, 0, 1), "="&amp;E26, INDEX(SetBonusLookup, 0, MATCH("WSSet1Gear", INDEX(SetBonusLookup, 1, 0), 0)))</f>
        <v>0</v>
      </c>
      <c r="F43">
        <f t="shared" ca="1" si="30"/>
        <v>0</v>
      </c>
      <c r="G43">
        <f t="shared" si="30"/>
        <v>0</v>
      </c>
      <c r="H43">
        <f t="shared" si="30"/>
        <v>0</v>
      </c>
      <c r="I43">
        <f t="shared" ca="1" si="30"/>
        <v>15</v>
      </c>
      <c r="J43" s="89">
        <f t="shared" ca="1" si="30"/>
        <v>0</v>
      </c>
      <c r="K43" s="89">
        <f t="shared" ca="1" si="30"/>
        <v>0</v>
      </c>
      <c r="L43" s="89">
        <f t="shared" si="30"/>
        <v>0</v>
      </c>
      <c r="M43" s="89">
        <f t="shared" ca="1" si="30"/>
        <v>0</v>
      </c>
      <c r="N43" s="89">
        <f t="shared" ca="1" si="30"/>
        <v>0</v>
      </c>
      <c r="O43" s="89">
        <f>SUMIF(INDEX(SetBonusLookup, 0, 1), "="&amp;O26, INDEX(SetBonusLookup, 0, MATCH("WSSet1Gear", INDEX(SetBonusLookup, 1, 0), 0)))</f>
        <v>0</v>
      </c>
      <c r="P43" s="89">
        <f t="shared" si="30"/>
        <v>0</v>
      </c>
      <c r="Q43" s="89">
        <f t="shared" si="30"/>
        <v>0</v>
      </c>
      <c r="R43">
        <f t="shared" si="30"/>
        <v>0</v>
      </c>
      <c r="S43">
        <f t="shared" si="30"/>
        <v>0</v>
      </c>
      <c r="V43">
        <f t="shared" si="30"/>
        <v>0</v>
      </c>
      <c r="W43" s="200">
        <f t="shared" ca="1" si="24"/>
        <v>0</v>
      </c>
      <c r="X43" t="str">
        <f ca="1">IF(AND(C43=AA43, D43=AB43, E43=AC43, F43=AD43, G43=AE43, H43=AF43, I43=AG43, J43=AH43, K43=AI43, L43=AJ43, M43=AK43, N43=AL43, O43=AM43, P43=AN43, Q43=AO43, R43=AP43, S43=AQ43, V43=AT43), "=", "-")</f>
        <v>=</v>
      </c>
      <c r="Y43" t="s">
        <v>24</v>
      </c>
      <c r="Z43" s="118"/>
      <c r="AA43">
        <f t="shared" ref="AA43:AT43" si="31">SUMIF(INDEX(SetBonusLookup, 0, 1), "="&amp;AA26, INDEX(SetBonusLookup, 0, MATCH("WSSet2Gear", INDEX(SetBonusLookup, 1, 0), 0)))</f>
        <v>0</v>
      </c>
      <c r="AB43">
        <f t="shared" si="31"/>
        <v>0</v>
      </c>
      <c r="AC43">
        <f t="shared" ca="1" si="31"/>
        <v>0</v>
      </c>
      <c r="AD43">
        <f ca="1">SUMIF(INDEX(SetBonusLookup, 0, 1), "="&amp;AD26, INDEX(SetBonusLookup, 0, MATCH("WSSet2Gear", INDEX(SetBonusLookup, 1, 0), 0)))</f>
        <v>0</v>
      </c>
      <c r="AE43">
        <f t="shared" si="31"/>
        <v>0</v>
      </c>
      <c r="AF43">
        <f t="shared" si="31"/>
        <v>0</v>
      </c>
      <c r="AG43">
        <f t="shared" ca="1" si="31"/>
        <v>15</v>
      </c>
      <c r="AH43" s="89">
        <f t="shared" ca="1" si="31"/>
        <v>0</v>
      </c>
      <c r="AI43" s="89">
        <f t="shared" ca="1" si="31"/>
        <v>0</v>
      </c>
      <c r="AJ43" s="89">
        <f t="shared" si="31"/>
        <v>0</v>
      </c>
      <c r="AK43" s="89">
        <f t="shared" ca="1" si="31"/>
        <v>0</v>
      </c>
      <c r="AL43" s="89">
        <f t="shared" ca="1" si="31"/>
        <v>0</v>
      </c>
      <c r="AM43" s="89">
        <f t="shared" si="31"/>
        <v>0</v>
      </c>
      <c r="AN43" s="89">
        <f t="shared" si="31"/>
        <v>0</v>
      </c>
      <c r="AO43" s="89">
        <f t="shared" si="31"/>
        <v>0</v>
      </c>
      <c r="AP43">
        <f t="shared" si="31"/>
        <v>0</v>
      </c>
      <c r="AQ43">
        <f t="shared" si="31"/>
        <v>0</v>
      </c>
      <c r="AT43">
        <f t="shared" si="31"/>
        <v>0</v>
      </c>
      <c r="AU43" s="200">
        <f t="shared" ca="1" si="26"/>
        <v>0</v>
      </c>
    </row>
    <row r="44" spans="1:47">
      <c r="A44" t="s">
        <v>470</v>
      </c>
      <c r="C44" s="32"/>
      <c r="D44" s="32"/>
      <c r="E44" s="32"/>
      <c r="F44" s="32"/>
      <c r="G44" s="32"/>
      <c r="H44" s="32"/>
      <c r="I44" s="32"/>
      <c r="J44" s="34"/>
      <c r="K44" s="34"/>
      <c r="L44" s="34"/>
      <c r="M44" s="34"/>
      <c r="N44" s="34"/>
      <c r="O44" s="34"/>
      <c r="P44" s="34"/>
      <c r="Q44" s="36"/>
      <c r="R44" s="36"/>
      <c r="S44" s="36"/>
      <c r="T44" s="36"/>
      <c r="U44" s="36"/>
      <c r="V44" s="32"/>
      <c r="X44" t="str">
        <f>IF(AND(C44=AA44, D44=AB44, E44=AC44, F44=AD44, G44=AE44, H44=AF44, I44=AG44, J44=AH44, K44=AI44, L44=AJ44, M44=AK44, N44=AL44, O44=AM44, P44=AN44, Q44=AO44, R44=AP44, S44=AQ44, V44=AT44), "=", "-")</f>
        <v>=</v>
      </c>
      <c r="Y44" t="s">
        <v>470</v>
      </c>
      <c r="AA44" s="32"/>
      <c r="AB44" s="32"/>
      <c r="AC44" s="32"/>
      <c r="AD44" s="32"/>
      <c r="AE44" s="32"/>
      <c r="AF44" s="32"/>
      <c r="AG44" s="32"/>
      <c r="AH44" s="34"/>
      <c r="AI44" s="34"/>
      <c r="AJ44" s="34"/>
      <c r="AK44" s="34"/>
      <c r="AL44" s="34"/>
      <c r="AM44" s="34"/>
      <c r="AN44" s="36"/>
      <c r="AO44" s="36"/>
      <c r="AP44" s="36"/>
      <c r="AQ44" s="36"/>
      <c r="AR44" s="36"/>
      <c r="AS44" s="36"/>
      <c r="AT44" s="32"/>
    </row>
    <row r="45" spans="1:47"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</row>
    <row r="46" spans="1:47">
      <c r="A46" t="s">
        <v>7</v>
      </c>
      <c r="C46">
        <f ca="1">SUM(C27:C44)</f>
        <v>0</v>
      </c>
      <c r="D46">
        <f ca="1">SUM(D27:D44)</f>
        <v>225</v>
      </c>
      <c r="E46">
        <f t="shared" ref="E46:R46" ca="1" si="32">SUM(E27:E44)</f>
        <v>239</v>
      </c>
      <c r="F46">
        <f ca="1">SUM(F27:F44)</f>
        <v>210</v>
      </c>
      <c r="G46">
        <f ca="1">SUM(G27:G44)</f>
        <v>134</v>
      </c>
      <c r="H46">
        <f t="shared" ca="1" si="32"/>
        <v>444</v>
      </c>
      <c r="I46">
        <f t="shared" ca="1" si="32"/>
        <v>272</v>
      </c>
      <c r="J46" s="2">
        <f t="shared" ca="1" si="32"/>
        <v>0.08</v>
      </c>
      <c r="K46" s="2">
        <f t="shared" ca="1" si="32"/>
        <v>0.11</v>
      </c>
      <c r="L46" s="2">
        <f t="shared" ca="1" si="32"/>
        <v>0</v>
      </c>
      <c r="M46" s="2">
        <f t="shared" ca="1" si="32"/>
        <v>0.1</v>
      </c>
      <c r="N46" s="2">
        <f t="shared" ca="1" si="32"/>
        <v>0.05</v>
      </c>
      <c r="O46" s="2">
        <f t="shared" ca="1" si="32"/>
        <v>0</v>
      </c>
      <c r="P46" s="2">
        <f t="shared" ca="1" si="32"/>
        <v>0.35</v>
      </c>
      <c r="Q46" s="2">
        <f t="shared" ca="1" si="32"/>
        <v>0</v>
      </c>
      <c r="R46">
        <f t="shared" ca="1" si="32"/>
        <v>0</v>
      </c>
      <c r="S46" s="4">
        <f ca="1">SUM(S27:S44)/1024</f>
        <v>0</v>
      </c>
      <c r="T46" s="4"/>
      <c r="U46" s="4"/>
      <c r="V46">
        <f ca="1">SUM(V27:V44)</f>
        <v>22</v>
      </c>
      <c r="W46" s="200">
        <f ca="1">SUM(W27:W44)</f>
        <v>0.1</v>
      </c>
      <c r="Y46" t="s">
        <v>7</v>
      </c>
      <c r="AA46">
        <f ca="1">SUM(AA27:AA44)</f>
        <v>0</v>
      </c>
      <c r="AB46">
        <f ca="1">SUM(AB27:AB44)</f>
        <v>263</v>
      </c>
      <c r="AC46">
        <f t="shared" ref="AC46:AU46" ca="1" si="33">SUM(AC27:AC44)</f>
        <v>192</v>
      </c>
      <c r="AD46">
        <f ca="1">SUM(AD27:AD44)</f>
        <v>210</v>
      </c>
      <c r="AE46">
        <f ca="1">SUM(AE27:AE44)</f>
        <v>134</v>
      </c>
      <c r="AF46">
        <f t="shared" ca="1" si="33"/>
        <v>391</v>
      </c>
      <c r="AG46">
        <f t="shared" ca="1" si="33"/>
        <v>305</v>
      </c>
      <c r="AH46" s="2">
        <f t="shared" ca="1" si="33"/>
        <v>0.08</v>
      </c>
      <c r="AI46" s="2">
        <f t="shared" ca="1" si="33"/>
        <v>0.11</v>
      </c>
      <c r="AJ46" s="2">
        <f t="shared" ca="1" si="33"/>
        <v>0</v>
      </c>
      <c r="AK46" s="2">
        <f t="shared" ca="1" si="33"/>
        <v>0.1</v>
      </c>
      <c r="AL46" s="2">
        <f t="shared" ca="1" si="33"/>
        <v>0</v>
      </c>
      <c r="AM46" s="2">
        <f t="shared" ca="1" si="33"/>
        <v>0</v>
      </c>
      <c r="AN46" s="2">
        <f t="shared" ca="1" si="33"/>
        <v>0.35</v>
      </c>
      <c r="AO46" s="2">
        <f t="shared" ca="1" si="33"/>
        <v>0</v>
      </c>
      <c r="AP46">
        <f t="shared" ca="1" si="33"/>
        <v>750</v>
      </c>
      <c r="AQ46" s="4">
        <f ca="1">SUM(AQ27:AQ44)/1024</f>
        <v>0</v>
      </c>
      <c r="AR46" s="4"/>
      <c r="AS46" s="4"/>
      <c r="AT46">
        <f t="shared" ca="1" si="33"/>
        <v>27</v>
      </c>
      <c r="AU46" s="200">
        <f t="shared" ca="1" si="33"/>
        <v>0.1</v>
      </c>
    </row>
    <row r="47" spans="1:47">
      <c r="A47" s="9" t="s">
        <v>101</v>
      </c>
      <c r="B47" s="133">
        <f ca="1">Data!D282</f>
        <v>11843.193674051365</v>
      </c>
      <c r="Y47" s="9" t="s">
        <v>101</v>
      </c>
      <c r="Z47" s="133">
        <f ca="1">Data!E282</f>
        <v>11908.793388109687</v>
      </c>
    </row>
    <row r="48" spans="1:47">
      <c r="A48" s="31" t="s">
        <v>527</v>
      </c>
      <c r="B48" s="4">
        <f ca="1">Data!D283</f>
        <v>3.3530553862946908</v>
      </c>
      <c r="Y48" s="31" t="s">
        <v>527</v>
      </c>
      <c r="Z48" s="4">
        <f ca="1">Data!E283</f>
        <v>3.1018835906170636</v>
      </c>
    </row>
  </sheetData>
  <phoneticPr fontId="2" type="noConversion"/>
  <conditionalFormatting sqref="X29:X44 X3:X20">
    <cfRule type="cellIs" dxfId="2" priority="1" stopIfTrue="1" operator="equal">
      <formula>"="</formula>
    </cfRule>
    <cfRule type="cellIs" dxfId="1" priority="2" stopIfTrue="1" operator="equal">
      <formula>"-"</formula>
    </cfRule>
  </conditionalFormatting>
  <dataValidations count="14">
    <dataValidation type="list" allowBlank="1" showInputMessage="1" showErrorMessage="1" sqref="B3:B4 Z3:Z4 B6 Z6 B30 Z30">
      <formula1>INDIRECT(A3&amp;"List")</formula1>
    </dataValidation>
    <dataValidation type="list" allowBlank="1" showInputMessage="1" showErrorMessage="1" sqref="B7 B31 Z31 Z7">
      <formula1>HeadList</formula1>
    </dataValidation>
    <dataValidation type="list" allowBlank="1" showInputMessage="1" showErrorMessage="1" sqref="B8 B32 Z32 Z8">
      <formula1>NeckList</formula1>
    </dataValidation>
    <dataValidation type="list" allowBlank="1" showInputMessage="1" showErrorMessage="1" sqref="B9:B10 B33:B34 Z33:Z34 Z9:Z10">
      <formula1>EarringList</formula1>
    </dataValidation>
    <dataValidation type="list" allowBlank="1" showInputMessage="1" showErrorMessage="1" sqref="Z11 Z35 B35 B11">
      <formula1>BodyList</formula1>
    </dataValidation>
    <dataValidation type="list" allowBlank="1" showInputMessage="1" showErrorMessage="1" sqref="B12 B36 Z36 Z12">
      <formula1>HandsList</formula1>
    </dataValidation>
    <dataValidation type="list" allowBlank="1" showInputMessage="1" showErrorMessage="1" sqref="B13:B14 B37:B38 Z37:Z38 Z13:Z14">
      <formula1>RingList</formula1>
    </dataValidation>
    <dataValidation type="list" allowBlank="1" showInputMessage="1" showErrorMessage="1" sqref="B15 B39 Z39 Z15">
      <formula1>BackList</formula1>
    </dataValidation>
    <dataValidation type="list" allowBlank="1" showInputMessage="1" showErrorMessage="1" sqref="B16 B40 Z40 Z16">
      <formula1>WaistList</formula1>
    </dataValidation>
    <dataValidation type="list" allowBlank="1" showInputMessage="1" showErrorMessage="1" sqref="B17 B41 Z41 Z17">
      <formula1>LegsList</formula1>
    </dataValidation>
    <dataValidation type="list" allowBlank="1" showInputMessage="1" showErrorMessage="1" sqref="Z18 Z42 B42 B18">
      <formula1>FeetList</formula1>
    </dataValidation>
    <dataValidation type="list" allowBlank="1" showInputMessage="1" showErrorMessage="1" sqref="B5 B29 Z29 Z5">
      <formula1>RangedList</formula1>
    </dataValidation>
    <dataValidation type="list" allowBlank="1" showInputMessage="1" showErrorMessage="1" sqref="A4 Y4">
      <formula1>OffhandWeapon</formula1>
    </dataValidation>
    <dataValidation type="list" allowBlank="1" showInputMessage="1" showErrorMessage="1" sqref="A6 Y6 A30 Y30">
      <formula1>ThrowingWeapon</formula1>
    </dataValidation>
  </dataValidations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B6"/>
  <sheetViews>
    <sheetView workbookViewId="0">
      <selection activeCell="A3" sqref="A3"/>
    </sheetView>
  </sheetViews>
  <sheetFormatPr defaultRowHeight="12.75"/>
  <cols>
    <col min="1" max="1" width="60.5703125" style="200" bestFit="1" customWidth="1"/>
    <col min="2" max="2" width="9.140625" style="200"/>
    <col min="3" max="3" width="9.140625" style="200" customWidth="1"/>
    <col min="4" max="16384" width="9.140625" style="200"/>
  </cols>
  <sheetData>
    <row r="1" spans="1:2">
      <c r="A1" s="9" t="s">
        <v>896</v>
      </c>
      <c r="B1" s="202"/>
    </row>
    <row r="2" spans="1:2">
      <c r="A2" s="9" t="s">
        <v>920</v>
      </c>
    </row>
    <row r="3" spans="1:2">
      <c r="A3" s="202"/>
    </row>
    <row r="4" spans="1:2">
      <c r="A4" s="9" t="s">
        <v>919</v>
      </c>
    </row>
    <row r="5" spans="1:2">
      <c r="A5" s="202" t="s">
        <v>917</v>
      </c>
    </row>
    <row r="6" spans="1:2">
      <c r="A6" s="202" t="s">
        <v>918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1"/>
  </sheetPr>
  <dimension ref="A1:P286"/>
  <sheetViews>
    <sheetView zoomScale="200" zoomScaleNormal="200" workbookViewId="0"/>
  </sheetViews>
  <sheetFormatPr defaultRowHeight="12.75"/>
  <cols>
    <col min="1" max="1" width="18.7109375" customWidth="1"/>
    <col min="2" max="5" width="11.7109375" customWidth="1"/>
    <col min="6" max="6" width="16.85546875" customWidth="1"/>
    <col min="7" max="8" width="11.7109375" customWidth="1"/>
    <col min="9" max="10" width="8.7109375" customWidth="1"/>
    <col min="11" max="11" width="13.42578125" customWidth="1"/>
    <col min="12" max="12" width="12.7109375" customWidth="1"/>
    <col min="13" max="13" width="9.28515625" customWidth="1"/>
    <col min="14" max="14" width="12.7109375" customWidth="1"/>
  </cols>
  <sheetData>
    <row r="1" spans="1:16">
      <c r="A1" t="str">
        <f>Setup!B4</f>
        <v>Hume</v>
      </c>
      <c r="B1">
        <f>Setup!B5</f>
        <v>99</v>
      </c>
      <c r="C1" s="9" t="s">
        <v>201</v>
      </c>
      <c r="D1" t="str">
        <f>Setup!B6</f>
        <v>War</v>
      </c>
      <c r="E1" t="str">
        <f>Setup!B7</f>
        <v>Sublime Sushi +1</v>
      </c>
      <c r="K1" t="s">
        <v>31</v>
      </c>
      <c r="L1" t="str">
        <f>Setup!N1</f>
        <v>Apex Bat (136)</v>
      </c>
      <c r="M1" t="s">
        <v>35</v>
      </c>
      <c r="N1" t="s">
        <v>36</v>
      </c>
      <c r="O1" s="202" t="s">
        <v>149</v>
      </c>
      <c r="P1" s="202" t="s">
        <v>151</v>
      </c>
    </row>
    <row r="2" spans="1:16">
      <c r="B2" t="s">
        <v>258</v>
      </c>
      <c r="C2" t="s">
        <v>78</v>
      </c>
      <c r="D2" t="s">
        <v>437</v>
      </c>
      <c r="E2" t="s">
        <v>438</v>
      </c>
      <c r="F2" t="s">
        <v>259</v>
      </c>
      <c r="G2" t="s">
        <v>261</v>
      </c>
      <c r="H2" t="s">
        <v>260</v>
      </c>
      <c r="I2" t="s">
        <v>262</v>
      </c>
      <c r="K2" t="s">
        <v>32</v>
      </c>
      <c r="L2">
        <f>Setup!N2</f>
        <v>136</v>
      </c>
    </row>
    <row r="3" spans="1:16">
      <c r="A3" t="s">
        <v>3</v>
      </c>
      <c r="B3">
        <f>HLOOKUP(A3, PlayerStats, 2, 0) + Setup!B10</f>
        <v>107</v>
      </c>
      <c r="C3" s="7">
        <f>IF(ISBLANK($E$1), 0, VLOOKUP($E$1, Food, MATCH(A3, FoodHeader, 0), 0))</f>
        <v>7</v>
      </c>
      <c r="D3">
        <f>IF(Setup!F$18=1, Setup!F$19, 0)</f>
        <v>0</v>
      </c>
      <c r="E3">
        <f>IF(Setup!G$18=1, Setup!G$19, 0)</f>
        <v>0</v>
      </c>
      <c r="F3" s="39">
        <f>IF(Setup!F$18=1, IF(ISBLANK(K$11),0,VLOOKUP(K$11,AtmaList,MATCH($A3,AtmaHeader,0), FALSE))+IF(ISBLANK(K$12),0,VLOOKUP(K$12,AtmaList,MATCH($A3,AtmaHeader,0), FALSE))+IF(ISBLANK(K$13),0,VLOOKUP(K$13,AtmaList,MATCH($A3,AtmaHeader,0), FALSE)), 0)</f>
        <v>0</v>
      </c>
      <c r="G3" s="39">
        <f>IF(Setup!G$18=1, IF(ISBLANK(L$11),0,VLOOKUP(L$11,AtmaList,MATCH($A3,AtmaHeader,0), FALSE))+IF(ISBLANK(L$12),0,VLOOKUP(L$12,AtmaList,MATCH($A3,AtmaHeader,0), FALSE))+IF(ISBLANK(L$13),0,VLOOKUP(L$13,AtmaList,MATCH($A3,AtmaHeader,0), FALSE)), 0)</f>
        <v>0</v>
      </c>
      <c r="H3" s="39">
        <f>B3+C3+D3+F3</f>
        <v>114</v>
      </c>
      <c r="I3" s="39">
        <f>B3+C3+E3+G3</f>
        <v>114</v>
      </c>
      <c r="K3" t="s">
        <v>33</v>
      </c>
      <c r="L3">
        <f>Setup!N3</f>
        <v>1439</v>
      </c>
      <c r="N3">
        <f>IF(VLOOKUP($L$1,Mobs,MATCH("Level Correct",MobHeader,0),FALSE) = "Yes", IF(L2&gt;($B$1+1),0.05*(L2-($B$1+1)),0), 0)</f>
        <v>0</v>
      </c>
      <c r="O3" s="202">
        <f>Setup!$O$5</f>
        <v>1147</v>
      </c>
      <c r="P3" s="202">
        <f>Setup!$P$5</f>
        <v>1147</v>
      </c>
    </row>
    <row r="4" spans="1:16">
      <c r="A4" t="s">
        <v>4</v>
      </c>
      <c r="B4">
        <f>HLOOKUP(A4, PlayerStats, 2, 0) + Setup!B11</f>
        <v>106</v>
      </c>
      <c r="C4" s="7">
        <f>IF(ISBLANK($E$1), 0, VLOOKUP($E$1, Food, MATCH(A4, FoodHeader, 0), 0))</f>
        <v>8</v>
      </c>
      <c r="D4">
        <f>IF(Setup!F$18=1, Setup!F$19, 0)</f>
        <v>0</v>
      </c>
      <c r="E4">
        <f>IF(Setup!G$18=1, Setup!G$19, 0)</f>
        <v>0</v>
      </c>
      <c r="F4" s="39">
        <f>IF(Setup!F$18=1, IF(ISBLANK(K$11),0,VLOOKUP(K$11,AtmaList,MATCH($A4,AtmaHeader,0), FALSE))+IF(ISBLANK(K$12),0,VLOOKUP(K$12,AtmaList,MATCH($A4,AtmaHeader,0), FALSE))+IF(ISBLANK(K$13),0,VLOOKUP(K$13,AtmaList,MATCH($A4,AtmaHeader,0), FALSE)), 0)</f>
        <v>0</v>
      </c>
      <c r="G4" s="39">
        <f>IF(Setup!G$18=1, IF(ISBLANK(L$11),0,VLOOKUP(L$11,AtmaList,MATCH($A4,AtmaHeader,0), FALSE))+IF(ISBLANK(L$12),0,VLOOKUP(L$12,AtmaList,MATCH($A4,AtmaHeader,0), FALSE))+IF(ISBLANK(L$13),0,VLOOKUP(L$13,AtmaList,MATCH($A4,AtmaHeader,0), FALSE)), 0)</f>
        <v>0</v>
      </c>
      <c r="H4" s="39">
        <f>B4+C4+D4+F4</f>
        <v>114</v>
      </c>
      <c r="I4" s="39">
        <f>B4+C4+E4+G4</f>
        <v>114</v>
      </c>
      <c r="K4" t="s">
        <v>34</v>
      </c>
      <c r="L4">
        <f>Setup!N6</f>
        <v>1254</v>
      </c>
      <c r="N4">
        <f>IF(VLOOKUP($L$1,Mobs,MATCH("Level Correct",MobHeader,0),FALSE)="Yes",MAX((L2-($B$1+1))*4,0),0)</f>
        <v>0</v>
      </c>
      <c r="O4">
        <f>Setup!$O$6</f>
        <v>1254</v>
      </c>
      <c r="P4">
        <f>Setup!$P$6</f>
        <v>1254</v>
      </c>
    </row>
    <row r="5" spans="1:16">
      <c r="A5" t="s">
        <v>42</v>
      </c>
      <c r="B5">
        <f>HLOOKUP(A5, PlayerStats, 2, 0) + Setup!B12</f>
        <v>106</v>
      </c>
      <c r="C5" s="7">
        <f>IF(ISBLANK($E$1), 0, VLOOKUP($E$1, Food, MATCH(A5, FoodHeader, 0), 0))</f>
        <v>0</v>
      </c>
      <c r="D5">
        <f>IF(Setup!F$18=1, Setup!F$19, 0)</f>
        <v>0</v>
      </c>
      <c r="E5">
        <f>IF(Setup!G$18=1, Setup!G$19, 0)</f>
        <v>0</v>
      </c>
      <c r="F5" s="39">
        <f>IF(Setup!F$18=1, IF(ISBLANK(K$11),0,VLOOKUP(K$11,AtmaList,MATCH($A5,AtmaHeader,0), FALSE))+IF(ISBLANK(K$12),0,VLOOKUP(K$12,AtmaList,MATCH($A5,AtmaHeader,0), FALSE))+IF(ISBLANK(K$13),0,VLOOKUP(K$13,AtmaList,MATCH($A5,AtmaHeader,0), FALSE)), 0)</f>
        <v>0</v>
      </c>
      <c r="G5" s="39">
        <f>IF(Setup!G$18=1, IF(ISBLANK(L$11),0,VLOOKUP(L$11,AtmaList,MATCH($A5,AtmaHeader,0), FALSE))+IF(ISBLANK(L$12),0,VLOOKUP(L$12,AtmaList,MATCH($A5,AtmaHeader,0), FALSE))+IF(ISBLANK(L$13),0,VLOOKUP(L$13,AtmaList,MATCH($A5,AtmaHeader,0), FALSE)), 0)</f>
        <v>0</v>
      </c>
      <c r="H5" s="39">
        <f>B5+C5+D5+F5</f>
        <v>106</v>
      </c>
      <c r="I5" s="39">
        <f>B5+C5+E5+G5</f>
        <v>106</v>
      </c>
      <c r="K5" t="s">
        <v>42</v>
      </c>
      <c r="L5">
        <f>Setup!N8</f>
        <v>290</v>
      </c>
    </row>
    <row r="6" spans="1:16">
      <c r="A6" t="s">
        <v>208</v>
      </c>
      <c r="B6">
        <f>HLOOKUP(A6, PlayerStats, 2, 0) + Setup!B13</f>
        <v>82.05</v>
      </c>
      <c r="C6" s="7">
        <f>IF(ISBLANK($E$1), 0, VLOOKUP($E$1, Food, MATCH(A6, FoodHeader, 0), 0))</f>
        <v>0</v>
      </c>
      <c r="D6">
        <f>IF(Setup!F$18=1, Setup!F$19, 0)</f>
        <v>0</v>
      </c>
      <c r="E6">
        <f>IF(Setup!G$18=1, Setup!G$19, 0)</f>
        <v>0</v>
      </c>
      <c r="F6" s="39">
        <f>IF(Setup!F$18=1, IF(ISBLANK(K$11),0,VLOOKUP(K$11,AtmaList,MATCH($A6,AtmaHeader,0), FALSE))+IF(ISBLANK(K$12),0,VLOOKUP(K$12,AtmaList,MATCH($A6,AtmaHeader,0), FALSE))+IF(ISBLANK(K$13),0,VLOOKUP(K$13,AtmaList,MATCH($A6,AtmaHeader,0), FALSE)), 0)</f>
        <v>0</v>
      </c>
      <c r="G6" s="39">
        <f>IF(Setup!G$18=1, IF(ISBLANK(L$11),0,VLOOKUP(L$11,AtmaList,MATCH($A6,AtmaHeader,0), FALSE))+IF(ISBLANK(L$12),0,VLOOKUP(L$12,AtmaList,MATCH($A6,AtmaHeader,0), FALSE))+IF(ISBLANK(L$13),0,VLOOKUP(L$13,AtmaList,MATCH($A6,AtmaHeader,0), FALSE)), 0)</f>
        <v>0</v>
      </c>
      <c r="H6" s="39">
        <f>B6+C6+D6+F6</f>
        <v>82.05</v>
      </c>
      <c r="I6" s="39">
        <f>B6+C6+E6+G6</f>
        <v>82.05</v>
      </c>
      <c r="K6" t="s">
        <v>5</v>
      </c>
      <c r="L6">
        <f>Setup!N7</f>
        <v>281</v>
      </c>
    </row>
    <row r="7" spans="1:16">
      <c r="K7" t="s">
        <v>428</v>
      </c>
      <c r="L7" s="2">
        <f>Setup!N9</f>
        <v>0</v>
      </c>
    </row>
    <row r="8" spans="1:16">
      <c r="A8" t="s">
        <v>78</v>
      </c>
      <c r="B8" s="31" t="s">
        <v>263</v>
      </c>
      <c r="C8" t="s">
        <v>58</v>
      </c>
      <c r="D8" t="s">
        <v>57</v>
      </c>
      <c r="E8" t="s">
        <v>259</v>
      </c>
      <c r="F8" t="s">
        <v>261</v>
      </c>
      <c r="K8" t="s">
        <v>429</v>
      </c>
      <c r="L8" s="2">
        <f>Setup!N10</f>
        <v>0</v>
      </c>
    </row>
    <row r="9" spans="1:16">
      <c r="A9" t="s">
        <v>9</v>
      </c>
      <c r="B9" s="2">
        <f>IF(ISBLANK($E$1), 0, VLOOKUP($E$1, Food, MATCH("Att Mult", FoodHeader, 0), 0))</f>
        <v>0</v>
      </c>
      <c r="C9" s="35">
        <f>IF(ISBLANK($E$1), 0, VLOOKUP($E$1, Food, MATCH("Att Mult Cap", FoodHeader, 0), 0))</f>
        <v>0</v>
      </c>
      <c r="D9" s="35">
        <f>IF(ISBLANK($E$1), 0, VLOOKUP($E$1, Food, MATCH("Att Add", FoodHeader, 0), 0))</f>
        <v>0</v>
      </c>
      <c r="E9" s="39">
        <f>IF(Setup!F$18=1, IF(ISBLANK(K$11),0,VLOOKUP(K$11,AtmaList,MATCH($A9,AtmaHeader,0), FALSE))+IF(ISBLANK(K$12),0,VLOOKUP(K$12,AtmaList,MATCH($A9,AtmaHeader,0), FALSE))+IF(ISBLANK(K$13),0,VLOOKUP(K$13,AtmaList,MATCH($A9,AtmaHeader,0), FALSE)), 0)</f>
        <v>0</v>
      </c>
      <c r="F9" s="39">
        <f>IF(Setup!G$18=1, IF(ISBLANK(L$11),0,VLOOKUP(L$11,AtmaList,MATCH($A9,AtmaHeader,0), FALSE))+IF(ISBLANK(L$12),0,VLOOKUP(L$12,AtmaList,MATCH($A9,AtmaHeader,0), FALSE))+IF(ISBLANK(L$13),0,VLOOKUP(L$13,AtmaList,MATCH($A9,AtmaHeader,0), FALSE)), 0)</f>
        <v>0</v>
      </c>
      <c r="G9" t="s">
        <v>264</v>
      </c>
      <c r="H9">
        <f>IF(D1="War", 10, 0)+SUM('Other Lists'!$B$150                                                                                                     : INDEX('Other Lists'!$B$150:$Z$150,1,MATCH(Setup!$B$20,'Other Lists'!$B$149:$Z$149,1)))</f>
        <v>80</v>
      </c>
      <c r="M9" s="200"/>
    </row>
    <row r="10" spans="1:16">
      <c r="A10" t="s">
        <v>10</v>
      </c>
      <c r="B10" s="2">
        <f>IF(ISBLANK($E$1), 0, VLOOKUP($E$1, Food, MATCH("Acc Mult", FoodHeader, 0), 0))</f>
        <v>0.11</v>
      </c>
      <c r="C10" s="35">
        <f>IF(ISBLANK($E$1), 0, VLOOKUP($E$1, Food, MATCH("Acc Mult Cap", FoodHeader, 0), 0))</f>
        <v>105</v>
      </c>
      <c r="D10" s="35">
        <f>IF(ISBLANK($E$1), 0, VLOOKUP($E$1, Food, MATCH("Acc Add", FoodHeader, 0), 0))</f>
        <v>0</v>
      </c>
      <c r="E10" s="39">
        <f>IF(Setup!F$18=1, IF(ISBLANK(K$11),0,VLOOKUP(K$11,AtmaList,MATCH($A10,AtmaHeader,0), FALSE))+IF(ISBLANK(K$12),0,VLOOKUP(K$12,AtmaList,MATCH($A10,AtmaHeader,0), FALSE))+IF(ISBLANK(K$13),0,VLOOKUP(K$13,AtmaList,MATCH($A10,AtmaHeader,0), FALSE)), 0)</f>
        <v>0</v>
      </c>
      <c r="F10" s="39">
        <f>IF(Setup!G$18=1, IF(ISBLANK(L$11),0,VLOOKUP(L$11,AtmaList,MATCH($A10,AtmaHeader,0), FALSE))+IF(ISBLANK(L$12),0,VLOOKUP(L$12,AtmaList,MATCH($A10,AtmaHeader,0), FALSE))+IF(ISBLANK(L$13),0,VLOOKUP(L$13,AtmaList,MATCH($A10,AtmaHeader,0), FALSE)), 0)</f>
        <v>0</v>
      </c>
      <c r="G10" t="s">
        <v>148</v>
      </c>
      <c r="H10">
        <f>IF(D1="Dnc", 10, 0)+SUM('Other Lists'!$B$151                                                                                                     : INDEX('Other Lists'!$B$151:$Z$151,1,MATCH(Setup!$B$20,'Other Lists'!$B$149:$Z$149,1)))</f>
        <v>56</v>
      </c>
      <c r="K10" s="9" t="s">
        <v>265</v>
      </c>
      <c r="L10" s="9" t="s">
        <v>266</v>
      </c>
      <c r="M10" s="9"/>
    </row>
    <row r="11" spans="1:16">
      <c r="K11" s="31" t="str">
        <f>Setup!F20</f>
        <v>Razed Ruin</v>
      </c>
      <c r="L11" s="31" t="str">
        <f>Setup!G20</f>
        <v>Razed Ruin</v>
      </c>
      <c r="M11" s="202"/>
    </row>
    <row r="12" spans="1:16">
      <c r="B12" s="2" t="s">
        <v>2</v>
      </c>
      <c r="C12" s="7" t="s">
        <v>259</v>
      </c>
      <c r="D12" s="7" t="s">
        <v>261</v>
      </c>
      <c r="G12" s="132" t="s">
        <v>149</v>
      </c>
      <c r="H12" s="132" t="s">
        <v>151</v>
      </c>
      <c r="I12" s="12"/>
      <c r="K12" s="31" t="str">
        <f>Setup!F21</f>
        <v>Gnarled Horn</v>
      </c>
      <c r="L12" s="31" t="str">
        <f>Setup!G21</f>
        <v>Gnarled Horn</v>
      </c>
      <c r="M12" s="202"/>
    </row>
    <row r="13" spans="1:16">
      <c r="A13" t="s">
        <v>12</v>
      </c>
      <c r="B13" s="2">
        <f>IF(D1="War", 10%, 0%)</f>
        <v>0.1</v>
      </c>
      <c r="C13" s="12">
        <f>IF(Setup!F$18=1, IF(ISBLANK(K$11),0,VLOOKUP(K$11,AtmaList,MATCH($A13,AtmaHeader,0), FALSE))+IF(ISBLANK(K$12),0,VLOOKUP(K$12,AtmaList,MATCH($A13,AtmaHeader,0), FALSE))+IF(ISBLANK(K$13),0,VLOOKUP(K$13,AtmaList,MATCH($A13,AtmaHeader,0), FALSE)), 0)</f>
        <v>0</v>
      </c>
      <c r="D13" s="12">
        <f>IF(Setup!G$18=1, IF(ISBLANK(L$11),0,VLOOKUP(L$11,AtmaList,MATCH($A13,AtmaHeader,0), FALSE))+IF(ISBLANK(L$12),0,VLOOKUP(L$12,AtmaList,MATCH($A13,AtmaHeader,0), FALSE))+IF(ISBLANK(L$13),0,VLOOKUP(L$13,AtmaList,MATCH($A13,AtmaHeader,0), FALSE)), 0)</f>
        <v>0</v>
      </c>
      <c r="F13" s="9" t="s">
        <v>524</v>
      </c>
      <c r="G13" t="str">
        <f>Gear!A3</f>
        <v>Katana</v>
      </c>
      <c r="H13" t="str">
        <f>Gear!Y3</f>
        <v>Katana</v>
      </c>
      <c r="K13" s="31" t="str">
        <f>Setup!F22</f>
        <v>Apocalypse</v>
      </c>
      <c r="L13" s="31" t="str">
        <f>Setup!G22</f>
        <v>Apocalypse</v>
      </c>
      <c r="M13" s="202"/>
    </row>
    <row r="14" spans="1:16">
      <c r="A14" t="s">
        <v>152</v>
      </c>
      <c r="B14" s="12">
        <f>0%</f>
        <v>0</v>
      </c>
      <c r="C14" s="12">
        <f>IF(Setup!F$18=1, IF(ISBLANK(K$11),0,VLOOKUP(K$11,AtmaList,MATCH($A14,AtmaHeader,0), FALSE))+IF(ISBLANK(K$12),0,VLOOKUP(K$12,AtmaList,MATCH($A14,AtmaHeader,0), FALSE))+IF(ISBLANK(K$13),0,VLOOKUP(K$13,AtmaList,MATCH($A14,AtmaHeader,0), FALSE)), 0)</f>
        <v>0</v>
      </c>
      <c r="D14" s="12">
        <f>IF(Setup!G$18=1, IF(ISBLANK(L$11),0,VLOOKUP(L$11,AtmaList,MATCH($A14,AtmaHeader,0), FALSE))+IF(ISBLANK(L$12),0,VLOOKUP(L$12,AtmaList,MATCH($A14,AtmaHeader,0), FALSE))+IF(ISBLANK(L$13),0,VLOOKUP(L$13,AtmaList,MATCH($A14,AtmaHeader,0), FALSE)), 0)</f>
        <v>0</v>
      </c>
      <c r="F14" s="31" t="s">
        <v>61</v>
      </c>
      <c r="G14" s="31">
        <f ca="1">VLOOKUP(Gear!$B$3, INDIRECT(Gear!$A$3), MATCH($F14, StatHeader, 0), 0)</f>
        <v>156</v>
      </c>
      <c r="H14" s="31">
        <f ca="1">VLOOKUP(Gear!$Z$3, INDIRECT(Gear!$Y$3), MATCH($F14, StatHeader, 0), 0)</f>
        <v>166</v>
      </c>
      <c r="K14" s="39"/>
      <c r="L14" s="2"/>
      <c r="M14" s="201"/>
    </row>
    <row r="15" spans="1:16">
      <c r="A15" t="s">
        <v>267</v>
      </c>
      <c r="B15" s="2"/>
      <c r="D15" s="2"/>
      <c r="F15" s="31" t="s">
        <v>62</v>
      </c>
      <c r="G15" s="31">
        <f ca="1">VLOOKUP(Gear!$B$3, INDIRECT(Gear!$A$3), MATCH($F15, StatHeader, 0), 0)</f>
        <v>210</v>
      </c>
      <c r="H15" s="31">
        <f ca="1">VLOOKUP(Gear!$Z$3, INDIRECT(Gear!$Y$3), MATCH($F15, StatHeader, 0), 0)</f>
        <v>227</v>
      </c>
      <c r="L15" s="2"/>
      <c r="M15" s="201"/>
    </row>
    <row r="16" spans="1:16">
      <c r="A16" s="39" t="s">
        <v>106</v>
      </c>
      <c r="B16" s="2">
        <v>0</v>
      </c>
      <c r="C16" s="12">
        <f>IF(Setup!F$18=1, IF(ISBLANK(K$11),0,VLOOKUP(K$11,AtmaList,MATCH($A16,AtmaHeader,0), FALSE))+IF(ISBLANK(K$12),0,VLOOKUP(K$12,AtmaList,MATCH($A16,AtmaHeader,0), FALSE))+IF(ISBLANK(K$13),0,VLOOKUP(K$13,AtmaList,MATCH($A16,AtmaHeader,0), FALSE)), 0)</f>
        <v>0</v>
      </c>
      <c r="D16" s="12">
        <f>IF(Setup!G$18=1, IF(ISBLANK(L$11),0,VLOOKUP(L$11,AtmaList,MATCH($A16,AtmaHeader,0), FALSE))+IF(ISBLANK(L$12),0,VLOOKUP(L$12,AtmaList,MATCH($A16,AtmaHeader,0), FALSE))+IF(ISBLANK(L$13),0,VLOOKUP(L$13,AtmaList,MATCH($A16,AtmaHeader,0), FALSE)), 0)</f>
        <v>0</v>
      </c>
      <c r="F16" s="31" t="s">
        <v>525</v>
      </c>
      <c r="G16" s="35">
        <f ca="1">VLOOKUP(Gear!$B$3, INDIRECT(Gear!$A$3), MATCH("AEDmg", StatHeader, 0), 0)</f>
        <v>0</v>
      </c>
      <c r="H16" s="35">
        <f ca="1">VLOOKUP(Gear!$Z$3, INDIRECT(Gear!$Y$3), MATCH("AEDmg", StatHeader, 0), 0)</f>
        <v>0</v>
      </c>
      <c r="M16" s="200"/>
    </row>
    <row r="17" spans="1:13">
      <c r="A17" t="s">
        <v>108</v>
      </c>
      <c r="B17" s="2">
        <v>0</v>
      </c>
      <c r="C17" s="12">
        <f>IF(Setup!F$18=1, IF(ISBLANK(K$11),0,VLOOKUP(K$11,AtmaList,MATCH($A17,AtmaHeader,0), FALSE))+IF(ISBLANK(K$12),0,VLOOKUP(K$12,AtmaList,MATCH($A17,AtmaHeader,0), FALSE))+IF(ISBLANK(K$13),0,VLOOKUP(K$13,AtmaList,MATCH($A17,AtmaHeader,0), FALSE)), 0)</f>
        <v>0</v>
      </c>
      <c r="D17" s="12">
        <f>IF(Setup!G$18=1, IF(ISBLANK(L$11),0,VLOOKUP(L$11,AtmaList,MATCH($A17,AtmaHeader,0), FALSE))+IF(ISBLANK(L$12),0,VLOOKUP(L$12,AtmaList,MATCH($A17,AtmaHeader,0), FALSE))+IF(ISBLANK(L$13),0,VLOOKUP(L$13,AtmaList,MATCH($A17,AtmaHeader,0), FALSE)), 0)</f>
        <v>0</v>
      </c>
      <c r="F17" s="202" t="s">
        <v>751</v>
      </c>
      <c r="G17" s="2">
        <f>Setup!B25</f>
        <v>0</v>
      </c>
      <c r="H17" s="2">
        <f>Setup!C25</f>
        <v>0</v>
      </c>
      <c r="M17" s="200"/>
    </row>
    <row r="18" spans="1:13">
      <c r="A18" t="s">
        <v>13</v>
      </c>
      <c r="B18" s="31">
        <f>IF(D1="Sam", 15, 0)</f>
        <v>0</v>
      </c>
      <c r="C18" s="50">
        <f>IF(Setup!F$18=1, IF(ISBLANK(K$11),0,VLOOKUP(K$11,AtmaList,MATCH($A18,AtmaHeader,0), FALSE))+IF(ISBLANK(K$12),0,VLOOKUP(K$12,AtmaList,MATCH($A18,AtmaHeader,0), FALSE))+IF(ISBLANK(K$13),0,VLOOKUP(K$13,AtmaList,MATCH($A18,AtmaHeader,0), FALSE)), 0)</f>
        <v>0</v>
      </c>
      <c r="D18" s="50">
        <f>IF(Setup!G$18=1, IF(ISBLANK(L$11),0,VLOOKUP(L$11,AtmaList,MATCH($A18,AtmaHeader,0), FALSE))+IF(ISBLANK(L$12),0,VLOOKUP(L$12,AtmaList,MATCH($A18,AtmaHeader,0), FALSE))+IF(ISBLANK(L$13),0,VLOOKUP(L$13,AtmaList,MATCH($A18,AtmaHeader,0), FALSE)), 0)</f>
        <v>0</v>
      </c>
      <c r="F18" s="31" t="s">
        <v>30</v>
      </c>
      <c r="G18">
        <f>VLOOKUP(G13, Skills, 3, 0) + 5*(MAX(0, MIN($B$1-75, 5)))+6*(MAX(0, MIN($B$1-80, 10)))+7*(MAX(0,$B$1-90))</f>
        <v>440</v>
      </c>
      <c r="H18">
        <f>VLOOKUP(H13, Skills, 3, 0) + 5*(MAX(0, MIN($B$1-75, 5)))+6*(MAX(0, MIN($B$1-80, 10)))+7*(MAX(0,$B$1-90))</f>
        <v>440</v>
      </c>
      <c r="M18" s="200"/>
    </row>
    <row r="19" spans="1:13">
      <c r="A19" s="39" t="s">
        <v>268</v>
      </c>
      <c r="B19">
        <f>VLOOKUP(E1,Food,MATCH("Store TP",FoodHeader,0), 0)</f>
        <v>0</v>
      </c>
      <c r="F19" s="9" t="s">
        <v>526</v>
      </c>
      <c r="G19" t="str">
        <f>Gear!A4</f>
        <v>Dagger</v>
      </c>
      <c r="H19" t="str">
        <f>Gear!Y4</f>
        <v>Dagger</v>
      </c>
      <c r="J19" t="s">
        <v>122</v>
      </c>
      <c r="K19" s="2">
        <f>IF($B$1&gt;=85, 35%, IF($B$1&gt;=65, 30%, IF($B$1&gt;=45, 25%, IF($B$1&gt;=25, 15%, IF($B$1&gt;=10, 10%, 0)))))</f>
        <v>0.35</v>
      </c>
      <c r="L19" s="2">
        <f>IF($B$1&gt;=85, 35%, IF($B$1&gt;=65, 30%, IF($B$1&gt;=45, 25%, IF($B$1&gt;=25, 15%, IF($B$1&gt;=10, 10%, 0)))))</f>
        <v>0.35</v>
      </c>
      <c r="M19" s="201"/>
    </row>
    <row r="20" spans="1:13">
      <c r="A20" s="39" t="s">
        <v>289</v>
      </c>
      <c r="B20">
        <v>0</v>
      </c>
      <c r="C20" s="50">
        <f>IF(Setup!F$18=1, IF(ISBLANK(K$11),0,VLOOKUP(K$11,AtmaList,MATCH($A20,AtmaHeader,0), FALSE))+IF(ISBLANK(K$12),0,VLOOKUP(K$12,AtmaList,MATCH($A20,AtmaHeader,0), FALSE))+IF(ISBLANK(K$13),0,VLOOKUP(K$13,AtmaList,MATCH($A20,AtmaHeader,0), FALSE)), 0)</f>
        <v>0</v>
      </c>
      <c r="D20" s="50">
        <f>IF(Setup!G$18=1, IF(ISBLANK(L$11),0,VLOOKUP(L$11,AtmaList,MATCH($A20,AtmaHeader,0), FALSE))+IF(ISBLANK(L$12),0,VLOOKUP(L$12,AtmaList,MATCH($A20,AtmaHeader,0), FALSE))+IF(ISBLANK(L$13),0,VLOOKUP(L$13,AtmaList,MATCH($A20,AtmaHeader,0), FALSE)), 0)</f>
        <v>0</v>
      </c>
      <c r="F20" s="31" t="s">
        <v>61</v>
      </c>
      <c r="G20" s="31">
        <f ca="1">VLOOKUP(Gear!$B$4, INDIRECT(Gear!$A$4), MATCH("Dmg", StatHeader, 0), 0)</f>
        <v>117</v>
      </c>
      <c r="H20" s="31">
        <f ca="1">VLOOKUP(Gear!$Z$4, INDIRECT(Gear!$Y$4), MATCH("Dmg", StatHeader, 0), 0)</f>
        <v>117</v>
      </c>
      <c r="J20" t="s">
        <v>433</v>
      </c>
      <c r="K20" s="35">
        <f ca="1">MIN(Setup!F39 + IF(Setup!J41=1, Setup!M41, 0) + IF(Setup!F32=1, VLOOKUP("Save TP", Ionis, 2, 0), 0) + VLOOKUP(Gear!$B$3, INDIRECT(Gear!$A$3), MATCH(J20, StatHeader, 0), 0) + VLOOKUP(Gear!$B$4, INDIRECT(Gear!$A$4), MATCH(J20, StatHeader, 0), 0), 500)</f>
        <v>0</v>
      </c>
      <c r="L20" s="35">
        <f ca="1">MIN(Setup!G39 + IF(Setup!K41=1, Setup!N41, 0) + IF(Setup!G32=1, VLOOKUP("Save TP", Ionis, 2, 0), 0) + VLOOKUP(Gear!$Z$3, INDIRECT(Gear!$Y$3), MATCH(J20, StatHeader, 0), 0) + VLOOKUP(Gear!$Z$4, INDIRECT(Gear!$Y$4), MATCH(J20, StatHeader, 0), 0), 500)</f>
        <v>0</v>
      </c>
      <c r="M20" s="203"/>
    </row>
    <row r="21" spans="1:13">
      <c r="A21" s="39" t="s">
        <v>116</v>
      </c>
      <c r="B21">
        <v>0</v>
      </c>
      <c r="C21" s="50">
        <f>IF(Setup!F$18=1, IF(ISBLANK(K$11),0,VLOOKUP(K$11,AtmaList,MATCH($A21,AtmaHeader,0), FALSE))+IF(ISBLANK(K$12),0,VLOOKUP(K$12,AtmaList,MATCH($A21,AtmaHeader,0), FALSE))+IF(ISBLANK(K$13),0,VLOOKUP(K$13,AtmaList,MATCH($A21,AtmaHeader,0), FALSE)), 0)</f>
        <v>0</v>
      </c>
      <c r="D21" s="50">
        <f>IF(Setup!G$18=1, IF(ISBLANK(L$11),0,VLOOKUP(L$11,AtmaList,MATCH($A21,AtmaHeader,0), FALSE))+IF(ISBLANK(L$12),0,VLOOKUP(L$12,AtmaList,MATCH($A21,AtmaHeader,0), FALSE))+IF(ISBLANK(L$13),0,VLOOKUP(L$13,AtmaList,MATCH($A21,AtmaHeader,0), FALSE)), 0)</f>
        <v>0</v>
      </c>
      <c r="F21" s="31" t="s">
        <v>62</v>
      </c>
      <c r="G21" s="31">
        <f ca="1">VLOOKUP(Gear!$B$4, INDIRECT(Gear!$A$4), MATCH("Dly", StatHeader, 0), 0)</f>
        <v>175</v>
      </c>
      <c r="H21" s="31">
        <f ca="1">VLOOKUP(Gear!$Z$4, INDIRECT(Gear!$Y$4), MATCH("Dly", StatHeader, 0), 0)</f>
        <v>175</v>
      </c>
    </row>
    <row r="22" spans="1:13">
      <c r="A22" s="39" t="s">
        <v>649</v>
      </c>
      <c r="B22" s="2">
        <f>40%+SUM('Other Lists'!$B$155                                                                                                     : INDEX('Other Lists'!$B$155:$Z$155,1,MATCH(Setup!$B$20,'Other Lists'!$B$149:$Z$149,1)))</f>
        <v>0.54</v>
      </c>
      <c r="C22" s="12">
        <v>0</v>
      </c>
      <c r="D22" s="12">
        <v>0</v>
      </c>
      <c r="F22" t="s">
        <v>443</v>
      </c>
      <c r="G22" s="35">
        <f ca="1">VLOOKUP(Gear!$B$4, INDIRECT(Gear!$A$4), MATCH("AEDmg", StatHeader, 0), 0)</f>
        <v>0</v>
      </c>
      <c r="H22" s="35">
        <f ca="1">VLOOKUP(Gear!$Z$4, INDIRECT(Gear!$Y$4), MATCH("AEDmg", StatHeader, 0), 0)</f>
        <v>0</v>
      </c>
    </row>
    <row r="23" spans="1:13">
      <c r="A23" s="39" t="s">
        <v>788</v>
      </c>
      <c r="B23" s="89">
        <f>SUM('Other Lists'!$B$156                                                                                                     : INDEX('Other Lists'!$B$156:$Z$156,1,MATCH(Setup!$B$20,'Other Lists'!$B$149:$Z$149,1)))</f>
        <v>0.05</v>
      </c>
      <c r="C23" s="50"/>
      <c r="D23" s="50"/>
      <c r="F23" s="31" t="s">
        <v>30</v>
      </c>
      <c r="G23">
        <f>VLOOKUP(G19, Skills, 3, 0) + 5*(MAX(0, MIN($B$1-75, 5)))+6*(MAX(0, MIN($B$1-80, 10)))+7*(MAX(0,$B$1-90))</f>
        <v>394</v>
      </c>
      <c r="H23">
        <f>VLOOKUP(H19, Skills, 3, 0) + 5*(MAX(0, MIN($B$1-75, 5)))+6*(MAX(0, MIN($B$1-80, 10)))+7*(MAX(0,$B$1-90))</f>
        <v>394</v>
      </c>
      <c r="K23" s="200"/>
      <c r="L23" s="9" t="s">
        <v>149</v>
      </c>
      <c r="M23" s="9" t="s">
        <v>151</v>
      </c>
    </row>
    <row r="24" spans="1:13">
      <c r="A24" s="39"/>
      <c r="C24" s="50"/>
      <c r="D24" s="50"/>
      <c r="F24" s="9" t="s">
        <v>651</v>
      </c>
      <c r="G24" t="str">
        <f>Gear!A6</f>
        <v>Shuriken</v>
      </c>
      <c r="H24" t="str">
        <f>Gear!Y6</f>
        <v>Shuriken</v>
      </c>
      <c r="J24" s="9" t="s">
        <v>781</v>
      </c>
      <c r="K24" s="9"/>
    </row>
    <row r="25" spans="1:13">
      <c r="A25" s="39"/>
      <c r="C25" s="50"/>
      <c r="D25" s="50"/>
      <c r="F25" s="31" t="s">
        <v>61</v>
      </c>
      <c r="G25" s="31">
        <f ca="1">IF(G24="Shuriken", VLOOKUP(Gear!$B$6, INDIRECT(Gear!$A$6), MATCH($F25, StatHeader, 0), 0), 0)</f>
        <v>101</v>
      </c>
      <c r="H25" s="31">
        <f ca="1">IF(H24="Shuriken", VLOOKUP(Gear!$Z$6, INDIRECT(Gear!$Y$6), MATCH($F25, StatHeader, 0), 0), 0)</f>
        <v>101</v>
      </c>
      <c r="J25" s="29" t="s">
        <v>774</v>
      </c>
      <c r="K25" s="29"/>
    </row>
    <row r="26" spans="1:13">
      <c r="A26" s="39"/>
      <c r="C26" s="50"/>
      <c r="D26" s="50"/>
      <c r="F26" s="31" t="s">
        <v>62</v>
      </c>
      <c r="G26" s="31">
        <f ca="1">IF(G24="Shuriken", VLOOKUP(Gear!$B$6, INDIRECT(Gear!$A$6), MATCH($F26, StatHeader, 0), 0), 0)</f>
        <v>192</v>
      </c>
      <c r="H26" s="31">
        <f ca="1">IF(H24="Shuriken", VLOOKUP(Gear!$B$6, INDIRECT(Gear!$A$6), MATCH($F26, StatHeader, 0), 0), 0)</f>
        <v>192</v>
      </c>
      <c r="J26" s="29" t="s">
        <v>775</v>
      </c>
      <c r="K26" s="29"/>
    </row>
    <row r="27" spans="1:13">
      <c r="A27" s="39"/>
      <c r="C27" s="50"/>
      <c r="D27" s="50"/>
      <c r="F27" s="31" t="s">
        <v>30</v>
      </c>
      <c r="G27">
        <f ca="1">VLOOKUP("Throwing", Skills, 3, 0) + 5*(MAX(0, MIN($B$1-75, 5)))+6*(MAX(0, MIN($B$1-80, 10)))+7*(MAX(0,$B$1-90)) + IF(G25&gt;0, VLOOKUP(Gear!$B$6, INDIRECT(Gear!$A$6), MATCH("CombatSkill", StatHeader, 0), 0), 0)</f>
        <v>682</v>
      </c>
      <c r="H27">
        <f ca="1">VLOOKUP("Throwing", Skills, 3, 0) + 5*(MAX(0, MIN($B$1-75, 5)))+6*(MAX(0, MIN($B$1-80, 10)))+7*(MAX(0,$B$1-90)) + IF(H25&gt;0, VLOOKUP(Gear!$Z$6, INDIRECT(Gear!$Y$6), MATCH("CombatSkill", StatHeader, 0), 0), 0)</f>
        <v>682</v>
      </c>
      <c r="J27" s="29" t="s">
        <v>776</v>
      </c>
      <c r="K27" s="29"/>
    </row>
    <row r="28" spans="1:13">
      <c r="A28" s="39"/>
      <c r="C28" s="50"/>
      <c r="D28" s="50"/>
      <c r="F28" s="31"/>
      <c r="J28" s="29" t="s">
        <v>780</v>
      </c>
      <c r="K28" s="29"/>
    </row>
    <row r="29" spans="1:13">
      <c r="A29" s="39"/>
      <c r="C29" s="50"/>
      <c r="D29" s="50"/>
      <c r="F29" s="31"/>
      <c r="J29" s="29" t="s">
        <v>777</v>
      </c>
      <c r="K29" s="29"/>
    </row>
    <row r="30" spans="1:13">
      <c r="J30" s="29" t="s">
        <v>778</v>
      </c>
      <c r="K30" s="29"/>
    </row>
    <row r="31" spans="1:13">
      <c r="A31" s="14" t="s">
        <v>28</v>
      </c>
      <c r="B31" s="27" t="s">
        <v>269</v>
      </c>
      <c r="C31" s="27" t="s">
        <v>270</v>
      </c>
      <c r="D31" s="55" t="s">
        <v>271</v>
      </c>
      <c r="E31" s="27" t="s">
        <v>272</v>
      </c>
      <c r="J31" s="29" t="s">
        <v>779</v>
      </c>
      <c r="K31" s="29"/>
    </row>
    <row r="32" spans="1:13">
      <c r="A32" s="24" t="s">
        <v>444</v>
      </c>
      <c r="B32" s="23">
        <f>TRUNC(MIN(200, MAX(0, Setup!J8-300))/10) + 5</f>
        <v>25</v>
      </c>
      <c r="C32" s="56">
        <f>TRUNC(MIN(200, MAX(0, Setup!K8-300))/10) + 5</f>
        <v>25</v>
      </c>
      <c r="D32" s="23">
        <f>TRUNC(MIN(200, MAX(0, Setup!J8-300))/10) + 5</f>
        <v>25</v>
      </c>
      <c r="E32" s="23">
        <f>TRUNC(MIN(200, MAX(0, Setup!K8-300))/10) + 5</f>
        <v>25</v>
      </c>
    </row>
    <row r="33" spans="1:9">
      <c r="A33" s="24" t="s">
        <v>445</v>
      </c>
      <c r="B33" s="23">
        <f>IF(Setup!M25=5, 5, IF(Setup!M25&lt;2, 0, Setup!M25-1))</f>
        <v>0</v>
      </c>
      <c r="C33" s="57">
        <f>IF(Setup!N25=5, 5, IF(Setup!N25&lt;2, 0, Setup!N25-1))</f>
        <v>0</v>
      </c>
      <c r="D33" s="23">
        <f>IF(Setup!M25=5, 5, IF(Setup!M25&lt;2, 0, Setup!M25-1))</f>
        <v>0</v>
      </c>
      <c r="E33" s="23">
        <f>IF(Setup!N25=5, 5, IF(Setup!N25&lt;2, 0, Setup!N25-1))</f>
        <v>0</v>
      </c>
    </row>
    <row r="34" spans="1:9">
      <c r="A34" t="s">
        <v>3</v>
      </c>
      <c r="B34" s="7">
        <f ca="1">$H3+HLOOKUP($A34, INDIRECT(B$31), MATCH("Total", Slots, 0)+1, 0) + IF(AND(Setup!$J9=1,Setup!$I$9="Boost-Str"), B$32, 0) + IF(Setup!$J28=1, B$33, 0) + IF(Setup!$J29=1, B$33, 0) + IF(Setup!$J30=1, B$33, 0)</f>
        <v>298</v>
      </c>
      <c r="C34" s="58">
        <f ca="1">$I3+HLOOKUP($A34, INDIRECT(C$31), MATCH("Total", Slots, 0)+1, 0) + IF(AND(Setup!$K9=1,Setup!$I$9="Boost-Str"), C$32, 0) + IF(Setup!$K28=1, C$33, 0) + IF(Setup!$K29=1, C$33, 0) + IF(Setup!$K30=1, C$33, 0)</f>
        <v>294</v>
      </c>
      <c r="D34" s="7">
        <f ca="1">$H3+HLOOKUP($A34, INDIRECT(D$31), MATCH("Total", Slots, 0)+1, 0) + IF(AND(Setup!$J9=1,Setup!$I$9="Boost-Str"), D$32, 0) + IF(Setup!$J28=1, D$33, 0) + IF(Setup!$J29=1, D$33, 0) + IF(Setup!$J30=1, D$33, 0)</f>
        <v>339</v>
      </c>
      <c r="E34" s="7">
        <f ca="1">$I3+HLOOKUP($A34, INDIRECT(E$31), MATCH("Total", Slots, 0)+1, 0) + IF(AND(Setup!$K9=1,Setup!$I$9="Boost-Str"), E$32, 0) + IF(Setup!$K28=1, E$33, 0) + IF(Setup!$K29=1, E$33, 0) + IF(Setup!$K30=1, E$33, 0)</f>
        <v>377</v>
      </c>
    </row>
    <row r="35" spans="1:9">
      <c r="A35" t="s">
        <v>4</v>
      </c>
      <c r="B35" s="7">
        <f ca="1">$H4+HLOOKUP($A35, INDIRECT(B$31), MATCH("Total", Slots, 0)+1, 0) + IF(AND(Setup!$J9=1,Setup!$I$9="Boost-Dex"), B$32, 0) + IF(Setup!$J26=1, B$33, 0) + IF(Setup!$J27=1, B$33, 0) + IF(Setup!$J31=1, B$33, 0) + IF(Setup!$J32=1, B$33, 0)</f>
        <v>347</v>
      </c>
      <c r="C35" s="58">
        <f ca="1">$I4+HLOOKUP($A35, INDIRECT(C$31), MATCH("Total", Slots, 0)+1, 0) + IF(AND(Setup!$K9=1,Setup!$I$9="Boost-Dex"), C$32, 0) + IF(Setup!$K26=1, C$33, 0) + IF(Setup!$K27=1, C$33, 0) + IF(Setup!$K31=1, C$33, 0) + IF(Setup!$K32=1, C$33, 0)</f>
        <v>337</v>
      </c>
      <c r="D35" s="7">
        <f ca="1">$H4+HLOOKUP($A35, INDIRECT(D$31), MATCH("Total", Slots, 0)+1, 0) + IF(AND(Setup!$J9=1,Setup!$I$9="Boost-Dex"), D$32, 0) + IF(Setup!$J26=1, D$33, 0) + IF(Setup!$J27=1, D$33, 0) + IF(Setup!$J31=1, D$33, 0) + IF(Setup!$J32=1, D$33, 0)</f>
        <v>353</v>
      </c>
      <c r="E35" s="7">
        <f ca="1">$I4+HLOOKUP($A35, INDIRECT(E$31), MATCH("Total", Slots, 0)+1, 0) + IF(AND(Setup!$K9=1,Setup!$I$9="Boost-Dex"), E$32, 0) + IF(Setup!$K26=1, E$33, 0) + IF(Setup!$K27=1, E$33, 0) + IF(Setup!$K31=1, E$33, 0) + IF(Setup!$K32=1, E$33, 0)</f>
        <v>306</v>
      </c>
    </row>
    <row r="36" spans="1:9">
      <c r="A36" s="24" t="s">
        <v>42</v>
      </c>
      <c r="B36" s="68">
        <f ca="1">$H5+HLOOKUP($A36, INDIRECT(B$31), MATCH("Total", Slots, 0)+1, 0)</f>
        <v>273</v>
      </c>
      <c r="C36" s="58">
        <f ca="1">$I5+HLOOKUP($A36, INDIRECT(C$31), MATCH("Total", Slots, 0)+1, 0)</f>
        <v>272</v>
      </c>
      <c r="D36" s="68">
        <f ca="1">$H5+HLOOKUP($A36, INDIRECT(D$31), MATCH("Total", Slots, 0)+1, 0)</f>
        <v>316</v>
      </c>
      <c r="E36" s="68">
        <f ca="1">$I5+HLOOKUP($A36, INDIRECT(E$31), MATCH("Total", Slots, 0)+1, 0)</f>
        <v>316</v>
      </c>
    </row>
    <row r="37" spans="1:9">
      <c r="A37" s="25" t="s">
        <v>208</v>
      </c>
      <c r="B37" s="59">
        <f ca="1">$H6+HLOOKUP($A37, INDIRECT(B$31), MATCH("Total", Slots, 0)+1, 0)</f>
        <v>160.05000000000001</v>
      </c>
      <c r="C37" s="60">
        <f ca="1">$I6+HLOOKUP($A37, INDIRECT(C$31), MATCH("Total", Slots, 0)+1, 0)</f>
        <v>160.05000000000001</v>
      </c>
      <c r="D37" s="59">
        <f ca="1">$H6+HLOOKUP($A37, INDIRECT(D$31), MATCH("Total", Slots, 0)+1, 0)</f>
        <v>216.05</v>
      </c>
      <c r="E37" s="59">
        <f ca="1">$I6+HLOOKUP($A37, INDIRECT(E$31), MATCH("Total", Slots, 0)+1, 0)</f>
        <v>216.05</v>
      </c>
    </row>
    <row r="38" spans="1:9">
      <c r="A38" s="31" t="s">
        <v>498</v>
      </c>
      <c r="B38" s="35">
        <f ca="1">B34-$L$6</f>
        <v>17</v>
      </c>
      <c r="C38" s="67">
        <f ca="1">C34-$L$6</f>
        <v>13</v>
      </c>
      <c r="D38" s="35">
        <f ca="1">D34-$L$6</f>
        <v>58</v>
      </c>
      <c r="E38" s="35">
        <f ca="1">E34-$L$6</f>
        <v>96</v>
      </c>
    </row>
    <row r="39" spans="1:9">
      <c r="A39" s="26" t="s">
        <v>499</v>
      </c>
      <c r="B39" s="70">
        <f ca="1">IF(B38&lt;20, TRUNC(8 - B38/5), 4)</f>
        <v>4</v>
      </c>
      <c r="C39" s="71">
        <f ca="1">IF(C38&lt;20, TRUNC(8 - C38/5), 4)</f>
        <v>5</v>
      </c>
      <c r="D39" s="70">
        <f ca="1">IF(D38&lt;20, TRUNC(8 - D38/5), 4)</f>
        <v>4</v>
      </c>
      <c r="E39" s="70">
        <f ca="1">IF(E38&lt;20, TRUNC(8 - E38/5), 4)</f>
        <v>4</v>
      </c>
    </row>
    <row r="40" spans="1:9">
      <c r="A40" s="24" t="s">
        <v>97</v>
      </c>
      <c r="B40" s="68">
        <f>((IF(Setup!J$28=1,124+(12*Setup!M$28)+IF(Setup!M$29&gt;0, (5*Setup!M$29) + 20, 0), 0)) + (IF(Setup!J$29=1, 112 + (11*Setup!M$28)+IF(Setup!M$29&gt;0, (5*Setup!M$29) + 20, 0), 0))  + (IF(Setup!J$30=1, 96 + (9.5*Setup!M$28)+IF(Setup!M$29&gt;0,  (5*Setup!M$29) + 20, 0), 0)) + (IF(Setup!J$33=1, 168 + 16*Setup!M$33, 0))) * IF(Setup!J$25=1, 2, 1)</f>
        <v>0</v>
      </c>
      <c r="C40" s="88">
        <f>((IF(Setup!K$28=1,124+(12*Setup!N$28)+IF(Setup!N$29&gt;0, (5*Setup!N$29) + 20, 0), 0)) + (IF(Setup!K$29=1, 112 + (11*Setup!N$28)+IF(Setup!N$29&gt;0, (5*Setup!N$29) + 20, 0), 0))  + (IF(Setup!K$30=1, 96 + (9.5*Setup!N$28)+IF(Setup!N$29&gt;0,  (5*Setup!N$29) + 20, 0), 0)) + (IF(Setup!K$33=1, 168 + 16*Setup!N$33, 0))) * IF(Setup!K$25=1, 2, 1)</f>
        <v>0</v>
      </c>
      <c r="D40" s="68">
        <f>((IF(Setup!J$28=1,124+(12*Setup!M$28)+IF(Setup!M$29&gt;0, 5*Setup!M$29, 0), 0)) + (IF(Setup!J$29=1, 112 + (11*Setup!M$28)+IF(Setup!M$29&gt;0, 5*Setup!M$29, 0), 0))  + (IF(Setup!J$30=1, 96 + (9.5*Setup!M$28)+IF(Setup!M$29&gt;0, 5*Setup!M$29, 0), 0)) + (IF(Setup!J$33=1, 168 + 16*Setup!M$33, 0))) * IF(Setup!J$25=1, 2, 1)</f>
        <v>0</v>
      </c>
      <c r="E40" s="68">
        <f>((IF(Setup!K$28=1,124+(12*Setup!N$28)+IF(Setup!N$29&gt;0, 5*Setup!N$29, 0), 0)) + (IF(Setup!K$29=1, 112 + (11*Setup!N$28)+IF(Setup!N$29&gt;0, 5*Setup!N$29, 0), 0))  + (IF(Setup!K$30=1, 96 + (9.5*Setup!N$28)+IF(Setup!N$29&gt;0, 5*Setup!N$29, 0), 0)) + (IF(Setup!K$33=1, 168 + 16*Setup!N$33, 0))) * IF(Setup!K$25=1, 2, 1)</f>
        <v>0</v>
      </c>
      <c r="G40" s="20" t="s">
        <v>448</v>
      </c>
      <c r="H40" s="20" t="s">
        <v>149</v>
      </c>
      <c r="I40" t="s">
        <v>151</v>
      </c>
    </row>
    <row r="41" spans="1:9">
      <c r="A41" s="119" t="s">
        <v>532</v>
      </c>
      <c r="B41" s="135">
        <f>IF(Setup!$F$32=1, VLOOKUP("Att", Ionis, 2, 0), 0)</f>
        <v>0</v>
      </c>
      <c r="C41" s="136">
        <f>IF(Setup!$G$32=1, VLOOKUP("Att", Ionis, 2, 0), 0)</f>
        <v>0</v>
      </c>
      <c r="D41" s="135">
        <f>IF(Setup!$F$32=1, VLOOKUP("Att", Ionis, 2, 0), 0)</f>
        <v>0</v>
      </c>
      <c r="E41" s="135">
        <f>IF(Setup!$G$32=1, VLOOKUP("Att", Ionis, 2, 0), 0)</f>
        <v>0</v>
      </c>
      <c r="G41" t="s">
        <v>326</v>
      </c>
      <c r="H41" s="109">
        <f>Setup!B28</f>
        <v>210</v>
      </c>
      <c r="I41" s="109">
        <f>Setup!C28</f>
        <v>210</v>
      </c>
    </row>
    <row r="42" spans="1:9">
      <c r="A42" s="24" t="s">
        <v>447</v>
      </c>
      <c r="B42" s="68">
        <f>IF(LEFT(Gear!$B3,4)="Nagi", IF(ISERROR(VALUE(RIGHT(Gear!$B3,3))), 0, VALUE(RIGHT(Gear!$B3,3))), 0)</f>
        <v>0</v>
      </c>
      <c r="C42" s="58">
        <f>IF(LEFT(Gear!$Z3,4)="Nagi", IF(ISERROR(VALUE(RIGHT(Gear!$Z3,3))), 0, VALUE(RIGHT(Gear!$Z3,3))), 0)</f>
        <v>0</v>
      </c>
      <c r="D42" s="68">
        <f>IF(LEFT(Gear!$B3,4)="Nagi", IF(ISERROR(VALUE(RIGHT(Gear!$B3,3))), 0, VALUE(RIGHT(Gear!$B3,3))), 0)</f>
        <v>0</v>
      </c>
      <c r="E42" s="68">
        <f>IF(LEFT(Gear!$Z3,4)="Nagi", IF(ISERROR(VALUE(RIGHT(Gear!$Z3,3))), 0, VALUE(RIGHT(Gear!$Z3,3))), 0)</f>
        <v>0</v>
      </c>
      <c r="G42" s="20">
        <v>75</v>
      </c>
      <c r="H42" s="20">
        <f>MAX(TRUNC(2*H$41/5-60), 0)</f>
        <v>24</v>
      </c>
      <c r="I42" s="20">
        <f>MAX(TRUNC(2*I$41/5-60), 0)</f>
        <v>24</v>
      </c>
    </row>
    <row r="43" spans="1:9">
      <c r="A43" s="25" t="s">
        <v>434</v>
      </c>
      <c r="B43" s="59">
        <f>IF(AND(B42&gt;0, Setup!B27=1, Setup!B29=0), VLOOKUP(B42, AM2Table, 2, 0), 0)</f>
        <v>0</v>
      </c>
      <c r="C43" s="60">
        <f>IF(AND(C42&gt;0, Setup!C27=1, Setup!C29=0), VLOOKUP(C42, AM2Table, 3, 0), 0)</f>
        <v>0</v>
      </c>
      <c r="D43" s="59">
        <f>IF(AND(D42&gt;0, Setup!B27=1, Setup!B29=0), VLOOKUP(D42, AM2Table, 2, 0), 0)</f>
        <v>0</v>
      </c>
      <c r="E43" s="59">
        <f>IF(AND(E42&gt;0, Setup!C27=1, Setup!C29=0), VLOOKUP(E42, AM2Table, 3, 0), 0)</f>
        <v>0</v>
      </c>
      <c r="G43" s="20">
        <v>80</v>
      </c>
      <c r="H43" s="20">
        <f t="shared" ref="H43:I45" si="0">MAX(TRUNC(3*H$41/5-90), 0)</f>
        <v>36</v>
      </c>
      <c r="I43" s="20">
        <f t="shared" si="0"/>
        <v>36</v>
      </c>
    </row>
    <row r="44" spans="1:9">
      <c r="A44" s="24" t="s">
        <v>446</v>
      </c>
      <c r="B44" s="68">
        <f>((IF(Setup!J$31=1,60+(6*Setup!M$31)+IF(Setup!M$32&gt;0,Setup!M$32,0),0)+(IF(Setup!J$32=1,45+(4.5*Setup!M$31)+IF(Setup!M$32&gt;0,Setup!M$32,0),0))+(IF(Setup!J$33=1,42+4*Setup!M$33,0)))*IF(Setup!J$25=1,2,1))</f>
        <v>90.5</v>
      </c>
      <c r="C44" s="88">
        <f>((IF(Setup!K$31=1,60+(6*Setup!N$31)+IF(Setup!N$32&gt;0,Setup!N$32,0),0)+(IF(Setup!K$32=1,45+(4.5*Setup!N$31)+IF(Setup!N$32&gt;0,Setup!N$32,0),0))+(IF(Setup!K$33=1,42+4*Setup!N$33,0)))*IF(Setup!K$25=1,2,1))</f>
        <v>90.5</v>
      </c>
      <c r="D44" s="68">
        <f>((IF(Setup!J$31=1,60+(6*Setup!M$31)+IF(Setup!M$32&gt;0,Setup!M$32,0),0)+(IF(Setup!J$32=1,45+(4.5*Setup!M$31)+IF(Setup!M$32&gt;0,Setup!M$32,0),0))+(IF(Setup!J$33=1,42+4*Setup!M$33,0)))*IF(Setup!J$25=1,2,1))</f>
        <v>90.5</v>
      </c>
      <c r="E44" s="68">
        <f>((IF(Setup!K$31=1,60+(6*Setup!N$31)+IF(Setup!N$32&gt;0,Setup!N$32,0),0)+(IF(Setup!K$32=1,45+(4.5*Setup!N$31)+IF(Setup!N$32&gt;0,Setup!N$32,0),0))+(IF(Setup!K$33=1,42+4*Setup!N$33,0)))*IF(Setup!K$25=1,2,1))</f>
        <v>90.5</v>
      </c>
      <c r="G44">
        <v>85</v>
      </c>
      <c r="H44" s="20">
        <f t="shared" si="0"/>
        <v>36</v>
      </c>
      <c r="I44" s="20">
        <f t="shared" si="0"/>
        <v>36</v>
      </c>
    </row>
    <row r="45" spans="1:9">
      <c r="A45" s="119" t="s">
        <v>533</v>
      </c>
      <c r="B45" s="135">
        <f>IF(Setup!$F$32=1, VLOOKUP("Acc", Ionis, 2, 0), 0)</f>
        <v>0</v>
      </c>
      <c r="C45" s="136">
        <f>IF(Setup!$G$32=1, VLOOKUP("Acc", Ionis, 2, 0), 0)</f>
        <v>0</v>
      </c>
      <c r="D45" s="135">
        <f>IF(Setup!$F$32=1, VLOOKUP("Acc", Ionis, 2, 0), 0)</f>
        <v>0</v>
      </c>
      <c r="E45" s="135">
        <f>IF(Setup!$G$32=1, VLOOKUP("Acc", Ionis, 2, 0), 0)</f>
        <v>0</v>
      </c>
      <c r="G45">
        <v>90</v>
      </c>
      <c r="H45" s="20">
        <f t="shared" si="0"/>
        <v>36</v>
      </c>
      <c r="I45" s="20">
        <f t="shared" si="0"/>
        <v>36</v>
      </c>
    </row>
    <row r="46" spans="1:9">
      <c r="A46" s="24" t="s">
        <v>253</v>
      </c>
      <c r="B46" s="29">
        <f>IF(AND(Setup!$F5=1, Setup!$F4=0), -20, 0)</f>
        <v>0</v>
      </c>
      <c r="C46" s="63">
        <f>IF(AND(Setup!$G5=1, Setup!$G4=0), -20, 0)</f>
        <v>0</v>
      </c>
      <c r="D46" s="29">
        <f>IF(AND(Setup!$F5=1, Setup!$F4=0), -20, 0)</f>
        <v>0</v>
      </c>
      <c r="E46" s="29">
        <f>IF(AND(Setup!$G5=1, Setup!$G4=0), -20, 0)</f>
        <v>0</v>
      </c>
      <c r="G46">
        <v>95</v>
      </c>
      <c r="H46" s="20">
        <f t="shared" ref="H46:I48" si="1">MAX(TRUNC(H$41/2-60), 0)</f>
        <v>45</v>
      </c>
      <c r="I46" s="20">
        <f t="shared" si="1"/>
        <v>45</v>
      </c>
    </row>
    <row r="47" spans="1:9">
      <c r="A47" s="24" t="s">
        <v>252</v>
      </c>
      <c r="B47" s="29">
        <f>IF(AND(Setup!$F4=1, Setup!$F5=0), 20+Setup!$B$21, 0)</f>
        <v>40</v>
      </c>
      <c r="C47" s="63">
        <f>IF(AND(Setup!$G4=1, Setup!$G5=0), 20+Setup!$B$21, 0)</f>
        <v>40</v>
      </c>
      <c r="D47" s="29">
        <f>IF(AND(Setup!$F4=1, Setup!$F5=0), 20+Setup!$B$21, 0)</f>
        <v>40</v>
      </c>
      <c r="E47" s="29">
        <f>IF(AND(Setup!$G4=1, Setup!$G5=0), 20+Setup!$B$21, 0)</f>
        <v>40</v>
      </c>
      <c r="G47">
        <v>99</v>
      </c>
      <c r="H47" s="20">
        <f t="shared" si="1"/>
        <v>45</v>
      </c>
      <c r="I47" s="20">
        <f t="shared" si="1"/>
        <v>45</v>
      </c>
    </row>
    <row r="48" spans="1:9">
      <c r="A48" s="24" t="s">
        <v>497</v>
      </c>
      <c r="B48" s="29">
        <f>IF(Setup!$J36=1, Setup!$M36, 0)</f>
        <v>0</v>
      </c>
      <c r="C48" s="63">
        <f>IF(Setup!$K36=1, Setup!$N36, 0)</f>
        <v>0</v>
      </c>
      <c r="D48" s="29">
        <f>IF(Setup!$J36=1, Setup!$M36, 0)</f>
        <v>0</v>
      </c>
      <c r="E48" s="29">
        <f>IF(Setup!$K36=1, Setup!$N36, 0)</f>
        <v>0</v>
      </c>
      <c r="G48">
        <v>119</v>
      </c>
      <c r="H48" s="20">
        <f t="shared" si="1"/>
        <v>45</v>
      </c>
      <c r="I48" s="20">
        <f t="shared" si="1"/>
        <v>45</v>
      </c>
    </row>
    <row r="49" spans="1:13">
      <c r="A49" s="24" t="s">
        <v>181</v>
      </c>
      <c r="B49" s="29">
        <f>IF(AND(Setup!$F$11=1, $D$1="War"), 25, 0)</f>
        <v>0</v>
      </c>
      <c r="C49" s="63">
        <f>IF(AND(Setup!$G$11=1, $D$1="War"), 25, 0)</f>
        <v>0</v>
      </c>
      <c r="D49" s="29">
        <f>IF(AND(Setup!$F$11=1, $D$1="War"), 25, 0)</f>
        <v>0</v>
      </c>
      <c r="E49" s="29">
        <f>IF(AND(Setup!$G$11=1, $D$1="War"), 25, 0)</f>
        <v>0</v>
      </c>
    </row>
    <row r="50" spans="1:13" s="200" customFormat="1">
      <c r="A50" s="119" t="s">
        <v>744</v>
      </c>
      <c r="B50" s="29">
        <f>IF(Setup!$J$49=1, Setup!$M$49, 0)</f>
        <v>0</v>
      </c>
      <c r="C50" s="63">
        <f>IF(Setup!$K$49=1, Setup!$N$49, 0)</f>
        <v>0</v>
      </c>
      <c r="D50" s="29">
        <f>IF(Setup!$J$49=1, Setup!$M$49, 0)</f>
        <v>0</v>
      </c>
      <c r="E50" s="29">
        <f>IF(Setup!$K$49=1, Setup!$N$49, 0)</f>
        <v>0</v>
      </c>
      <c r="M50"/>
    </row>
    <row r="51" spans="1:13">
      <c r="A51" s="25" t="s">
        <v>141</v>
      </c>
      <c r="B51" s="26">
        <f>IF(AND(Setup!$F$29=1, OR(Setup!F18=1, Setup!$F$24=1)), 50, 0)</f>
        <v>0</v>
      </c>
      <c r="C51" s="64">
        <f>IF(AND(Setup!$G$29=1, OR(Setup!G18=1, Setup!$G$24=1)), 50, 0)</f>
        <v>0</v>
      </c>
      <c r="D51" s="26">
        <f>IF(AND(Setup!$F$29=1, OR(Setup!F18=1, Setup!$F$24=1)), 50, 0)</f>
        <v>0</v>
      </c>
      <c r="E51" s="26">
        <f>IF(AND(Setup!$G$29=1, OR(Setup!G18=1, Setup!$G$24=1)), 50, 0)</f>
        <v>0</v>
      </c>
      <c r="M51" s="200"/>
    </row>
    <row r="52" spans="1:13">
      <c r="A52" s="44"/>
      <c r="B52" s="74"/>
      <c r="C52" s="74"/>
      <c r="D52" s="74"/>
      <c r="E52" s="74"/>
    </row>
    <row r="53" spans="1:13">
      <c r="A53" s="65" t="s">
        <v>500</v>
      </c>
      <c r="B53" s="27"/>
      <c r="C53" s="27"/>
      <c r="D53" s="27"/>
      <c r="E53" s="27"/>
    </row>
    <row r="54" spans="1:13">
      <c r="A54" s="24" t="s">
        <v>30</v>
      </c>
      <c r="B54" s="23">
        <f ca="1">$G$18+HLOOKUP($A54, INDIRECT(B$31), MATCH("Total", Slots, 0)+1, 0) + VLOOKUP(Gear!$B$3, INDIRECT(Gear!$A$3), MATCH("CombatSkill", StatHeader, 0), 0)</f>
        <v>709</v>
      </c>
      <c r="C54" s="56">
        <f ca="1">$H$18+HLOOKUP($A54, INDIRECT(C$31), MATCH("Total", Slots, 0)+1, 0) + VLOOKUP(Gear!$Z$3, INDIRECT(Gear!$Y$3), MATCH("CombatSkill", StatHeader, 0), 0)</f>
        <v>709</v>
      </c>
      <c r="D54" s="23">
        <f ca="1">$G$18+HLOOKUP($A54, INDIRECT(D$31), MATCH("Total", Slots, 0)+1, 0) + VLOOKUP(Gear!$B$3, INDIRECT(Gear!$A$3), MATCH("CombatSkill", StatHeader, 0), 0)</f>
        <v>709</v>
      </c>
      <c r="E54" s="23">
        <f ca="1">$H$18+HLOOKUP($A54, INDIRECT(E$31), MATCH("Total", Slots, 0)+1, 0) + VLOOKUP(Gear!$Z$3, INDIRECT(Gear!$Y$3), MATCH("CombatSkill", StatHeader, 0), 0)</f>
        <v>709</v>
      </c>
    </row>
    <row r="55" spans="1:13">
      <c r="A55" s="24" t="s">
        <v>9</v>
      </c>
      <c r="B55" s="23">
        <f ca="1">8+B54</f>
        <v>717</v>
      </c>
      <c r="C55" s="57">
        <f ca="1">8+C54</f>
        <v>717</v>
      </c>
      <c r="D55" s="23">
        <f ca="1">8+D54</f>
        <v>717</v>
      </c>
      <c r="E55" s="23">
        <f ca="1">8+E54</f>
        <v>717</v>
      </c>
    </row>
    <row r="56" spans="1:13">
      <c r="A56" s="25" t="s">
        <v>10</v>
      </c>
      <c r="B56" s="38">
        <f ca="1">MIN(B54, 200) + TRUNC(MAX(MIN(B54-200, 200), 0)*0.9) + TRUNC(MAX(MIN(B54-400, 200), 0)*0.8) + TRUNC(MAX(MIN(B54-600, 200), 0)*0.9)</f>
        <v>638</v>
      </c>
      <c r="C56" s="61">
        <f ca="1">MIN(C54, 200) + TRUNC(MAX(MIN(C54-200, 200), 0)*0.9) + TRUNC(MAX(MIN(C54-400, 200), 0)*0.8) + TRUNC(MAX(MIN(C54-600, 200), 0)*0.9)</f>
        <v>638</v>
      </c>
      <c r="D56" s="38">
        <f ca="1">MIN(D54, 200) + TRUNC(MAX(MIN(D54-200, 200), 0)*0.9) + TRUNC(MAX(MIN(D54-400, 200), 0)*0.8) + TRUNC(MAX(MIN(D54-600, 200), 0)*0.9)</f>
        <v>638</v>
      </c>
      <c r="E56" s="38">
        <f ca="1">MIN(E54, 200) + TRUNC(MAX(MIN(E54-200, 200), 0)*0.9) + TRUNC(MAX(MIN(E54-400, 200), 0)*0.8) + TRUNC(MAX(MIN(E54-600, 200), 0)*0.9)</f>
        <v>638</v>
      </c>
      <c r="G56" s="238"/>
    </row>
    <row r="57" spans="1:13">
      <c r="A57" s="119" t="s">
        <v>501</v>
      </c>
      <c r="B57" s="120">
        <f>100%</f>
        <v>1</v>
      </c>
      <c r="C57" s="121">
        <v>1</v>
      </c>
      <c r="D57" s="120">
        <v>1</v>
      </c>
      <c r="E57" s="120">
        <v>1</v>
      </c>
      <c r="H57" s="202"/>
    </row>
    <row r="58" spans="1:13">
      <c r="A58" s="122" t="s">
        <v>502</v>
      </c>
      <c r="B58" s="123">
        <f>75%</f>
        <v>0.75</v>
      </c>
      <c r="C58" s="124">
        <f>75%</f>
        <v>0.75</v>
      </c>
      <c r="D58" s="123">
        <f>75%</f>
        <v>0.75</v>
      </c>
      <c r="E58" s="123">
        <f>75%</f>
        <v>0.75</v>
      </c>
      <c r="G58" s="7"/>
    </row>
    <row r="59" spans="1:13">
      <c r="A59" s="24" t="s">
        <v>59</v>
      </c>
      <c r="B59" s="37">
        <f ca="1">B55 + TRUNC(B$34*B57) + B$40 + B$41 + B$43 + $E$9 + $H$9 + HLOOKUP("Att", INDIRECT(B$31), MATCH("Total", Slots, 0)+1, 0)</f>
        <v>1305</v>
      </c>
      <c r="C59" s="62">
        <f ca="1">C55 + TRUNC(C$34*C57) + C$40 + C$41 + C$43 + $F$9 + Data!$H$9 + HLOOKUP("Att", INDIRECT(C$31), MATCH("Total", Slots, 0)+1, 0)</f>
        <v>1266</v>
      </c>
      <c r="D59" s="37">
        <f ca="1">D55 + TRUNC(D$34*D57) + D$40 + D$41 + D$43 + $E$9 + $H$9 + HLOOKUP("Att", INDIRECT(D$31), MATCH("Total", Slots, 0)+1, 0)</f>
        <v>1580</v>
      </c>
      <c r="E59" s="37">
        <f ca="1">E55 + TRUNC(E$34*E57) + E$40 + E$41 + E$43 + $F$9 + $H$9 + HLOOKUP("Att", INDIRECT(E$31), MATCH("Total", Slots, 0)+1, 0)</f>
        <v>1565</v>
      </c>
    </row>
    <row r="60" spans="1:13">
      <c r="A60" s="25" t="s">
        <v>60</v>
      </c>
      <c r="B60" s="38">
        <f ca="1">B56 + TRUNC(B$35*B58) + B$44 + B$50 + B$45 + B$46 + B$47 + B$48 + B$49 + B$51 + $E$10 + $H$10 + HLOOKUP("Acc", INDIRECT(B$31), MATCH("Total", Slots, 0)+1, 0)</f>
        <v>1359.5</v>
      </c>
      <c r="C60" s="61">
        <f ca="1">C56 + TRUNC(C$35*C58) + C$44 + C$50 + C$45 + C$46 + C$47 + C$48 + C$49 + C$51 + $E$10 + $H$10 + HLOOKUP("Acc", INDIRECT(C$31), MATCH("Total", Slots, 0)+1, 0)</f>
        <v>1352.5</v>
      </c>
      <c r="D60" s="38">
        <f ca="1">D56 + TRUNC(D$35*D58) + D$44 + D$50 + D$45 + D$46 + D$47 + D$48 + D$49 + D$51 + $E$10 + $H$10 + HLOOKUP("Acc", INDIRECT(D$31), MATCH("Total", Slots, 0)+1, 0)</f>
        <v>1360.5</v>
      </c>
      <c r="E60" s="38">
        <f ca="1">E56 + TRUNC(E$35*E58) + E$44 + E$50 + E$45 + E$46 + E$47 + E$48 + E$49 + E$51 + $E$10 + $H$10 + HLOOKUP("Acc", INDIRECT(E$31), MATCH("Total", Slots, 0)+1, 0)</f>
        <v>1358.5</v>
      </c>
    </row>
    <row r="61" spans="1:13">
      <c r="A61" s="24" t="s">
        <v>55</v>
      </c>
      <c r="B61" s="37">
        <f ca="1">FLOOR(MIN(B59*$B$9, $C$9),1)+$D$9</f>
        <v>0</v>
      </c>
      <c r="C61" s="62">
        <f ca="1">FLOOR(MIN(C59*$B$9, $C$9),1)+$D$9</f>
        <v>0</v>
      </c>
      <c r="D61" s="37">
        <f ca="1">FLOOR(MIN(D59*$B$9, $C$9),1)+$D$9</f>
        <v>0</v>
      </c>
      <c r="E61" s="37">
        <f ca="1">FLOOR(MIN(E59*$B$9, $C$9),1)+$D$9</f>
        <v>0</v>
      </c>
    </row>
    <row r="62" spans="1:13">
      <c r="A62" s="25" t="s">
        <v>56</v>
      </c>
      <c r="B62" s="38">
        <f ca="1">FLOOR(MIN(B60*$B$10, $C$10),1)+$D$10</f>
        <v>105</v>
      </c>
      <c r="C62" s="61">
        <f ca="1">FLOOR(MIN(C60*$B$10, $C$10),1)+$D$10</f>
        <v>105</v>
      </c>
      <c r="D62" s="38">
        <f ca="1">FLOOR(MIN(D60*$B$10, $C$10),1)+$D$10</f>
        <v>105</v>
      </c>
      <c r="E62" s="38">
        <f ca="1">FLOOR(MIN(E60*$B$10, $C$10),1)+$D$10</f>
        <v>105</v>
      </c>
    </row>
    <row r="63" spans="1:13">
      <c r="A63" s="24" t="s">
        <v>120</v>
      </c>
      <c r="B63" s="29">
        <f>IF(AND(Setup!$F$10=1, $D$1="War"), TRUNC(B59*25%), 0)</f>
        <v>0</v>
      </c>
      <c r="C63" s="63">
        <f>IF(AND(Setup!$G$10=1, $D$1="War"), TRUNC(C59*25%), 0)</f>
        <v>0</v>
      </c>
      <c r="D63" s="29">
        <f>IF(AND(Setup!$F$10=1, $D$1="War"), TRUNC(D59*25%), 0)</f>
        <v>0</v>
      </c>
      <c r="E63" s="29">
        <f>IF(AND(Setup!$G$10=1, $D$1="War"), TRUNC(E59*25%), 0)</f>
        <v>0</v>
      </c>
    </row>
    <row r="64" spans="1:13">
      <c r="A64" s="24" t="s">
        <v>121</v>
      </c>
      <c r="B64" s="29">
        <f ca="1">IF(Setup!$J$35=1, TRUNC(B59*Setup!$M$35), 0)</f>
        <v>326</v>
      </c>
      <c r="C64" s="63">
        <f ca="1">IF(Setup!$K$35=1, TRUNC(C59*Setup!$N$35), 0)</f>
        <v>316</v>
      </c>
      <c r="D64" s="29">
        <f ca="1">IF(Setup!$J$35=1, TRUNC(D59*Setup!$M$35), 0)</f>
        <v>395</v>
      </c>
      <c r="E64" s="29">
        <f ca="1">IF(Setup!$K$35=1, TRUNC(E59*Setup!$N$35), 0)</f>
        <v>391</v>
      </c>
    </row>
    <row r="65" spans="1:13" s="200" customFormat="1">
      <c r="A65" s="119" t="s">
        <v>756</v>
      </c>
      <c r="B65" s="29">
        <f ca="1">IF(OR(AND(Setup!$B$26=1,Gear!$B$3="Kikoku Aug 121"),AND(Setup!$B$26=1,Gear!$B$3="Kikoku 121")), FLOOR((B55+TRUNC(B34*B57)+HLOOKUP("Att", INDIRECT(B$31), MATCH("Total", Slots, 0)+1, 0))*(100/1024), 1), 0)</f>
        <v>119</v>
      </c>
      <c r="C65" s="63">
        <f ca="1">IF(OR(AND(Setup!$C$26=1,Gear!$Z$3="Kikoku Aug 121"),AND(Setup!$C$26=1,Gear!$Z$3="Kikoku 121")), FLOOR((C55+TRUNC(C34*C57)+HLOOKUP("Att", INDIRECT(C$31), MATCH("Total", Slots, 0)+1, 0))*(100/1024), 1), 0)</f>
        <v>0</v>
      </c>
      <c r="D65" s="29">
        <f ca="1">IF(OR(AND(Setup!$B$26=1,Gear!$B$3="Kikoku Aug 121"),AND(Setup!$B$26=1,Gear!$B$3="Kikoku 121")), FLOOR((D55+TRUNC(D34*D57)+HLOOKUP("Att", INDIRECT(D$31), MATCH("Total", Slots, 0)+1, 0))*(100/1024), 1), 0)</f>
        <v>146</v>
      </c>
      <c r="E65" s="29">
        <f ca="1">IF(OR(AND(Setup!$C$26=1,Gear!$Z$3="Kikoku Aug 121"),AND(Setup!$C$26=1,Gear!$Z$3="Kikoku 121")), FLOOR((E55+TRUNC(E34*E57)+HLOOKUP("Att", INDIRECT(E$31), MATCH("Total", Slots, 0)+1, 0))*(100/1024), 1), 0)</f>
        <v>0</v>
      </c>
      <c r="M65"/>
    </row>
    <row r="66" spans="1:13">
      <c r="A66" s="24" t="s">
        <v>341</v>
      </c>
      <c r="B66" s="29">
        <v>0</v>
      </c>
      <c r="C66" s="63">
        <v>0</v>
      </c>
      <c r="D66" s="29">
        <f ca="1">TRUNC((VLOOKUP(Setup!B$24, WeaponskillData, MATCH("Att Bonus", WeaponskillDataCols, 0), 0) + Weaponskill!N5) * D59)</f>
        <v>0</v>
      </c>
      <c r="E66" s="29">
        <f ca="1">TRUNC((VLOOKUP(Setup!C$24, WeaponskillData, MATCH("Att Bonus", WeaponskillDataCols, 0), 0) + Weaponskill!N538) * E59)</f>
        <v>0</v>
      </c>
      <c r="M66" s="200"/>
    </row>
    <row r="67" spans="1:13">
      <c r="A67" s="25" t="s">
        <v>142</v>
      </c>
      <c r="B67" s="26">
        <f>IF(AND(Setup!$F$29=1, OR(Setup!F24=1, Setup!$F$24=1)), FLOOR(0.25*B59, 1), 0)</f>
        <v>0</v>
      </c>
      <c r="C67" s="64">
        <f>IF(AND(Setup!$G$29=1, OR(Setup!G18=1, Setup!$G$24=1)), FLOOR(0.25*C59, 1), 0)</f>
        <v>0</v>
      </c>
      <c r="D67" s="26">
        <f>IF(AND(Setup!$F$29=1, OR(Setup!F18=1, Setup!$F$24=1)), FLOOR(0.25*D59, 1), 0)</f>
        <v>0</v>
      </c>
      <c r="E67" s="26">
        <f>IF(AND(Setup!$G$29=1, OR(Setup!G18=1, Setup!$G$24=1)), FLOOR(0.25*E59, 1), 0)</f>
        <v>0</v>
      </c>
    </row>
    <row r="68" spans="1:13" s="200" customFormat="1">
      <c r="A68" s="119" t="s">
        <v>746</v>
      </c>
      <c r="B68" s="29">
        <f>IF(Setup!$J$50=1, FLOOR(Setup!$M$50*B59, 1), 0)</f>
        <v>0</v>
      </c>
      <c r="C68" s="211">
        <f>IF(Setup!$K$50=1, FLOOR(Setup!$N$50*C59, 1), 0)</f>
        <v>0</v>
      </c>
      <c r="D68" s="29">
        <f>IF(Setup!$J$50=1, FLOOR(Setup!$M$50*D59, 1), 0)</f>
        <v>0</v>
      </c>
      <c r="E68" s="29">
        <f>IF(Setup!$K$50=1, FLOOR(Setup!$N$50*E59, 1), 0)</f>
        <v>0</v>
      </c>
      <c r="M68"/>
    </row>
    <row r="69" spans="1:13" s="200" customFormat="1">
      <c r="A69" s="119" t="s">
        <v>733</v>
      </c>
      <c r="B69" s="29"/>
      <c r="C69" s="63"/>
      <c r="D69" s="29"/>
      <c r="E69" s="29"/>
    </row>
    <row r="70" spans="1:13" s="200" customFormat="1">
      <c r="A70" s="119" t="s">
        <v>757</v>
      </c>
      <c r="B70" s="29"/>
      <c r="C70" s="63"/>
      <c r="D70" s="29"/>
      <c r="E70" s="29"/>
    </row>
    <row r="71" spans="1:13" s="200" customFormat="1">
      <c r="A71" s="25" t="s">
        <v>734</v>
      </c>
      <c r="B71" s="26"/>
      <c r="C71" s="64"/>
      <c r="D71" s="26"/>
      <c r="E71" s="26"/>
    </row>
    <row r="72" spans="1:13">
      <c r="A72" s="31" t="s">
        <v>503</v>
      </c>
      <c r="B72" s="39">
        <f ca="1">B59+B61+B63+B64+B67+B68+B65</f>
        <v>1750</v>
      </c>
      <c r="C72" s="125">
        <f ca="1">C59+C61+C63+C64+C67+C68+C65</f>
        <v>1582</v>
      </c>
      <c r="D72" s="39">
        <f ca="1">D59+D61+D63+D64+D67+D68+D65+D66</f>
        <v>2121</v>
      </c>
      <c r="E72" s="39">
        <f ca="1">E59+E61+E63+E64+E67+E66+E68+E65</f>
        <v>1956</v>
      </c>
      <c r="M72" s="200"/>
    </row>
    <row r="73" spans="1:13">
      <c r="A73" s="26" t="s">
        <v>504</v>
      </c>
      <c r="B73" s="126">
        <f ca="1">B60+B62</f>
        <v>1464.5</v>
      </c>
      <c r="C73" s="127">
        <f ca="1">C60+C62</f>
        <v>1457.5</v>
      </c>
      <c r="D73" s="126">
        <f ca="1">D60+D62</f>
        <v>1465.5</v>
      </c>
      <c r="E73" s="126">
        <f ca="1">E60+E62</f>
        <v>1463.5</v>
      </c>
    </row>
    <row r="74" spans="1:13" s="200" customFormat="1">
      <c r="A74" s="29" t="s">
        <v>845</v>
      </c>
      <c r="B74" s="234">
        <f>0.1</f>
        <v>0.1</v>
      </c>
      <c r="C74" s="235">
        <f>0.1</f>
        <v>0.1</v>
      </c>
      <c r="D74" s="234">
        <f>0.1</f>
        <v>0.1</v>
      </c>
      <c r="E74" s="234">
        <f>0.1</f>
        <v>0.1</v>
      </c>
    </row>
    <row r="75" spans="1:13" s="200" customFormat="1">
      <c r="A75" s="26" t="s">
        <v>893</v>
      </c>
      <c r="B75" s="221">
        <f ca="1">HLOOKUP($A74, INDIRECT(B$31), MATCH("Total", Slots, 0)+1, 0)</f>
        <v>0.1</v>
      </c>
      <c r="C75" s="236">
        <f ca="1">HLOOKUP($A74, INDIRECT(C$31), MATCH("Total", Slots, 0)+1, 0)</f>
        <v>0.1</v>
      </c>
      <c r="D75" s="221">
        <f ca="1">HLOOKUP($A74, INDIRECT(D$31), MATCH("Total", Slots, 0)+1, 0)</f>
        <v>0.1</v>
      </c>
      <c r="E75" s="221">
        <f ca="1">HLOOKUP($A74, INDIRECT(E$31), MATCH("Total", Slots, 0)+1, 0)</f>
        <v>0.1</v>
      </c>
    </row>
    <row r="76" spans="1:13">
      <c r="A76" s="14" t="s">
        <v>37</v>
      </c>
      <c r="B76" s="151">
        <f ca="1">MAX(B72/$O$3-$N$3, 0)</f>
        <v>1.5257192676547515</v>
      </c>
      <c r="C76" s="224">
        <f ca="1">MAX(C72/$P$3-$N$3, 0)</f>
        <v>1.3792502179598953</v>
      </c>
      <c r="D76" s="151">
        <f ca="1">MAX(D72/FLOOR(($O$3-$N$3)*IF(Setup!$B$24="Blade: Kamu",0.75,1),1), 0)</f>
        <v>1.8491717523975588</v>
      </c>
      <c r="E76" s="151">
        <f ca="1">MAX(E72/FLOOR(($P$3-$N$3)*IF(Setup!$C$24="Blade: Kamu",0.75,1),1), 0)</f>
        <v>1.7053182214472538</v>
      </c>
    </row>
    <row r="77" spans="1:13">
      <c r="A77" s="9" t="s">
        <v>547</v>
      </c>
      <c r="B77" s="137"/>
      <c r="C77" s="138"/>
      <c r="D77" s="137"/>
      <c r="E77" s="137"/>
      <c r="F77" s="44"/>
    </row>
    <row r="78" spans="1:13" s="200" customFormat="1">
      <c r="A78" s="119" t="s">
        <v>866</v>
      </c>
      <c r="B78" s="137">
        <f ca="1">(3.25+B74)*(1+B75)+1</f>
        <v>4.6850000000000005</v>
      </c>
      <c r="C78" s="139">
        <f ca="1">(3.25+C74)*(1+C75)+1</f>
        <v>4.6850000000000005</v>
      </c>
      <c r="D78" s="237">
        <f ca="1">(3.25+D74)*(1+D75)+1</f>
        <v>4.6850000000000005</v>
      </c>
      <c r="E78" s="237">
        <f ca="1">(3.25+E74)*(1+E75)+1</f>
        <v>4.6850000000000005</v>
      </c>
      <c r="F78" s="44"/>
    </row>
    <row r="79" spans="1:13" s="200" customFormat="1">
      <c r="A79" s="119" t="s">
        <v>867</v>
      </c>
      <c r="B79" s="137">
        <f ca="1">(3.25+B74)*(1+B75)</f>
        <v>3.6850000000000005</v>
      </c>
      <c r="C79" s="139">
        <f ca="1">(3.25+C74)*(1+C75)</f>
        <v>3.6850000000000005</v>
      </c>
      <c r="D79" s="237">
        <f ca="1">(3.25+D74)*(1+D75)</f>
        <v>3.6850000000000005</v>
      </c>
      <c r="E79" s="237">
        <f ca="1">(3.25+E74)*(1+E75)</f>
        <v>3.6850000000000005</v>
      </c>
    </row>
    <row r="80" spans="1:13">
      <c r="A80" s="31" t="s">
        <v>548</v>
      </c>
      <c r="B80" s="137">
        <f ca="1">B76</f>
        <v>1.5257192676547515</v>
      </c>
      <c r="C80" s="139">
        <f ca="1">C76</f>
        <v>1.3792502179598953</v>
      </c>
      <c r="D80" s="137">
        <f ca="1">D76</f>
        <v>1.8491717523975588</v>
      </c>
      <c r="E80" s="137">
        <f ca="1">E76</f>
        <v>1.7053182214472538</v>
      </c>
      <c r="F80" s="44"/>
    </row>
    <row r="81" spans="1:6">
      <c r="A81" s="31" t="s">
        <v>549</v>
      </c>
      <c r="B81" s="137">
        <f ca="1">B80+MIN(B80*(152/1024) - (752/1024), -0.375)</f>
        <v>1.0178182214472538</v>
      </c>
      <c r="C81" s="139">
        <f ca="1">C80+MIN(C80*(152/1024) - (752/1024), -0.375)</f>
        <v>0.84960767218831723</v>
      </c>
      <c r="D81" s="137">
        <f ca="1">D80+MIN(D80*(152/1024) - (752/1024), -0.375)</f>
        <v>1.3892831843940714</v>
      </c>
      <c r="E81" s="137">
        <f ca="1">E80+MIN(E80*(152/1024) - (752/1024), -0.375)</f>
        <v>1.2240763949433304</v>
      </c>
      <c r="F81" s="44"/>
    </row>
    <row r="82" spans="1:6">
      <c r="A82" s="31" t="s">
        <v>550</v>
      </c>
      <c r="B82" s="137">
        <f ca="1">B80+MIN(1-B80, B80*152/1024 - 448/1024)</f>
        <v>1</v>
      </c>
      <c r="C82" s="139">
        <f ca="1">C80+MIN(1-C80, C80*152/1024 - 448/1024)</f>
        <v>1</v>
      </c>
      <c r="D82" s="137">
        <f ca="1">D80+MIN(1-D80, D80*152/1024 - 448/1024)</f>
        <v>1</v>
      </c>
      <c r="E82" s="137">
        <f ca="1">E80+MIN(1-E80, E80*152/1024 - 448/1024)</f>
        <v>1</v>
      </c>
      <c r="F82" s="44"/>
    </row>
    <row r="83" spans="1:6">
      <c r="A83" s="31" t="s">
        <v>551</v>
      </c>
      <c r="B83" s="137">
        <f ca="1">MAX(B81,B82)</f>
        <v>1.0178182214472538</v>
      </c>
      <c r="C83" s="139">
        <f ca="1">MAX(C81,C82)</f>
        <v>1</v>
      </c>
      <c r="D83" s="137">
        <f ca="1">MAX(D81,D82)</f>
        <v>1.3892831843940714</v>
      </c>
      <c r="E83" s="137">
        <f ca="1">MAX(E81,E82)</f>
        <v>1.2240763949433304</v>
      </c>
      <c r="F83" s="44"/>
    </row>
    <row r="84" spans="1:6">
      <c r="A84" s="31" t="s">
        <v>552</v>
      </c>
      <c r="B84" s="226">
        <f ca="1">MIN(MAX(MAX(B81,B82), 0),B$79)</f>
        <v>1.0178182214472538</v>
      </c>
      <c r="C84" s="227">
        <f ca="1">MIN(MAX(MAX(C81,C82), 0),C$79)</f>
        <v>1</v>
      </c>
      <c r="D84" s="226">
        <f ca="1">MIN(MAX(MAX(D81,D82), 0),D$79)</f>
        <v>1.3892831843940714</v>
      </c>
      <c r="E84" s="226">
        <f ca="1">MIN(MAX(MAX(E81,E82), 0),E$79)</f>
        <v>1.2240763949433304</v>
      </c>
      <c r="F84" s="44"/>
    </row>
    <row r="85" spans="1:6">
      <c r="A85" s="31" t="s">
        <v>553</v>
      </c>
      <c r="B85" s="137">
        <f ca="1">B80 + MAX(MIN(B80 * 0.25, 0.375), 0.25)</f>
        <v>1.9007192676547515</v>
      </c>
      <c r="C85" s="139">
        <f ca="1">C80 + MAX(MIN(C80 * 0.25, 0.375), 0.25)</f>
        <v>1.7240627724498692</v>
      </c>
      <c r="D85" s="137">
        <f ca="1">D80 + MAX(MIN(D80 * 0.25, 0.375), 0.25)</f>
        <v>2.2241717523975586</v>
      </c>
      <c r="E85" s="137">
        <f ca="1">E80 + MAX(MIN(E80 * 0.25, 0.375), 0.25)</f>
        <v>2.0803182214472535</v>
      </c>
      <c r="F85" s="44"/>
    </row>
    <row r="86" spans="1:6">
      <c r="A86" s="31" t="s">
        <v>554</v>
      </c>
      <c r="B86" s="137">
        <f ca="1">B80 + MIN(B80*341/1024 + 358/1024, 1-B80)</f>
        <v>1</v>
      </c>
      <c r="C86" s="139">
        <f ca="1">C80 + MIN(C80*341/1024 + 358/1024, 1-C80)</f>
        <v>1</v>
      </c>
      <c r="D86" s="137">
        <f ca="1">D80 + MIN(D80*341/1024 + 358/1024, 1-D80)</f>
        <v>1</v>
      </c>
      <c r="E86" s="137">
        <f ca="1">E80 + MIN(E80*341/1024 + 358/1024, 1-E80)</f>
        <v>1</v>
      </c>
      <c r="F86" s="44"/>
    </row>
    <row r="87" spans="1:6">
      <c r="A87" s="31" t="s">
        <v>555</v>
      </c>
      <c r="B87" s="137">
        <f ca="1">MAX(B85,B86)</f>
        <v>1.9007192676547515</v>
      </c>
      <c r="C87" s="139">
        <f ca="1">MAX(C85,C86)</f>
        <v>1.7240627724498692</v>
      </c>
      <c r="D87" s="137">
        <f ca="1">MAX(D85,D86)</f>
        <v>2.2241717523975586</v>
      </c>
      <c r="E87" s="137">
        <f ca="1">MAX(E85,E86)</f>
        <v>2.0803182214472535</v>
      </c>
      <c r="F87" s="44"/>
    </row>
    <row r="88" spans="1:6">
      <c r="A88" s="31" t="s">
        <v>556</v>
      </c>
      <c r="B88" s="226">
        <f ca="1">MIN(MAX(B85,B86),$B$79)</f>
        <v>1.9007192676547515</v>
      </c>
      <c r="C88" s="227">
        <f ca="1">MIN(MAX(C85,C86),$C$79)</f>
        <v>1.7240627724498692</v>
      </c>
      <c r="D88" s="226">
        <f ca="1">MIN(MAX(D85,D86),$D$79)</f>
        <v>2.2241717523975586</v>
      </c>
      <c r="E88" s="226">
        <f ca="1">MIN(MAX(E85,E86),$E$79)</f>
        <v>2.0803182214472535</v>
      </c>
      <c r="F88" s="44"/>
    </row>
    <row r="89" spans="1:6">
      <c r="A89" s="31" t="s">
        <v>557</v>
      </c>
      <c r="B89" s="137">
        <f t="shared" ref="B89:E90" ca="1" si="2">B87-B83</f>
        <v>0.88290104620749776</v>
      </c>
      <c r="C89" s="139">
        <f t="shared" ca="1" si="2"/>
        <v>0.72406277244986916</v>
      </c>
      <c r="D89" s="137">
        <f t="shared" ca="1" si="2"/>
        <v>0.83488856800348721</v>
      </c>
      <c r="E89" s="137">
        <f t="shared" ca="1" si="2"/>
        <v>0.85624182650392311</v>
      </c>
      <c r="F89" s="44"/>
    </row>
    <row r="90" spans="1:6">
      <c r="A90" s="31" t="s">
        <v>558</v>
      </c>
      <c r="B90" s="137">
        <f t="shared" ca="1" si="2"/>
        <v>0.88290104620749776</v>
      </c>
      <c r="C90" s="139">
        <f t="shared" ca="1" si="2"/>
        <v>0.72406277244986916</v>
      </c>
      <c r="D90" s="137">
        <f t="shared" ca="1" si="2"/>
        <v>0.83488856800348721</v>
      </c>
      <c r="E90" s="137">
        <f t="shared" ca="1" si="2"/>
        <v>0.85624182650392311</v>
      </c>
      <c r="F90" s="44"/>
    </row>
    <row r="91" spans="1:6">
      <c r="A91" s="31" t="s">
        <v>559</v>
      </c>
      <c r="B91" s="140">
        <f ca="1">IF(B83&lt;0, 1-(B90/B89), 0)</f>
        <v>0</v>
      </c>
      <c r="C91" s="141">
        <f ca="1">IF(C83&lt;0, 1-(C90/C89), 0)</f>
        <v>0</v>
      </c>
      <c r="D91" s="140">
        <f ca="1">IF(D83&lt;0, 1-(D90/D89), 0)</f>
        <v>0</v>
      </c>
      <c r="E91" s="140">
        <f ca="1">IF(E83&lt;0, 1-(E90/E89), 0)</f>
        <v>0</v>
      </c>
      <c r="F91" s="44"/>
    </row>
    <row r="92" spans="1:6">
      <c r="A92" s="31" t="s">
        <v>560</v>
      </c>
      <c r="B92" s="140">
        <f ca="1">IF(B87&gt;3.25, 1-(B90/B89), 0)</f>
        <v>0</v>
      </c>
      <c r="C92" s="141">
        <f ca="1">IF(C87&gt;3.25, 1-(C90/C89), 0)</f>
        <v>0</v>
      </c>
      <c r="D92" s="140">
        <f ca="1">IF(D87&gt;3.25, 1-(D90/D89), 0)</f>
        <v>0</v>
      </c>
      <c r="E92" s="140">
        <f ca="1">IF(E87&gt;3.25, 1-(E90/E89), 0)</f>
        <v>0</v>
      </c>
      <c r="F92" s="44"/>
    </row>
    <row r="93" spans="1:6">
      <c r="A93" s="31" t="s">
        <v>561</v>
      </c>
      <c r="B93" s="140">
        <f ca="1">MAX(0, MIN(1/3, (0.5 - ABS(B80-1)) * 1.2))</f>
        <v>0</v>
      </c>
      <c r="C93" s="141">
        <f ca="1">MAX(0, MIN(1/3, (0.5 - ABS(C80-1)) * 1.2))</f>
        <v>0.14489973844812559</v>
      </c>
      <c r="D93" s="140">
        <f ca="1">MAX(0, MIN(1/3, (0.5 - ABS(D80-1)) * 1.2))</f>
        <v>0</v>
      </c>
      <c r="E93" s="140">
        <f ca="1">MAX(0, MIN(1/3, (0.5 - ABS(E80-1)) * 1.2))</f>
        <v>0</v>
      </c>
      <c r="F93" s="44"/>
    </row>
    <row r="94" spans="1:6">
      <c r="A94" s="31" t="s">
        <v>562</v>
      </c>
      <c r="B94" s="230">
        <f ca="1">((0 * B91) + (B79 * B92) + (1 * B93) + (1 - B91 - B92 - B93) * ((B88 + B84) / 2)) * 1.02</f>
        <v>1.4884541194420227</v>
      </c>
      <c r="C94" s="231">
        <f ca="1">((0 * C91) + (C79 * C92) + (1 * C93) + (1 - C91 - C92 - C93) * ((C88 + C84) / 2)) * 1.02</f>
        <v>1.3357645957119479</v>
      </c>
      <c r="D94" s="230">
        <f t="shared" ref="D94:E94" ca="1" si="3">((0 * D91) + (D79 * D92) + (1 * D93) + (1 - D91 - D92 - D93) * ((D88 + D84) / 2)) * 1.02</f>
        <v>1.8428620177637314</v>
      </c>
      <c r="E94" s="230">
        <f t="shared" ca="1" si="3"/>
        <v>1.6852412543591979</v>
      </c>
      <c r="F94" s="44"/>
    </row>
    <row r="95" spans="1:6">
      <c r="A95" s="9" t="s">
        <v>563</v>
      </c>
      <c r="B95" s="137"/>
      <c r="C95" s="139"/>
      <c r="D95" s="137"/>
      <c r="E95" s="137"/>
      <c r="F95" s="44"/>
    </row>
    <row r="96" spans="1:6">
      <c r="A96" s="31" t="s">
        <v>548</v>
      </c>
      <c r="B96" s="137">
        <f ca="1">B76+1</f>
        <v>2.5257192676547513</v>
      </c>
      <c r="C96" s="139">
        <f ca="1">C76+1</f>
        <v>2.3792502179598953</v>
      </c>
      <c r="D96" s="137">
        <f ca="1">D76+1</f>
        <v>2.8491717523975586</v>
      </c>
      <c r="E96" s="137">
        <f ca="1">E76+1</f>
        <v>2.7053182214472535</v>
      </c>
      <c r="F96" s="44"/>
    </row>
    <row r="97" spans="1:6">
      <c r="A97" s="31" t="s">
        <v>549</v>
      </c>
      <c r="B97" s="137">
        <f ca="1">B96+MIN(B96*(152/1024) - (752/1024), -0.375)</f>
        <v>2.1507192676547513</v>
      </c>
      <c r="C97" s="139">
        <f ca="1">C96+MIN(C96*(152/1024) - (752/1024), -0.375)</f>
        <v>1.9980451721883172</v>
      </c>
      <c r="D97" s="137">
        <f ca="1">D96+MIN(D96*(152/1024) - (752/1024), -0.375)</f>
        <v>2.4741717523975586</v>
      </c>
      <c r="E97" s="137">
        <f ca="1">E96+MIN(E96*(152/1024) - (752/1024), -0.375)</f>
        <v>2.3303182214472535</v>
      </c>
      <c r="F97" s="44"/>
    </row>
    <row r="98" spans="1:6">
      <c r="A98" s="31" t="s">
        <v>550</v>
      </c>
      <c r="B98" s="137">
        <f ca="1">B96+MIN(1-B96, B96*152/1024 - 448/1024)</f>
        <v>1</v>
      </c>
      <c r="C98" s="139">
        <f ca="1">C96+MIN(1-C96, C96*152/1024 - 448/1024)</f>
        <v>1</v>
      </c>
      <c r="D98" s="137">
        <f ca="1">D96+MIN(1-D96, D96*152/1024 - 448/1024)</f>
        <v>1</v>
      </c>
      <c r="E98" s="137">
        <f ca="1">E96+MIN(1-E96, E96*152/1024 - 448/1024)</f>
        <v>1</v>
      </c>
      <c r="F98" s="44"/>
    </row>
    <row r="99" spans="1:6">
      <c r="A99" s="31" t="s">
        <v>551</v>
      </c>
      <c r="B99" s="137">
        <f ca="1">MAX(B97,B98)</f>
        <v>2.1507192676547513</v>
      </c>
      <c r="C99" s="139">
        <f ca="1">MAX(C97,C98)</f>
        <v>1.9980451721883172</v>
      </c>
      <c r="D99" s="137">
        <f ca="1">MAX(D97,D98)</f>
        <v>2.4741717523975586</v>
      </c>
      <c r="E99" s="137">
        <f ca="1">MAX(E97,E98)</f>
        <v>2.3303182214472535</v>
      </c>
      <c r="F99" s="44"/>
    </row>
    <row r="100" spans="1:6">
      <c r="A100" s="31" t="s">
        <v>552</v>
      </c>
      <c r="B100" s="226">
        <f ca="1">MIN(MAX(MAX(B97,B98),0),$B$78)</f>
        <v>2.1507192676547513</v>
      </c>
      <c r="C100" s="227">
        <f ca="1">MIN(MAX(MAX(C97,C98),0),C$78)</f>
        <v>1.9980451721883172</v>
      </c>
      <c r="D100" s="233">
        <f t="shared" ref="D100:E100" ca="1" si="4">MIN(MAX(MAX(D97,D98),0),D$78)</f>
        <v>2.4741717523975586</v>
      </c>
      <c r="E100" s="233">
        <f t="shared" ca="1" si="4"/>
        <v>2.3303182214472535</v>
      </c>
      <c r="F100" s="44"/>
    </row>
    <row r="101" spans="1:6">
      <c r="A101" s="31" t="s">
        <v>553</v>
      </c>
      <c r="B101" s="137">
        <f ca="1">B96 + MAX(MIN(B96 * 0.25, 0.375), 0.25)</f>
        <v>2.9007192676547513</v>
      </c>
      <c r="C101" s="139">
        <f ca="1">C96 + MAX(MIN(C96 * 0.25, 0.375), 0.25)</f>
        <v>2.7542502179598953</v>
      </c>
      <c r="D101" s="137">
        <f ca="1">D96 + MAX(MIN(D96 * 0.25, 0.375), 0.25)</f>
        <v>3.2241717523975586</v>
      </c>
      <c r="E101" s="137">
        <f ca="1">E96 + MAX(MIN(E96 * 0.25, 0.375), 0.25)</f>
        <v>3.0803182214472535</v>
      </c>
      <c r="F101" s="44"/>
    </row>
    <row r="102" spans="1:6">
      <c r="A102" s="31" t="s">
        <v>554</v>
      </c>
      <c r="B102" s="137">
        <f ca="1">B96 + MIN(B96*341/1024 + 358/1024, 1-B96)</f>
        <v>1</v>
      </c>
      <c r="C102" s="139">
        <f ca="1">C96 + MIN(C96*341/1024 + 358/1024, 1-C96)</f>
        <v>1</v>
      </c>
      <c r="D102" s="137">
        <f ca="1">D96 + MIN(D96*341/1024 + 358/1024, 1-D96)</f>
        <v>1</v>
      </c>
      <c r="E102" s="137">
        <f ca="1">E96 + MIN(E96*341/1024 + 358/1024, 1-E96)</f>
        <v>1</v>
      </c>
      <c r="F102" s="44"/>
    </row>
    <row r="103" spans="1:6">
      <c r="A103" s="31" t="s">
        <v>555</v>
      </c>
      <c r="B103" s="137">
        <f ca="1">MAX(B101,B102)</f>
        <v>2.9007192676547513</v>
      </c>
      <c r="C103" s="139">
        <f ca="1">MAX(C101,C102)</f>
        <v>2.7542502179598953</v>
      </c>
      <c r="D103" s="137">
        <f ca="1">MAX(D101,D102)</f>
        <v>3.2241717523975586</v>
      </c>
      <c r="E103" s="137">
        <f ca="1">MAX(E101,E102)</f>
        <v>3.0803182214472535</v>
      </c>
      <c r="F103" s="44"/>
    </row>
    <row r="104" spans="1:6">
      <c r="A104" s="31" t="s">
        <v>556</v>
      </c>
      <c r="B104" s="226">
        <f ca="1">MIN(MAX(B101,B102),B$78)</f>
        <v>2.9007192676547513</v>
      </c>
      <c r="C104" s="227">
        <f t="shared" ref="C104:E104" ca="1" si="5">MIN(MAX(C101,C102),C$78)</f>
        <v>2.7542502179598953</v>
      </c>
      <c r="D104" s="226">
        <f t="shared" ca="1" si="5"/>
        <v>3.2241717523975586</v>
      </c>
      <c r="E104" s="226">
        <f t="shared" ca="1" si="5"/>
        <v>3.0803182214472535</v>
      </c>
      <c r="F104" s="44"/>
    </row>
    <row r="105" spans="1:6">
      <c r="A105" s="31" t="s">
        <v>557</v>
      </c>
      <c r="B105" s="137">
        <f t="shared" ref="B105:E106" ca="1" si="6">B103-B99</f>
        <v>0.75</v>
      </c>
      <c r="C105" s="139">
        <f t="shared" ca="1" si="6"/>
        <v>0.7562050457715781</v>
      </c>
      <c r="D105" s="137">
        <f t="shared" ca="1" si="6"/>
        <v>0.75</v>
      </c>
      <c r="E105" s="137">
        <f t="shared" ca="1" si="6"/>
        <v>0.75</v>
      </c>
      <c r="F105" s="44"/>
    </row>
    <row r="106" spans="1:6">
      <c r="A106" s="31" t="s">
        <v>558</v>
      </c>
      <c r="B106" s="137">
        <f t="shared" ca="1" si="6"/>
        <v>0.75</v>
      </c>
      <c r="C106" s="139">
        <f t="shared" ca="1" si="6"/>
        <v>0.7562050457715781</v>
      </c>
      <c r="D106" s="137">
        <f t="shared" ca="1" si="6"/>
        <v>0.75</v>
      </c>
      <c r="E106" s="137">
        <f t="shared" ca="1" si="6"/>
        <v>0.75</v>
      </c>
      <c r="F106" s="44"/>
    </row>
    <row r="107" spans="1:6">
      <c r="A107" s="31" t="s">
        <v>559</v>
      </c>
      <c r="B107" s="142">
        <f ca="1">IF(B99&lt;0, 1-(B106/B105), 0)</f>
        <v>0</v>
      </c>
      <c r="C107" s="143">
        <f ca="1">IF(C99&lt;0, 1-(C106/C105), 0)</f>
        <v>0</v>
      </c>
      <c r="D107" s="142">
        <f ca="1">IF(D99&lt;0, 1-(D106/D105), 0)</f>
        <v>0</v>
      </c>
      <c r="E107" s="142">
        <f ca="1">IF(E99&lt;0, 1-(E106/E105), 0)</f>
        <v>0</v>
      </c>
      <c r="F107" s="44"/>
    </row>
    <row r="108" spans="1:6">
      <c r="A108" s="31" t="s">
        <v>560</v>
      </c>
      <c r="B108" s="142">
        <f ca="1">IF(B103&gt;4.25, 1-(B106/B105), 0)</f>
        <v>0</v>
      </c>
      <c r="C108" s="143">
        <f ca="1">IF(C103&gt;4.25, 1-(C106/C105), 0)</f>
        <v>0</v>
      </c>
      <c r="D108" s="142">
        <f ca="1">IF(D103&gt;4.25, 1-(D106/D105), 0)</f>
        <v>0</v>
      </c>
      <c r="E108" s="142">
        <f ca="1">IF(E103&gt;4.25, 1-(E106/E105), 0)</f>
        <v>0</v>
      </c>
      <c r="F108" s="44"/>
    </row>
    <row r="109" spans="1:6">
      <c r="A109" s="31" t="s">
        <v>561</v>
      </c>
      <c r="B109" s="142">
        <f ca="1">MAX(0, MIN(1/3, (0.5 - ABS(B96-1)) * 1.2))</f>
        <v>0</v>
      </c>
      <c r="C109" s="143">
        <f ca="1">MAX(0, MIN(1/3, (0.5 - ABS(C96-1)) * 1.2))</f>
        <v>0</v>
      </c>
      <c r="D109" s="142">
        <f ca="1">MAX(0, MIN(1/3, (0.5 - ABS(D96-1)) * 1.2))</f>
        <v>0</v>
      </c>
      <c r="E109" s="142">
        <f ca="1">MAX(0, MIN(1/3, (0.5 - ABS(E96-1)) * 1.2))</f>
        <v>0</v>
      </c>
      <c r="F109" s="44"/>
    </row>
    <row r="110" spans="1:6">
      <c r="A110" s="26" t="s">
        <v>564</v>
      </c>
      <c r="B110" s="228">
        <f ca="1">((0 * B107) + (B78 * B108) + (1 * B109) + (1 - B107 - B108 - B109) * ((B104 + B100) / 2)) * 1.02</f>
        <v>2.5762336530078462</v>
      </c>
      <c r="C110" s="229">
        <f t="shared" ref="C110:E110" ca="1" si="7">((0 * C107) + (C78 * C108) + (1 * C109) + (1 - C107 - C108 - C109) * ((C104 + C100) / 2)) * 1.02</f>
        <v>2.4236706489755884</v>
      </c>
      <c r="D110" s="228">
        <f t="shared" ca="1" si="7"/>
        <v>2.9061551874455098</v>
      </c>
      <c r="E110" s="228">
        <f t="shared" ca="1" si="7"/>
        <v>2.7594245858761988</v>
      </c>
      <c r="F110" s="44"/>
    </row>
    <row r="111" spans="1:6">
      <c r="A111" t="s">
        <v>39</v>
      </c>
      <c r="B111" s="5">
        <f ca="1">((B73-($N$4+$O$4))/2)/100+75%</f>
        <v>1.8025</v>
      </c>
      <c r="C111" s="130">
        <f ca="1">((C73-($N$4+$P$4))/2)/100+75%</f>
        <v>1.7675000000000001</v>
      </c>
      <c r="D111" s="45">
        <f ca="1">((D73-($N$4+$O$4))/2)/100+75%</f>
        <v>1.8075000000000001</v>
      </c>
      <c r="E111" s="5">
        <f ca="1">((E73-($N$4+$P$4))/2)/100+75%</f>
        <v>1.7975000000000001</v>
      </c>
    </row>
    <row r="112" spans="1:6">
      <c r="A112" s="14" t="s">
        <v>38</v>
      </c>
      <c r="B112" s="28">
        <f ca="1">MAX(MIN(B111,99%), 20%)</f>
        <v>0.99</v>
      </c>
      <c r="C112" s="131">
        <f ca="1">MAX(MIN(C111,99%), 20%)</f>
        <v>0.99</v>
      </c>
      <c r="D112" s="28">
        <f ca="1">MAX(MIN(D111,99%), 20%)</f>
        <v>0.99</v>
      </c>
      <c r="E112" s="28">
        <f ca="1">MAX(MIN(E111,99%), 20%)</f>
        <v>0.99</v>
      </c>
    </row>
    <row r="113" spans="1:6">
      <c r="A113" s="119" t="s">
        <v>505</v>
      </c>
      <c r="B113" s="29">
        <f ca="1">$G$14</f>
        <v>156</v>
      </c>
      <c r="C113" s="63">
        <f ca="1">$H$14</f>
        <v>166</v>
      </c>
      <c r="D113" s="29">
        <f ca="1">$G$14</f>
        <v>156</v>
      </c>
      <c r="E113" s="29">
        <f ca="1">$H$14</f>
        <v>166</v>
      </c>
    </row>
    <row r="114" spans="1:6">
      <c r="A114" s="31" t="s">
        <v>507</v>
      </c>
      <c r="B114" s="35">
        <f ca="1">TRUNC(B113/9)</f>
        <v>17</v>
      </c>
      <c r="C114" s="67">
        <f ca="1">TRUNC(C113/9)</f>
        <v>18</v>
      </c>
      <c r="D114" s="35">
        <f ca="1">TRUNC(D113/9)</f>
        <v>17</v>
      </c>
      <c r="E114" s="35">
        <f ca="1">TRUNC(E113/9)</f>
        <v>18</v>
      </c>
    </row>
    <row r="115" spans="1:6">
      <c r="A115" s="31" t="s">
        <v>508</v>
      </c>
      <c r="B115" s="31">
        <f ca="1">TRUNC(MAX(MIN(TRUNC((B$38+B$39)/2), (8+B114)*2), (0-B114)*2)/2)</f>
        <v>5</v>
      </c>
      <c r="C115" s="63">
        <f ca="1">TRUNC(MAX(MIN(TRUNC((C$38+C$39)/2), (8+C114)*2), (0-C114)*2)/2)</f>
        <v>4</v>
      </c>
      <c r="D115" s="31">
        <f ca="1">TRUNC(MAX(MIN(TRUNC((D$38+D$39)/2), (8+D114)*2), (0-D114)*2)/2)</f>
        <v>15</v>
      </c>
      <c r="E115" s="31">
        <f ca="1">TRUNC(MAX(MIN(TRUNC((E$38+E$39)/2), (8+E114)*2), (0-E114)*2)/2)</f>
        <v>25</v>
      </c>
    </row>
    <row r="116" spans="1:6">
      <c r="A116" s="26" t="s">
        <v>509</v>
      </c>
      <c r="B116" s="70">
        <f ca="1">B113+B115</f>
        <v>161</v>
      </c>
      <c r="C116" s="71">
        <f ca="1">C113+C115</f>
        <v>170</v>
      </c>
      <c r="D116" s="70">
        <f ca="1">D113+D115</f>
        <v>171</v>
      </c>
      <c r="E116" s="70">
        <f ca="1">E113+E115</f>
        <v>191</v>
      </c>
    </row>
    <row r="118" spans="1:6">
      <c r="A118" s="65" t="s">
        <v>506</v>
      </c>
      <c r="B118" s="27"/>
      <c r="C118" s="27"/>
      <c r="D118" s="27"/>
      <c r="E118" s="27"/>
    </row>
    <row r="119" spans="1:6">
      <c r="A119" s="24" t="s">
        <v>30</v>
      </c>
      <c r="B119" s="23">
        <f ca="1">$G$23+HLOOKUP(VLOOKUP($G$19, Skills, 2, 0), INDIRECT(B$31), MATCH("Total", Slots, 0)+1, 0) + VLOOKUP(Gear!$B$4, INDIRECT(Gear!$A$4), MATCH("CombatSkill", StatHeader, 0), 0)</f>
        <v>622</v>
      </c>
      <c r="C119" s="56">
        <f ca="1">$H$23+HLOOKUP(VLOOKUP($H$19, Skills, 2, 0), INDIRECT(C$31), MATCH("Total", Slots, 0)+1, 0) + VLOOKUP(Gear!$Z$4, INDIRECT(Gear!$Y$4), MATCH("CombatSkill", StatHeader, 0), 0)</f>
        <v>622</v>
      </c>
      <c r="D119" s="23">
        <f ca="1">$G$23+HLOOKUP($A119, INDIRECT(D$31), MATCH("Total", Slots, 0)+1, 0) + VLOOKUP(Gear!$B$4, INDIRECT(Gear!$A$4), MATCH("CombatSkill", StatHeader, 0), 0)</f>
        <v>622</v>
      </c>
      <c r="E119" s="23">
        <f ca="1">$H$23+HLOOKUP($A119, INDIRECT(E$31), MATCH("Total", Slots, 0)+1, 0) + VLOOKUP(Gear!$Z$4, INDIRECT(Gear!$Y$4), MATCH("CombatSkill", StatHeader, 0), 0)</f>
        <v>622</v>
      </c>
    </row>
    <row r="120" spans="1:6">
      <c r="A120" s="24" t="s">
        <v>9</v>
      </c>
      <c r="B120" s="23">
        <f ca="1">8+B119</f>
        <v>630</v>
      </c>
      <c r="C120" s="57">
        <f ca="1">8+C119</f>
        <v>630</v>
      </c>
      <c r="D120" s="23">
        <f ca="1">8+D119</f>
        <v>630</v>
      </c>
      <c r="E120" s="23">
        <f ca="1">8+E119</f>
        <v>630</v>
      </c>
    </row>
    <row r="121" spans="1:6">
      <c r="A121" s="25" t="s">
        <v>10</v>
      </c>
      <c r="B121" s="38">
        <f ca="1">MIN(B119, 200) + TRUNC(MAX(MIN(B119-200, 200), 0)*0.9) + TRUNC(MAX(MIN(B119-400, 200), 0)*0.8) + TRUNC(MAX(MIN(B119-600, 200), 0)*0.9)</f>
        <v>559</v>
      </c>
      <c r="C121" s="61">
        <f ca="1">MIN(C119, 200) + TRUNC(MAX(MIN(C119-200, 200), 0)*0.9) + TRUNC(MAX(MIN(C119-400, 200), 0)*0.8) + TRUNC(MAX(MIN(C119-600, 200), 0)*0.9)</f>
        <v>559</v>
      </c>
      <c r="D121" s="38">
        <f ca="1">MIN(D119, 200) + TRUNC(MAX(MIN(D119-200, 200), 0)*0.9) + TRUNC(MAX(MIN(D119-400, 200), 0)*0.8) + TRUNC(MAX(MIN(D119-600, 200), 0)*0.9)</f>
        <v>559</v>
      </c>
      <c r="E121" s="38">
        <f ca="1">MIN(E119, 200) + TRUNC(MAX(MIN(E119-200, 200), 0)*0.9) + TRUNC(MAX(MIN(E119-400, 200), 0)*0.8) + TRUNC(MAX(MIN(E119-600, 200), 0)*0.9)</f>
        <v>559</v>
      </c>
    </row>
    <row r="122" spans="1:6">
      <c r="A122" s="119" t="s">
        <v>501</v>
      </c>
      <c r="B122" s="120">
        <f>50%</f>
        <v>0.5</v>
      </c>
      <c r="C122" s="121">
        <f>50%</f>
        <v>0.5</v>
      </c>
      <c r="D122" s="120">
        <f>50%</f>
        <v>0.5</v>
      </c>
      <c r="E122" s="120">
        <f>50%</f>
        <v>0.5</v>
      </c>
    </row>
    <row r="123" spans="1:6">
      <c r="A123" s="122" t="s">
        <v>502</v>
      </c>
      <c r="B123" s="123">
        <f>75%</f>
        <v>0.75</v>
      </c>
      <c r="C123" s="124">
        <f>75%</f>
        <v>0.75</v>
      </c>
      <c r="D123" s="123">
        <f>75%</f>
        <v>0.75</v>
      </c>
      <c r="E123" s="123">
        <f>75%</f>
        <v>0.75</v>
      </c>
    </row>
    <row r="124" spans="1:6">
      <c r="A124" s="24" t="s">
        <v>59</v>
      </c>
      <c r="B124" s="37">
        <f ca="1">B120 + TRUNC(B$34*B122) + B$40 + B$41 + B$43 + $E$9 + $H$9 + HLOOKUP("Att", INDIRECT(B$31), MATCH("Total", Slots, 0)+1, 0)</f>
        <v>1069</v>
      </c>
      <c r="C124" s="62">
        <f ca="1">C120 + TRUNC(C$34*C122) + C$40 + C$41 + C$43 + $F$9 + $H$9 + HLOOKUP("Att", INDIRECT(C$31), MATCH("Total", Slots, 0)+1, 0)</f>
        <v>1032</v>
      </c>
      <c r="D124" s="37">
        <f ca="1">D120 + TRUNC(D$34*D122) + D$40 + D$41 + D$43 + $E$9 + $H$9 + HLOOKUP("Att", INDIRECT(D$31), MATCH("Total", Slots, 0)+1, 0)</f>
        <v>1323</v>
      </c>
      <c r="E124" s="37">
        <f ca="1">E120 + TRUNC(E$34*E122) + E$40 + E$41 + E$43 + $F$9 + $H$9 + HLOOKUP("Att", INDIRECT(E$31), MATCH("Total", Slots, 0)+1, 0)</f>
        <v>1289</v>
      </c>
      <c r="F124" s="44"/>
    </row>
    <row r="125" spans="1:6">
      <c r="A125" s="25" t="s">
        <v>60</v>
      </c>
      <c r="B125" s="38">
        <f ca="1">B121 + TRUNC(B$35*B123) + B$44 + B$45 + B$50 + B$46 + B$47 + B$48 + B$49 + B$51 + $E$10 + $H$10 + HLOOKUP("Acc", INDIRECT(B$31), MATCH("Total", Slots, 0)+1, 0)</f>
        <v>1280.5</v>
      </c>
      <c r="C125" s="61">
        <f ca="1">C121 + TRUNC(C$35*C123) + C$44 + C$45 + C$50 + C$46 + C$47 + C$48 + C$49 + C$51 + $E$10 + $H$10 + HLOOKUP("Acc", INDIRECT(C$31), MATCH("Total", Slots, 0)+1, 0)</f>
        <v>1273.5</v>
      </c>
      <c r="D125" s="38">
        <f ca="1">D121 + TRUNC(D$35*D123) + D$44 + D$45 + D$50 + D$46 + D$47 + D$48 + D$49 + D$51 + $E$10 + $H$10 + HLOOKUP("Acc", INDIRECT(D$31), MATCH("Total", Slots, 0)+1, 0)</f>
        <v>1281.5</v>
      </c>
      <c r="E125" s="38">
        <f ca="1">E121 + TRUNC(E$35*E123) + E$44 + E$45 + E$50 + E$46 + E$47 + E$48 + E$49 + E$51 + $E$10 + $H$10 + HLOOKUP("Acc", INDIRECT(E$31), MATCH("Total", Slots, 0)+1, 0)</f>
        <v>1279.5</v>
      </c>
    </row>
    <row r="126" spans="1:6">
      <c r="A126" s="24" t="s">
        <v>55</v>
      </c>
      <c r="B126" s="37">
        <f ca="1">FLOOR(MIN(B124*$B$9, $C$9),1)+$D$9</f>
        <v>0</v>
      </c>
      <c r="C126" s="62">
        <f ca="1">FLOOR(MIN(C124*$B$9, $C$9),1)+$D$9</f>
        <v>0</v>
      </c>
      <c r="D126" s="37">
        <f ca="1">FLOOR(MIN(D124*$B$9, $C$9),1)+$D$9</f>
        <v>0</v>
      </c>
      <c r="E126" s="37">
        <f ca="1">FLOOR(MIN(E124*$B$9, $C$9),1)+$D$9</f>
        <v>0</v>
      </c>
    </row>
    <row r="127" spans="1:6">
      <c r="A127" s="25" t="s">
        <v>56</v>
      </c>
      <c r="B127" s="38">
        <f ca="1">FLOOR(MIN(B125*$B$10, $C$10),1)+$D$10</f>
        <v>105</v>
      </c>
      <c r="C127" s="61">
        <f ca="1">FLOOR(MIN(C125*$B$10, $C$10),1)+$D$10</f>
        <v>105</v>
      </c>
      <c r="D127" s="38">
        <f ca="1">FLOOR(MIN(D125*$B$10, $C$10),1)+$D$10</f>
        <v>105</v>
      </c>
      <c r="E127" s="38">
        <f ca="1">FLOOR(MIN(E125*$B$10, $C$10),1)+$D$10</f>
        <v>105</v>
      </c>
      <c r="F127" s="44"/>
    </row>
    <row r="128" spans="1:6">
      <c r="A128" s="24" t="s">
        <v>120</v>
      </c>
      <c r="B128" s="29">
        <f>IF(AND(Setup!$F$10=1, $D$1="War"), TRUNC(B124*25%), 0)</f>
        <v>0</v>
      </c>
      <c r="C128" s="63">
        <f>IF(AND(Setup!$G$10=1, $D$1="War"), TRUNC(C124*25%), 0)</f>
        <v>0</v>
      </c>
      <c r="D128" s="29">
        <f>IF(AND(Setup!$F$10=1, $D$1="War"), TRUNC(D124*25%), 0)</f>
        <v>0</v>
      </c>
      <c r="E128" s="29">
        <f>IF(AND(Setup!$G$10=1, $D$1="War"), TRUNC(E124*25%), 0)</f>
        <v>0</v>
      </c>
      <c r="F128" s="44"/>
    </row>
    <row r="129" spans="1:13">
      <c r="A129" s="24" t="s">
        <v>121</v>
      </c>
      <c r="B129" s="29">
        <f ca="1">IF(Setup!$J$35=1, TRUNC(B124*Setup!$M$35), 0)</f>
        <v>267</v>
      </c>
      <c r="C129" s="63">
        <f ca="1">IF(Setup!$K$35=1, TRUNC(C124*Setup!$N$35), 0)</f>
        <v>258</v>
      </c>
      <c r="D129" s="29">
        <f ca="1">IF(Setup!$J$35=1, TRUNC(D124*Setup!$M$35), 0)</f>
        <v>330</v>
      </c>
      <c r="E129" s="29">
        <f ca="1">IF(Setup!$K$35=1, TRUNC(E124*Setup!$N$35), 0)</f>
        <v>322</v>
      </c>
      <c r="F129" s="44"/>
    </row>
    <row r="130" spans="1:13" s="200" customFormat="1">
      <c r="A130" s="24" t="s">
        <v>756</v>
      </c>
      <c r="B130" s="29">
        <f ca="1">IF(OR(AND(Setup!$B$26=1,Gear!$B$3="Kikoku Aug 121"),AND(Setup!$B$26=1,Gear!$B$3="Kikoku 121")), FLOOR((B120+TRUNC(B34*B122)+HLOOKUP("Att", INDIRECT(B$31), MATCH("Total", Slots, 0)+1, 0))*(100/1024), 1), 0)</f>
        <v>96</v>
      </c>
      <c r="C130" s="63">
        <f ca="1">IF(OR(AND(Setup!$C$26=1,Gear!$Z$3="Kikoku Aug 121"),AND(Setup!$C$26=1,Gear!$Z$3="Kikoku 121")), FLOOR((C120+TRUNC(C34*C122)+HLOOKUP("Att", INDIRECT(C$31), MATCH("Total", Slots, 0)+1, 0))*(100/1024), 1), 0)</f>
        <v>0</v>
      </c>
      <c r="D130" s="29">
        <f ca="1">IF(OR(AND(Setup!$B$26=1,Gear!$B$3="Kikoku Aug 121"),AND(Setup!$B$26=1,Gear!$B$3="Kikoku 121")), FLOOR((D120+TRUNC(D34*D122)+HLOOKUP("Att", INDIRECT(D$31), MATCH("Total", Slots, 0)+1, 0))*(100/1024), 1), 0)</f>
        <v>121</v>
      </c>
      <c r="E130" s="29">
        <f ca="1">IF(OR(AND(Setup!$C$26=1,Gear!$Z$3="Kikoku Aug 121"),AND(Setup!$C$26=1,Gear!$Z$3="Kikoku 121")), FLOOR((E120+TRUNC(E34*E122)+HLOOKUP("Att", INDIRECT(E$31), MATCH("Total", Slots, 0)+1, 0))*(100/1024), 1), 0)</f>
        <v>0</v>
      </c>
      <c r="F130" s="44"/>
      <c r="M130"/>
    </row>
    <row r="131" spans="1:13">
      <c r="A131" s="24" t="s">
        <v>341</v>
      </c>
      <c r="B131" s="29">
        <v>0</v>
      </c>
      <c r="C131" s="63">
        <v>0</v>
      </c>
      <c r="D131" s="29">
        <f ca="1">TRUNC((VLOOKUP(Setup!B$24, WeaponskillData, MATCH("Att Bonus", WeaponskillDataCols, 0), 0) + Weaponskill!N5) * D124)</f>
        <v>0</v>
      </c>
      <c r="E131" s="29">
        <f ca="1">TRUNC((VLOOKUP(Setup!C$24, WeaponskillData, MATCH("Att Bonus", WeaponskillDataCols, 0), 0) + Weaponskill!N538) * E124)</f>
        <v>0</v>
      </c>
      <c r="F131" s="44"/>
      <c r="M131" s="200"/>
    </row>
    <row r="132" spans="1:13">
      <c r="A132" s="25" t="s">
        <v>142</v>
      </c>
      <c r="B132" s="26">
        <f>IF(AND(Setup!$F$29=1, OR(Setup!F52=1, Setup!$F$24=1)), FLOOR(0.25*B124, 1), 0)</f>
        <v>0</v>
      </c>
      <c r="C132" s="64">
        <f>IF(AND(Setup!$G$29=1, OR(Setup!G46=1, Setup!$G$24=1)), FLOOR(0.25*C124, 1), 0)</f>
        <v>0</v>
      </c>
      <c r="D132" s="26">
        <f>IF(AND(Setup!$F$29=1, OR(Setup!F46=1, Setup!$F$24=1)), FLOOR(0.25*D124, 1), 0)</f>
        <v>0</v>
      </c>
      <c r="E132" s="26">
        <f>IF(AND(Setup!$G$29=1, OR(Setup!G46=1, Setup!$G$24=1)), FLOOR(0.25*E124, 1), 0)</f>
        <v>0</v>
      </c>
      <c r="F132" s="44"/>
    </row>
    <row r="133" spans="1:13" s="200" customFormat="1">
      <c r="A133" s="24" t="s">
        <v>746</v>
      </c>
      <c r="B133" s="29">
        <f>IF(Setup!$J$50=1, FLOOR(Setup!$M$50*B124, 1), 0)</f>
        <v>0</v>
      </c>
      <c r="C133" s="211">
        <f>IF(Setup!$K$50=1, FLOOR(Setup!$N$50*C124, 1), 0)</f>
        <v>0</v>
      </c>
      <c r="D133" s="29">
        <f>IF(Setup!$J$50=1, FLOOR(Setup!$M$50*D124, 1), 0)</f>
        <v>0</v>
      </c>
      <c r="E133" s="29">
        <f>IF(Setup!$K$50=1, FLOOR(Setup!$N$50*E124, 1), 0)</f>
        <v>0</v>
      </c>
      <c r="F133" s="44"/>
      <c r="M133"/>
    </row>
    <row r="134" spans="1:13" s="200" customFormat="1">
      <c r="A134" s="24" t="s">
        <v>733</v>
      </c>
      <c r="B134" s="29"/>
      <c r="C134" s="63"/>
      <c r="D134" s="29"/>
      <c r="E134" s="29"/>
      <c r="F134" s="44"/>
    </row>
    <row r="135" spans="1:13" s="200" customFormat="1">
      <c r="A135" s="24" t="s">
        <v>757</v>
      </c>
      <c r="B135" s="29"/>
      <c r="C135" s="63"/>
      <c r="D135" s="29"/>
      <c r="E135" s="29"/>
      <c r="F135" s="44"/>
    </row>
    <row r="136" spans="1:13" s="200" customFormat="1">
      <c r="A136" s="25" t="s">
        <v>734</v>
      </c>
      <c r="B136" s="26"/>
      <c r="C136" s="64"/>
      <c r="D136" s="26"/>
      <c r="E136" s="26"/>
      <c r="F136" s="44"/>
    </row>
    <row r="137" spans="1:13">
      <c r="A137" s="31" t="s">
        <v>503</v>
      </c>
      <c r="B137" s="39">
        <f ca="1">B124+B126+B128+B129+B132+B133+B130</f>
        <v>1432</v>
      </c>
      <c r="C137" s="125">
        <f ca="1">C124+C126+C128+C129+C132+C133+C130</f>
        <v>1290</v>
      </c>
      <c r="D137" s="39">
        <f ca="1">D124+D126+D128+D129+D132+D133+D130+D131</f>
        <v>1774</v>
      </c>
      <c r="E137" s="39">
        <f ca="1">E124+E126+E128+E129+E132+E133+E130+E131</f>
        <v>1611</v>
      </c>
      <c r="F137" s="44"/>
      <c r="M137" s="200"/>
    </row>
    <row r="138" spans="1:13">
      <c r="A138" s="26" t="s">
        <v>504</v>
      </c>
      <c r="B138" s="126">
        <f ca="1">B125+B127</f>
        <v>1385.5</v>
      </c>
      <c r="C138" s="127">
        <f ca="1">C125+C127</f>
        <v>1378.5</v>
      </c>
      <c r="D138" s="126">
        <f ca="1">D125+D127</f>
        <v>1386.5</v>
      </c>
      <c r="E138" s="126">
        <f ca="1">E125+E127</f>
        <v>1384.5</v>
      </c>
      <c r="F138" s="44"/>
    </row>
    <row r="139" spans="1:13" s="200" customFormat="1">
      <c r="A139" s="26" t="s">
        <v>845</v>
      </c>
      <c r="B139" s="221">
        <f ca="1">1+HLOOKUP($A139, INDIRECT(B$31), MATCH("Total", Slots, 0)+1, 0)</f>
        <v>1.1000000000000001</v>
      </c>
      <c r="C139" s="222">
        <f ca="1">1+HLOOKUP($A139, INDIRECT(C$31), MATCH("Total", Slots, 0)+1, 0)</f>
        <v>1.1000000000000001</v>
      </c>
      <c r="D139" s="221">
        <f ca="1">1+HLOOKUP($A139, INDIRECT(D$31), MATCH("Total", Slots, 0)+1, 0)</f>
        <v>1.1000000000000001</v>
      </c>
      <c r="E139" s="221">
        <f ca="1">1+HLOOKUP($A139, INDIRECT(E$31), MATCH("Total", Slots, 0)+1, 0)</f>
        <v>1.1000000000000001</v>
      </c>
      <c r="F139" s="44" t="s">
        <v>892</v>
      </c>
    </row>
    <row r="140" spans="1:13">
      <c r="A140" s="82" t="s">
        <v>37</v>
      </c>
      <c r="B140" s="128">
        <f ca="1">MAX(B137/$O$3-$N$3, 0)</f>
        <v>1.2484742807323452</v>
      </c>
      <c r="C140" s="129">
        <f ca="1">MAX(C137/$P$3-$N$3, 0)</f>
        <v>1.124673060156931</v>
      </c>
      <c r="D140" s="128">
        <f ca="1">MAX(D137/FLOOR(($O$3-$N$3)*IF(Setup!$B$24="Blade: Kamu",0.75,1),1), 0)</f>
        <v>1.5466434176111596</v>
      </c>
      <c r="E140" s="128">
        <f ca="1">MAX(E137/FLOOR(($P$3-$N$3)*IF(Setup!$C$24="Blade: Kamu",0.75,1),1), 0)</f>
        <v>1.4045335658238884</v>
      </c>
      <c r="F140" s="44"/>
    </row>
    <row r="141" spans="1:13">
      <c r="A141" s="9" t="s">
        <v>547</v>
      </c>
      <c r="B141" s="137"/>
      <c r="C141" s="138"/>
      <c r="D141" s="137"/>
      <c r="E141" s="137"/>
      <c r="F141" s="44"/>
    </row>
    <row r="142" spans="1:13">
      <c r="A142" s="31" t="s">
        <v>548</v>
      </c>
      <c r="B142" s="137">
        <f ca="1">B140</f>
        <v>1.2484742807323452</v>
      </c>
      <c r="C142" s="139">
        <f ca="1">C140</f>
        <v>1.124673060156931</v>
      </c>
      <c r="D142" s="137">
        <f ca="1">D140</f>
        <v>1.5466434176111596</v>
      </c>
      <c r="E142" s="137">
        <f ca="1">E140</f>
        <v>1.4045335658238884</v>
      </c>
      <c r="F142" s="44"/>
    </row>
    <row r="143" spans="1:13">
      <c r="A143" s="31" t="s">
        <v>549</v>
      </c>
      <c r="B143" s="137">
        <f ca="1">B142+MIN(B142*(152/1024) - (752/1024), -0.375)</f>
        <v>0.69941968177855274</v>
      </c>
      <c r="C143" s="139">
        <f ca="1">C142+MIN(C142*(152/1024) - (752/1024), -0.375)</f>
        <v>0.55724171752397544</v>
      </c>
      <c r="D143" s="137">
        <f ca="1">D142+MIN(D142*(152/1024) - (752/1024), -0.375)</f>
        <v>1.0418482999128162</v>
      </c>
      <c r="E143" s="137">
        <f ca="1">E142+MIN(E142*(152/1024) - (752/1024), -0.375)</f>
        <v>0.87864401700087191</v>
      </c>
      <c r="F143" s="44"/>
    </row>
    <row r="144" spans="1:13">
      <c r="A144" s="31" t="s">
        <v>550</v>
      </c>
      <c r="B144" s="137">
        <f ca="1">B142+MIN(1-B142, B142*152/1024 - 448/1024)</f>
        <v>0.99629468177855274</v>
      </c>
      <c r="C144" s="139">
        <f ca="1">C142+MIN(1-C142, C142*152/1024 - 448/1024)</f>
        <v>0.85411671752397544</v>
      </c>
      <c r="D144" s="137">
        <f ca="1">D142+MIN(1-D142, D142*152/1024 - 448/1024)</f>
        <v>1</v>
      </c>
      <c r="E144" s="137">
        <f ca="1">E142+MIN(1-E142, E142*152/1024 - 448/1024)</f>
        <v>1</v>
      </c>
      <c r="F144" s="44"/>
    </row>
    <row r="145" spans="1:6">
      <c r="A145" s="31" t="s">
        <v>551</v>
      </c>
      <c r="B145" s="137">
        <f ca="1">MAX(B143,B144)</f>
        <v>0.99629468177855274</v>
      </c>
      <c r="C145" s="139">
        <f ca="1">MAX(C143,C144)</f>
        <v>0.85411671752397544</v>
      </c>
      <c r="D145" s="137">
        <f ca="1">MAX(D143,D144)</f>
        <v>1.0418482999128162</v>
      </c>
      <c r="E145" s="137">
        <f ca="1">MAX(E143,E144)</f>
        <v>1</v>
      </c>
      <c r="F145" s="44"/>
    </row>
    <row r="146" spans="1:6">
      <c r="A146" s="31" t="s">
        <v>552</v>
      </c>
      <c r="B146" s="226">
        <f ca="1">MIN(MAX(MAX(B143,B144), 0),B$79)</f>
        <v>0.99629468177855274</v>
      </c>
      <c r="C146" s="227">
        <f t="shared" ref="C146:E146" ca="1" si="8">MIN(MAX(MAX(C143,C144), 0),C$79)</f>
        <v>0.85411671752397544</v>
      </c>
      <c r="D146" s="226">
        <f t="shared" ca="1" si="8"/>
        <v>1.0418482999128162</v>
      </c>
      <c r="E146" s="226">
        <f t="shared" ca="1" si="8"/>
        <v>1</v>
      </c>
      <c r="F146" s="44"/>
    </row>
    <row r="147" spans="1:6">
      <c r="A147" s="31" t="s">
        <v>553</v>
      </c>
      <c r="B147" s="137">
        <f ca="1">B142 + MAX(MIN(B142 * 0.25, 0.375), 0.25)</f>
        <v>1.5605928509154317</v>
      </c>
      <c r="C147" s="139">
        <f ca="1">C142 + MAX(MIN(C142 * 0.25, 0.375), 0.25)</f>
        <v>1.4058413251961639</v>
      </c>
      <c r="D147" s="137">
        <f ca="1">D142 + MAX(MIN(D142 * 0.25, 0.375), 0.25)</f>
        <v>1.9216434176111596</v>
      </c>
      <c r="E147" s="137">
        <f ca="1">E142 + MAX(MIN(E142 * 0.25, 0.375), 0.25)</f>
        <v>1.7556669572798604</v>
      </c>
      <c r="F147" s="44"/>
    </row>
    <row r="148" spans="1:6">
      <c r="A148" s="31" t="s">
        <v>554</v>
      </c>
      <c r="B148" s="137">
        <f ca="1">B142 + MIN(B142*341/1024 + 358/1024, 1-B142)</f>
        <v>1</v>
      </c>
      <c r="C148" s="139">
        <f ca="1">C142 + MIN(C142*341/1024 + 358/1024, 1-C142)</f>
        <v>1</v>
      </c>
      <c r="D148" s="137">
        <f ca="1">D142 + MIN(D142*341/1024 + 358/1024, 1-D142)</f>
        <v>1</v>
      </c>
      <c r="E148" s="137">
        <f ca="1">E142 + MIN(E142*341/1024 + 358/1024, 1-E142)</f>
        <v>1</v>
      </c>
      <c r="F148" s="44"/>
    </row>
    <row r="149" spans="1:6">
      <c r="A149" s="31" t="s">
        <v>555</v>
      </c>
      <c r="B149" s="137">
        <f ca="1">MAX(B147,B148)</f>
        <v>1.5605928509154317</v>
      </c>
      <c r="C149" s="139">
        <f ca="1">MAX(C147,C148)</f>
        <v>1.4058413251961639</v>
      </c>
      <c r="D149" s="137">
        <f ca="1">MAX(D147,D148)</f>
        <v>1.9216434176111596</v>
      </c>
      <c r="E149" s="137">
        <f ca="1">MAX(E147,E148)</f>
        <v>1.7556669572798604</v>
      </c>
      <c r="F149" s="44"/>
    </row>
    <row r="150" spans="1:6">
      <c r="A150" s="31" t="s">
        <v>556</v>
      </c>
      <c r="B150" s="226">
        <f ca="1">MIN(MAX(B147,B148),B$79)</f>
        <v>1.5605928509154317</v>
      </c>
      <c r="C150" s="227">
        <f t="shared" ref="C150:E150" ca="1" si="9">MIN(MAX(C147,C148),C$79)</f>
        <v>1.4058413251961639</v>
      </c>
      <c r="D150" s="226">
        <f t="shared" ca="1" si="9"/>
        <v>1.9216434176111596</v>
      </c>
      <c r="E150" s="226">
        <f t="shared" ca="1" si="9"/>
        <v>1.7556669572798604</v>
      </c>
      <c r="F150" s="44"/>
    </row>
    <row r="151" spans="1:6">
      <c r="A151" s="31" t="s">
        <v>557</v>
      </c>
      <c r="B151" s="137">
        <f ca="1">B149-B145</f>
        <v>0.56429816913687891</v>
      </c>
      <c r="C151" s="139">
        <f t="shared" ref="C151:E152" ca="1" si="10">C149-C145</f>
        <v>0.55172460767218845</v>
      </c>
      <c r="D151" s="137">
        <f t="shared" ca="1" si="10"/>
        <v>0.8797951176983434</v>
      </c>
      <c r="E151" s="137">
        <f t="shared" ca="1" si="10"/>
        <v>0.75566695727986044</v>
      </c>
      <c r="F151" s="44"/>
    </row>
    <row r="152" spans="1:6">
      <c r="A152" s="31" t="s">
        <v>558</v>
      </c>
      <c r="B152" s="137">
        <f ca="1">B150-B146</f>
        <v>0.56429816913687891</v>
      </c>
      <c r="C152" s="139">
        <f t="shared" ca="1" si="10"/>
        <v>0.55172460767218845</v>
      </c>
      <c r="D152" s="137">
        <f t="shared" ca="1" si="10"/>
        <v>0.8797951176983434</v>
      </c>
      <c r="E152" s="137">
        <f t="shared" ca="1" si="10"/>
        <v>0.75566695727986044</v>
      </c>
      <c r="F152" s="44"/>
    </row>
    <row r="153" spans="1:6">
      <c r="A153" s="31" t="s">
        <v>559</v>
      </c>
      <c r="B153" s="140">
        <f ca="1">IF(B145&lt;0, 1-(B152/B151), 0)</f>
        <v>0</v>
      </c>
      <c r="C153" s="141">
        <f ca="1">IF(C145&lt;0, 1-(C152/C151), 0)</f>
        <v>0</v>
      </c>
      <c r="D153" s="140">
        <f ca="1">IF(D145&lt;0, 1-(D152/D151), 0)</f>
        <v>0</v>
      </c>
      <c r="E153" s="140">
        <f ca="1">IF(E145&lt;0, 1-(E152/E151), 0)</f>
        <v>0</v>
      </c>
      <c r="F153" s="44"/>
    </row>
    <row r="154" spans="1:6">
      <c r="A154" s="31" t="s">
        <v>560</v>
      </c>
      <c r="B154" s="140">
        <f ca="1">IF(B149&gt;3.25, 1-(B152/B151), 0)</f>
        <v>0</v>
      </c>
      <c r="C154" s="141">
        <f ca="1">IF(C149&gt;3.25, 1-(C152/C151), 0)</f>
        <v>0</v>
      </c>
      <c r="D154" s="140">
        <f ca="1">IF(D149&gt;3.25, 1-(D152/D151), 0)</f>
        <v>0</v>
      </c>
      <c r="E154" s="140">
        <f ca="1">IF(E149&gt;3.25, 1-(E152/E151), 0)</f>
        <v>0</v>
      </c>
      <c r="F154" s="44"/>
    </row>
    <row r="155" spans="1:6">
      <c r="A155" s="31" t="s">
        <v>561</v>
      </c>
      <c r="B155" s="140">
        <f ca="1">MAX(0, MIN(1/3, (0.5 - ABS(B142-1)) * 1.2))</f>
        <v>0.30183086312118573</v>
      </c>
      <c r="C155" s="141">
        <f ca="1">MAX(0, MIN(1/3, (0.5 - ABS(C142-1)) * 1.2))</f>
        <v>0.33333333333333331</v>
      </c>
      <c r="D155" s="140">
        <f ca="1">MAX(0, MIN(1/3, (0.5 - ABS(D142-1)) * 1.2))</f>
        <v>0</v>
      </c>
      <c r="E155" s="140">
        <f ca="1">MAX(0, MIN(1/3, (0.5 - ABS(E142-1)) * 1.2))</f>
        <v>0.11455972101133387</v>
      </c>
      <c r="F155" s="44"/>
    </row>
    <row r="156" spans="1:6">
      <c r="A156" s="31" t="s">
        <v>562</v>
      </c>
      <c r="B156" s="230">
        <f ca="1">((0 * B153) + (B79 * B154) + (1 * B155) + (1 - B153 - B154 - B155) * ((B150 + B146) / 2)) * 1.02</f>
        <v>1.2182888609001614</v>
      </c>
      <c r="C156" s="231">
        <f t="shared" ref="C156:E156" ca="1" si="11">((0 * C153) + (C79 * C154) + (1 * C155) + (1 - C153 - C154 - C155) * ((C150 + C146) / 2)) * 1.02</f>
        <v>1.1083857345248476</v>
      </c>
      <c r="D156" s="230">
        <f t="shared" ca="1" si="11"/>
        <v>1.5113807759372275</v>
      </c>
      <c r="E156" s="230">
        <f t="shared" ca="1" si="11"/>
        <v>1.3612399603529621</v>
      </c>
      <c r="F156" s="44"/>
    </row>
    <row r="157" spans="1:6">
      <c r="A157" s="9" t="s">
        <v>563</v>
      </c>
      <c r="B157" s="137"/>
      <c r="C157" s="139"/>
      <c r="D157" s="137"/>
      <c r="E157" s="137"/>
      <c r="F157" s="44"/>
    </row>
    <row r="158" spans="1:6">
      <c r="A158" s="31" t="s">
        <v>548</v>
      </c>
      <c r="B158" s="137">
        <f ca="1">B140+1</f>
        <v>2.2484742807323452</v>
      </c>
      <c r="C158" s="139">
        <f ca="1">C140+1</f>
        <v>2.124673060156931</v>
      </c>
      <c r="D158" s="137">
        <f ca="1">D140+1</f>
        <v>2.5466434176111594</v>
      </c>
      <c r="E158" s="137">
        <f ca="1">E140+1</f>
        <v>2.4045335658238884</v>
      </c>
      <c r="F158" s="44"/>
    </row>
    <row r="159" spans="1:6">
      <c r="A159" s="31" t="s">
        <v>549</v>
      </c>
      <c r="B159" s="137">
        <f ca="1">B158+MIN(B158*(152/1024) - (752/1024), -0.375)</f>
        <v>1.8478571817785527</v>
      </c>
      <c r="C159" s="139">
        <f ca="1">C158+MIN(C158*(152/1024) - (752/1024), -0.375)</f>
        <v>1.7056792175239754</v>
      </c>
      <c r="D159" s="137">
        <f ca="1">D158+MIN(D158*(152/1024) - (752/1024), -0.375)</f>
        <v>2.1716434176111594</v>
      </c>
      <c r="E159" s="137">
        <f ca="1">E158+MIN(E158*(152/1024) - (752/1024), -0.375)</f>
        <v>2.0270815170008718</v>
      </c>
      <c r="F159" s="44"/>
    </row>
    <row r="160" spans="1:6">
      <c r="A160" s="31" t="s">
        <v>550</v>
      </c>
      <c r="B160" s="137">
        <f ca="1">B158+MIN(1-B158, B158*152/1024 - 448/1024)</f>
        <v>1</v>
      </c>
      <c r="C160" s="139">
        <f ca="1">C158+MIN(1-C158, C158*152/1024 - 448/1024)</f>
        <v>1</v>
      </c>
      <c r="D160" s="137">
        <f ca="1">D158+MIN(1-D158, D158*152/1024 - 448/1024)</f>
        <v>1</v>
      </c>
      <c r="E160" s="137">
        <f ca="1">E158+MIN(1-E158, E158*152/1024 - 448/1024)</f>
        <v>1</v>
      </c>
      <c r="F160" s="44"/>
    </row>
    <row r="161" spans="1:6">
      <c r="A161" s="31" t="s">
        <v>551</v>
      </c>
      <c r="B161" s="137">
        <f ca="1">MAX(B159,B160)</f>
        <v>1.8478571817785527</v>
      </c>
      <c r="C161" s="139">
        <f ca="1">MAX(C159,C160)</f>
        <v>1.7056792175239754</v>
      </c>
      <c r="D161" s="137">
        <f ca="1">MAX(D159,D160)</f>
        <v>2.1716434176111594</v>
      </c>
      <c r="E161" s="137">
        <f ca="1">MAX(E159,E160)</f>
        <v>2.0270815170008718</v>
      </c>
      <c r="F161" s="44"/>
    </row>
    <row r="162" spans="1:6">
      <c r="A162" s="31" t="s">
        <v>552</v>
      </c>
      <c r="B162" s="226">
        <f ca="1">MIN(MAX(MAX(B159,B160), 0),B$78)</f>
        <v>1.8478571817785527</v>
      </c>
      <c r="C162" s="227">
        <f t="shared" ref="C162:E162" ca="1" si="12">MIN(MAX(MAX(C159,C160), 0),C$78)</f>
        <v>1.7056792175239754</v>
      </c>
      <c r="D162" s="226">
        <f t="shared" ca="1" si="12"/>
        <v>2.1716434176111594</v>
      </c>
      <c r="E162" s="226">
        <f t="shared" ca="1" si="12"/>
        <v>2.0270815170008718</v>
      </c>
      <c r="F162" s="44"/>
    </row>
    <row r="163" spans="1:6">
      <c r="A163" s="31" t="s">
        <v>553</v>
      </c>
      <c r="B163" s="137">
        <f ca="1">B158 + MAX(MIN(B158 * 0.25, 0.375), 0.25)</f>
        <v>2.6234742807323452</v>
      </c>
      <c r="C163" s="139">
        <f ca="1">C158 + MAX(MIN(C158 * 0.25, 0.375), 0.25)</f>
        <v>2.499673060156931</v>
      </c>
      <c r="D163" s="137">
        <f ca="1">D158 + MAX(MIN(D158 * 0.25, 0.375), 0.25)</f>
        <v>2.9216434176111594</v>
      </c>
      <c r="E163" s="137">
        <f ca="1">E158 + MAX(MIN(E158 * 0.25, 0.375), 0.25)</f>
        <v>2.7795335658238884</v>
      </c>
      <c r="F163" s="44"/>
    </row>
    <row r="164" spans="1:6">
      <c r="A164" s="31" t="s">
        <v>554</v>
      </c>
      <c r="B164" s="137">
        <f ca="1">B158 + MIN(B158*341/1024 + 358/1024, 1-B158)</f>
        <v>1</v>
      </c>
      <c r="C164" s="139">
        <f ca="1">C158 + MIN(C158*341/1024 + 358/1024, 1-C158)</f>
        <v>1</v>
      </c>
      <c r="D164" s="137">
        <f ca="1">D158 + MIN(D158*341/1024 + 358/1024, 1-D158)</f>
        <v>1</v>
      </c>
      <c r="E164" s="137">
        <f ca="1">E158 + MIN(E158*341/1024 + 358/1024, 1-E158)</f>
        <v>1</v>
      </c>
      <c r="F164" s="44"/>
    </row>
    <row r="165" spans="1:6">
      <c r="A165" s="31" t="s">
        <v>555</v>
      </c>
      <c r="B165" s="137">
        <f ca="1">MAX(B163,B164)</f>
        <v>2.6234742807323452</v>
      </c>
      <c r="C165" s="139">
        <f ca="1">MAX(C163,C164)</f>
        <v>2.499673060156931</v>
      </c>
      <c r="D165" s="137">
        <f ca="1">MAX(D163,D164)</f>
        <v>2.9216434176111594</v>
      </c>
      <c r="E165" s="137">
        <f ca="1">MAX(E163,E164)</f>
        <v>2.7795335658238884</v>
      </c>
      <c r="F165" s="44"/>
    </row>
    <row r="166" spans="1:6">
      <c r="A166" s="31" t="s">
        <v>556</v>
      </c>
      <c r="B166" s="226">
        <f ca="1">MIN(MAX(B163,B164),B$78)</f>
        <v>2.6234742807323452</v>
      </c>
      <c r="C166" s="227">
        <f t="shared" ref="C166:E166" ca="1" si="13">MIN(MAX(C163,C164),C$78)</f>
        <v>2.499673060156931</v>
      </c>
      <c r="D166" s="226">
        <f t="shared" ca="1" si="13"/>
        <v>2.9216434176111594</v>
      </c>
      <c r="E166" s="226">
        <f t="shared" ca="1" si="13"/>
        <v>2.7795335658238884</v>
      </c>
      <c r="F166" s="44"/>
    </row>
    <row r="167" spans="1:6">
      <c r="A167" s="31" t="s">
        <v>557</v>
      </c>
      <c r="B167" s="137">
        <f ca="1">B165-B161</f>
        <v>0.77561709895379249</v>
      </c>
      <c r="C167" s="139">
        <f t="shared" ref="C167:E168" ca="1" si="14">C165-C161</f>
        <v>0.79399384263295558</v>
      </c>
      <c r="D167" s="137">
        <f t="shared" ca="1" si="14"/>
        <v>0.75</v>
      </c>
      <c r="E167" s="137">
        <f t="shared" ca="1" si="14"/>
        <v>0.75245204882301664</v>
      </c>
      <c r="F167" s="44"/>
    </row>
    <row r="168" spans="1:6">
      <c r="A168" s="31" t="s">
        <v>558</v>
      </c>
      <c r="B168" s="137">
        <f ca="1">B166-B162</f>
        <v>0.77561709895379249</v>
      </c>
      <c r="C168" s="139">
        <f t="shared" ca="1" si="14"/>
        <v>0.79399384263295558</v>
      </c>
      <c r="D168" s="137">
        <f t="shared" ca="1" si="14"/>
        <v>0.75</v>
      </c>
      <c r="E168" s="137">
        <f t="shared" ca="1" si="14"/>
        <v>0.75245204882301664</v>
      </c>
      <c r="F168" s="44"/>
    </row>
    <row r="169" spans="1:6">
      <c r="A169" s="31" t="s">
        <v>559</v>
      </c>
      <c r="B169" s="142">
        <f ca="1">IF(B161&lt;0, 1-(B168/B167), 0)</f>
        <v>0</v>
      </c>
      <c r="C169" s="143">
        <f ca="1">IF(C161&lt;0, 1-(C168/C167), 0)</f>
        <v>0</v>
      </c>
      <c r="D169" s="142">
        <f ca="1">IF(D161&lt;0, 1-(D168/D167), 0)</f>
        <v>0</v>
      </c>
      <c r="E169" s="142">
        <f ca="1">IF(E161&lt;0, 1-(E168/E167), 0)</f>
        <v>0</v>
      </c>
      <c r="F169" s="44"/>
    </row>
    <row r="170" spans="1:6">
      <c r="A170" s="31" t="s">
        <v>560</v>
      </c>
      <c r="B170" s="142">
        <f ca="1">IF(B165&gt;4.25, 1-(B168/B167), 0)</f>
        <v>0</v>
      </c>
      <c r="C170" s="143">
        <f ca="1">IF(C165&gt;4.25, 1-(C168/C167), 0)</f>
        <v>0</v>
      </c>
      <c r="D170" s="142">
        <f ca="1">IF(D165&gt;4.25, 1-(D168/D167), 0)</f>
        <v>0</v>
      </c>
      <c r="E170" s="142">
        <f ca="1">IF(E165&gt;4.25, 1-(E168/E167), 0)</f>
        <v>0</v>
      </c>
      <c r="F170" s="44"/>
    </row>
    <row r="171" spans="1:6">
      <c r="A171" s="31" t="s">
        <v>561</v>
      </c>
      <c r="B171" s="142">
        <f ca="1">MAX(0, MIN(1/3, (0.5 - ABS(B158-1)) * 1.2))</f>
        <v>0</v>
      </c>
      <c r="C171" s="143">
        <f ca="1">MAX(0, MIN(1/3, (0.5 - ABS(C158-1)) * 1.2))</f>
        <v>0</v>
      </c>
      <c r="D171" s="142">
        <f ca="1">MAX(0, MIN(1/3, (0.5 - ABS(D158-1)) * 1.2))</f>
        <v>0</v>
      </c>
      <c r="E171" s="142">
        <f ca="1">MAX(0, MIN(1/3, (0.5 - ABS(E158-1)) * 1.2))</f>
        <v>0</v>
      </c>
      <c r="F171" s="44"/>
    </row>
    <row r="172" spans="1:6">
      <c r="A172" s="26" t="s">
        <v>564</v>
      </c>
      <c r="B172" s="228">
        <f ca="1">((0 * B169) + (B78 * B170) + (1 * B171) + (1 - B169 - B170 - B171) * ((B166 + B162) / 2)) * 1.02</f>
        <v>2.280379045880558</v>
      </c>
      <c r="C172" s="229">
        <f t="shared" ref="C172:E172" ca="1" si="15">((0 * C169) + (C78 * C170) + (1 * C171) + (1 - C169 - C170 - C171) * ((C166 + C162) / 2)) * 1.02</f>
        <v>2.1447296616172622</v>
      </c>
      <c r="D172" s="228">
        <f t="shared" ca="1" si="15"/>
        <v>2.5975762859633829</v>
      </c>
      <c r="E172" s="228">
        <f t="shared" ca="1" si="15"/>
        <v>2.4513736922406277</v>
      </c>
      <c r="F172" s="44"/>
    </row>
    <row r="173" spans="1:6">
      <c r="A173" t="s">
        <v>39</v>
      </c>
      <c r="B173" s="5">
        <f ca="1">((B138-($N$4+$O$4))/2)/100+75%</f>
        <v>1.4075</v>
      </c>
      <c r="C173" s="130">
        <f ca="1">((C138-($N$4+$P$4))/2)/100+75%</f>
        <v>1.3725000000000001</v>
      </c>
      <c r="D173" s="45">
        <f ca="1">((D138-($N$4+$O$4))/2)/100+75%</f>
        <v>1.4125000000000001</v>
      </c>
      <c r="E173" s="5">
        <f ca="1">((E138-($N$4+$P$4))/2)/100+75%</f>
        <v>1.4024999999999999</v>
      </c>
      <c r="F173" s="44"/>
    </row>
    <row r="174" spans="1:6">
      <c r="A174" s="14" t="s">
        <v>38</v>
      </c>
      <c r="B174" s="28">
        <f ca="1">MAX(MIN(B173,95%), 20%)</f>
        <v>0.95</v>
      </c>
      <c r="C174" s="131">
        <f ca="1">MAX(MIN(C173,95%), 20%)</f>
        <v>0.95</v>
      </c>
      <c r="D174" s="28">
        <f ca="1">MAX(MIN(D173,95%), 20%)</f>
        <v>0.95</v>
      </c>
      <c r="E174" s="28">
        <f ca="1">MAX(MIN(E173,95%), 20%)</f>
        <v>0.95</v>
      </c>
      <c r="F174" s="44"/>
    </row>
    <row r="175" spans="1:6">
      <c r="A175" s="119" t="s">
        <v>505</v>
      </c>
      <c r="B175" s="29">
        <f ca="1">$G$20</f>
        <v>117</v>
      </c>
      <c r="C175" s="63">
        <f ca="1">$H$20</f>
        <v>117</v>
      </c>
      <c r="D175" s="29">
        <f ca="1">$G$20</f>
        <v>117</v>
      </c>
      <c r="E175" s="29">
        <f ca="1">$H$20</f>
        <v>117</v>
      </c>
      <c r="F175" s="44"/>
    </row>
    <row r="176" spans="1:6">
      <c r="A176" s="31" t="s">
        <v>507</v>
      </c>
      <c r="B176" s="35">
        <f ca="1">TRUNC(B175/9)</f>
        <v>13</v>
      </c>
      <c r="C176" s="67">
        <f ca="1">TRUNC(C175/9)</f>
        <v>13</v>
      </c>
      <c r="D176" s="35">
        <f ca="1">TRUNC(D175/9)</f>
        <v>13</v>
      </c>
      <c r="E176" s="35">
        <f ca="1">TRUNC(E175/9)</f>
        <v>13</v>
      </c>
      <c r="F176" s="44"/>
    </row>
    <row r="177" spans="1:6">
      <c r="A177" s="31" t="s">
        <v>508</v>
      </c>
      <c r="B177" s="31">
        <f ca="1">TRUNC(MAX(MIN(TRUNC((B$38+B$39)/2), (8+B176)*2), (0-B176)*2)/2)</f>
        <v>5</v>
      </c>
      <c r="C177" s="63">
        <f ca="1">TRUNC(MAX(MIN(TRUNC((C$38+C$39)/2), (8+C176)*2), (0-C176)*2)/2)</f>
        <v>4</v>
      </c>
      <c r="D177" s="31">
        <f ca="1">TRUNC(MAX(MIN(TRUNC((D$38+D$39)/2), (8+D176)*2), (0-D176)*2)/2)</f>
        <v>15</v>
      </c>
      <c r="E177" s="31">
        <f ca="1">TRUNC(MAX(MIN(TRUNC((E$38+E$39)/2), (8+E176)*2), (0-E176)*2)/2)</f>
        <v>21</v>
      </c>
      <c r="F177" s="44"/>
    </row>
    <row r="178" spans="1:6">
      <c r="A178" s="26" t="s">
        <v>509</v>
      </c>
      <c r="B178" s="70">
        <f ca="1">B175+B177</f>
        <v>122</v>
      </c>
      <c r="C178" s="71">
        <f ca="1">C175+C177</f>
        <v>121</v>
      </c>
      <c r="D178" s="70">
        <f ca="1">D175+D177</f>
        <v>132</v>
      </c>
      <c r="E178" s="70">
        <f ca="1">E175+E177</f>
        <v>138</v>
      </c>
    </row>
    <row r="179" spans="1:6">
      <c r="A179" s="29"/>
      <c r="B179" s="66"/>
      <c r="C179" s="66"/>
      <c r="D179" s="66"/>
      <c r="E179" s="66"/>
    </row>
    <row r="180" spans="1:6">
      <c r="A180" s="65" t="s">
        <v>651</v>
      </c>
      <c r="B180" s="27"/>
      <c r="C180" s="27"/>
      <c r="D180" s="27"/>
      <c r="E180" s="27"/>
    </row>
    <row r="181" spans="1:6">
      <c r="A181" s="134" t="s">
        <v>652</v>
      </c>
      <c r="B181" s="23">
        <f ca="1">$G$27</f>
        <v>682</v>
      </c>
      <c r="C181" s="56">
        <f ca="1">$H$27</f>
        <v>682</v>
      </c>
      <c r="D181" s="23"/>
      <c r="E181" s="23"/>
    </row>
    <row r="182" spans="1:6">
      <c r="A182" s="24" t="s">
        <v>9</v>
      </c>
      <c r="B182" s="23">
        <f ca="1">8+B181</f>
        <v>690</v>
      </c>
      <c r="C182" s="57">
        <f ca="1">8+C181</f>
        <v>690</v>
      </c>
      <c r="D182" s="23"/>
      <c r="E182" s="23"/>
    </row>
    <row r="183" spans="1:6">
      <c r="A183" s="25" t="s">
        <v>10</v>
      </c>
      <c r="B183" s="38">
        <f ca="1">MIN(B181, 200) + TRUNC(MAX(MIN(B181-200, 200), 0)*0.9) + TRUNC(MAX(MIN(B181-400, 200), 0)*0.8) + TRUNC(MAX(MIN(B181-600, 200), 0)*0.9)</f>
        <v>613</v>
      </c>
      <c r="C183" s="61">
        <f ca="1">MIN(C181, 200) + TRUNC(MAX(MIN(C181-200, 200), 0)*0.9) + TRUNC(MAX(MIN(C181-400, 200), 0)*0.8) + TRUNC(MAX(MIN(C181-600, 200), 0)*0.9)</f>
        <v>613</v>
      </c>
      <c r="D183" s="38"/>
      <c r="E183" s="38"/>
    </row>
    <row r="184" spans="1:6">
      <c r="A184" s="119" t="s">
        <v>501</v>
      </c>
      <c r="B184" s="120">
        <v>1</v>
      </c>
      <c r="C184" s="121">
        <v>1</v>
      </c>
      <c r="D184" s="120"/>
      <c r="E184" s="120"/>
    </row>
    <row r="185" spans="1:6">
      <c r="A185" s="147" t="s">
        <v>662</v>
      </c>
      <c r="B185" s="123">
        <f>75%</f>
        <v>0.75</v>
      </c>
      <c r="C185" s="124">
        <f>75%</f>
        <v>0.75</v>
      </c>
      <c r="D185" s="123"/>
      <c r="E185" s="123"/>
    </row>
    <row r="186" spans="1:6">
      <c r="A186" s="154" t="s">
        <v>672</v>
      </c>
      <c r="B186" s="155">
        <f>IF(AND(Setup!B14&gt;1, Setup!F6=1, LEFT(Gear!B11,9)="Mochizuki"), 25*(Setup!B14-1), 0)</f>
        <v>0</v>
      </c>
      <c r="C186" s="156">
        <f>IF(AND(Setup!B14&gt;1, Setup!G6=1, LEFT(Gear!Z11,9)="Mochizuki"), 25*(Setup!B14-1), 0)</f>
        <v>0</v>
      </c>
      <c r="D186" s="157"/>
      <c r="E186" s="157"/>
    </row>
    <row r="187" spans="1:6">
      <c r="A187" s="24" t="s">
        <v>59</v>
      </c>
      <c r="B187" s="37">
        <f ca="1">B182 + TRUNC(B$34*B184) + B186 + B$40 + B$41 + B$43 + $H$9 + HLOOKUP("R.Att", INDIRECT(B$31), MATCH("Total", Slots, 0)+1, 0)</f>
        <v>1114</v>
      </c>
      <c r="C187" s="62">
        <f ca="1">C182 + TRUNC(C$34*C184) + C186 + C$40 + C$41 + C$43 + $H$9 + HLOOKUP("R.Att", INDIRECT(C$31), MATCH("Total", Slots, 0)+1, 0)</f>
        <v>1110</v>
      </c>
      <c r="D187" s="37"/>
      <c r="E187" s="37"/>
    </row>
    <row r="188" spans="1:6">
      <c r="A188" s="25" t="s">
        <v>60</v>
      </c>
      <c r="B188" s="38">
        <f ca="1">B183 + TRUNC(B$36*B185) + B$45 + B$46 + B$47 + B$48 + B$51 + $H$10 + HLOOKUP("R.Acc", INDIRECT(B$31), MATCH("Total", Slots, 0)+1, 0)</f>
        <v>1089</v>
      </c>
      <c r="C188" s="61">
        <f ca="1">C183 + TRUNC(C$36*C185) + C$45 + C$46 + C$47 + C$48 + C$51 + $H$10 + HLOOKUP("R.Acc", INDIRECT(C$31), MATCH("Total", Slots, 0)+1, 0)</f>
        <v>1089</v>
      </c>
      <c r="D188" s="38"/>
      <c r="E188" s="38"/>
    </row>
    <row r="189" spans="1:6">
      <c r="A189" s="24" t="s">
        <v>55</v>
      </c>
      <c r="B189" s="37">
        <f ca="1">FLOOR(MIN(B187*$B$9, $C$9),1)+$D$9</f>
        <v>0</v>
      </c>
      <c r="C189" s="62">
        <f ca="1">FLOOR(MIN(C187*$B$9, $C$9),1)+$D$9</f>
        <v>0</v>
      </c>
      <c r="D189" s="37"/>
      <c r="E189" s="37"/>
    </row>
    <row r="190" spans="1:6">
      <c r="A190" s="25" t="s">
        <v>56</v>
      </c>
      <c r="B190" s="38">
        <f ca="1">FLOOR(MIN(B188*$B$10, $C$10),1)+$D$10</f>
        <v>105</v>
      </c>
      <c r="C190" s="61">
        <f ca="1">FLOOR(MIN(C188*$B$10, $C$10),1)+$D$10</f>
        <v>105</v>
      </c>
      <c r="D190" s="38"/>
      <c r="E190" s="38"/>
    </row>
    <row r="191" spans="1:6">
      <c r="A191" s="134" t="s">
        <v>670</v>
      </c>
      <c r="B191" s="37">
        <v>100</v>
      </c>
      <c r="C191" s="62">
        <v>100</v>
      </c>
      <c r="D191" s="37"/>
      <c r="E191" s="37"/>
    </row>
    <row r="192" spans="1:6">
      <c r="A192" s="147" t="s">
        <v>671</v>
      </c>
      <c r="B192" s="38">
        <f>IF(AND(Setup!B14&gt;0, Setup!F6=1), 100, 0)</f>
        <v>0</v>
      </c>
      <c r="C192" s="61">
        <f>IF(AND(Setup!B14&gt;0, Setup!G6=1), 100, 0)</f>
        <v>0</v>
      </c>
      <c r="D192" s="38"/>
      <c r="E192" s="38"/>
    </row>
    <row r="193" spans="1:13">
      <c r="A193" s="24" t="s">
        <v>120</v>
      </c>
      <c r="B193" s="29">
        <f>IF(AND(Setup!$F$10=1, $D$1="War"), TRUNC(B187*25%), 0)</f>
        <v>0</v>
      </c>
      <c r="C193" s="63">
        <f>IF(AND(Setup!$G$10=1, $D$1="War"), TRUNC(C187*25%), 0)</f>
        <v>0</v>
      </c>
      <c r="D193" s="29"/>
      <c r="E193" s="29"/>
    </row>
    <row r="194" spans="1:13">
      <c r="A194" s="24" t="s">
        <v>121</v>
      </c>
      <c r="B194" s="29">
        <f ca="1">IF(Setup!$J$35=1, TRUNC(B187*Setup!$M$35), 0)</f>
        <v>278</v>
      </c>
      <c r="C194" s="63">
        <f ca="1">IF(Setup!$K$35=1, TRUNC(C187*Setup!$N$35), 0)</f>
        <v>277</v>
      </c>
      <c r="D194" s="29"/>
      <c r="E194" s="29"/>
    </row>
    <row r="195" spans="1:13">
      <c r="A195" s="24" t="s">
        <v>341</v>
      </c>
      <c r="B195" s="29">
        <v>0</v>
      </c>
      <c r="C195" s="63">
        <v>0</v>
      </c>
      <c r="D195" s="29"/>
      <c r="E195" s="29"/>
    </row>
    <row r="196" spans="1:13">
      <c r="A196" s="25" t="s">
        <v>142</v>
      </c>
      <c r="B196" s="26">
        <f>IF(AND(Setup!$F$29=1, OR(Setup!F108=1, Setup!$F$24=1)), TRUNC(25%*B187), 0)</f>
        <v>0</v>
      </c>
      <c r="C196" s="64">
        <f>IF(AND(Setup!$G$29=1, OR(Setup!G102=1, Setup!$G$24=1)), TRUNC(25%*C187), 0)</f>
        <v>0</v>
      </c>
      <c r="D196" s="26"/>
      <c r="E196" s="26"/>
    </row>
    <row r="197" spans="1:13" s="200" customFormat="1">
      <c r="A197" s="24" t="s">
        <v>746</v>
      </c>
      <c r="B197" s="29">
        <f>IF(Setup!$J$50=1, FLOOR(Setup!$M$50*B187, 1), 0)</f>
        <v>0</v>
      </c>
      <c r="C197" s="211">
        <f>IF(Setup!$K$50=1, FLOOR(Setup!$N$50*C187, 1), 0)</f>
        <v>0</v>
      </c>
      <c r="D197" s="29"/>
      <c r="E197" s="29"/>
      <c r="M197"/>
    </row>
    <row r="198" spans="1:13" s="200" customFormat="1">
      <c r="A198" s="24" t="s">
        <v>733</v>
      </c>
      <c r="B198" s="29"/>
      <c r="C198" s="63"/>
      <c r="D198" s="29"/>
      <c r="E198" s="29"/>
    </row>
    <row r="199" spans="1:13" s="200" customFormat="1">
      <c r="A199" s="24" t="s">
        <v>757</v>
      </c>
      <c r="B199" s="29"/>
      <c r="C199" s="63"/>
      <c r="D199" s="29"/>
      <c r="E199" s="29"/>
    </row>
    <row r="200" spans="1:13" s="200" customFormat="1">
      <c r="A200" s="25" t="s">
        <v>734</v>
      </c>
      <c r="B200" s="26"/>
      <c r="C200" s="64"/>
      <c r="D200" s="26"/>
      <c r="E200" s="26"/>
    </row>
    <row r="201" spans="1:13">
      <c r="A201" s="31" t="s">
        <v>503</v>
      </c>
      <c r="B201" s="39">
        <f ca="1">B187+B189+B193+B194+B196+B197</f>
        <v>1392</v>
      </c>
      <c r="C201" s="125">
        <f ca="1">C187+C189+C193+C194+C196+C197</f>
        <v>1387</v>
      </c>
      <c r="D201" s="39"/>
      <c r="E201" s="39"/>
      <c r="M201" s="200"/>
    </row>
    <row r="202" spans="1:13">
      <c r="A202" s="26" t="s">
        <v>504</v>
      </c>
      <c r="B202" s="126">
        <f ca="1">B188+B190+B191+B192+ $B$50 + (IF(Setup!J$33=1, 42 + 4*Setup!M33, 0))*IF(Setup!J25=1, 2, 1)</f>
        <v>1294</v>
      </c>
      <c r="C202" s="127">
        <f ca="1">C188+C190+C191+C192+$C$50 + (IF(Setup!K$33=1, 42 + 4*Setup!N33, 0))*IF(Setup!K25=1, 2, 1)</f>
        <v>1294</v>
      </c>
      <c r="D202" s="126"/>
      <c r="E202" s="126"/>
    </row>
    <row r="203" spans="1:13">
      <c r="A203" s="149" t="s">
        <v>37</v>
      </c>
      <c r="B203" s="150">
        <f ca="1">MAX(MIN(B201/$O$3, 3.25)-$N$3, 0)</f>
        <v>1.2136006974716653</v>
      </c>
      <c r="C203" s="223">
        <f ca="1">MAX(MIN(C201/$P$3, 3.25)-$N$3, 0)</f>
        <v>1.2092414995640801</v>
      </c>
      <c r="D203" s="150"/>
      <c r="E203" s="150"/>
    </row>
    <row r="204" spans="1:13">
      <c r="A204" s="26" t="s">
        <v>664</v>
      </c>
      <c r="B204" s="151">
        <f ca="1">B203*1.25</f>
        <v>1.5170008718395818</v>
      </c>
      <c r="C204" s="224">
        <f ca="1">C203*1.25</f>
        <v>1.5115518744551002</v>
      </c>
      <c r="D204" s="151"/>
      <c r="E204" s="151"/>
    </row>
    <row r="205" spans="1:13" s="200" customFormat="1">
      <c r="A205" s="232"/>
      <c r="B205" s="128"/>
      <c r="C205" s="129"/>
      <c r="D205" s="128"/>
      <c r="E205" s="128"/>
    </row>
    <row r="206" spans="1:13">
      <c r="A206" t="s">
        <v>39</v>
      </c>
      <c r="B206" s="5">
        <f ca="1">((B202-($N$4+$O$4))/2)/100+75%</f>
        <v>0.95</v>
      </c>
      <c r="C206" s="130">
        <f ca="1">((C202-($N$4+$P$4))/2)/100+75%</f>
        <v>0.95</v>
      </c>
      <c r="D206" s="45"/>
      <c r="E206" s="5"/>
    </row>
    <row r="207" spans="1:13">
      <c r="A207" s="14" t="s">
        <v>38</v>
      </c>
      <c r="B207" s="28">
        <f ca="1">MAX(MIN(B206,95%), 20%)</f>
        <v>0.95</v>
      </c>
      <c r="C207" s="131">
        <f ca="1">MAX(MIN(C206,95%), 20%)</f>
        <v>0.95</v>
      </c>
      <c r="D207" s="28"/>
      <c r="E207" s="28"/>
    </row>
    <row r="208" spans="1:13">
      <c r="A208" s="119" t="s">
        <v>505</v>
      </c>
      <c r="B208" s="29">
        <f ca="1">$G$25</f>
        <v>101</v>
      </c>
      <c r="C208" s="63">
        <f ca="1">$H$25</f>
        <v>101</v>
      </c>
      <c r="D208" s="29"/>
      <c r="E208" s="29"/>
    </row>
    <row r="209" spans="1:5">
      <c r="A209" s="31" t="s">
        <v>507</v>
      </c>
      <c r="B209" s="35">
        <f ca="1">TRUNC(B208/9)</f>
        <v>11</v>
      </c>
      <c r="C209" s="67">
        <f ca="1">TRUNC(C208/9)</f>
        <v>11</v>
      </c>
      <c r="D209" s="35"/>
      <c r="E209" s="35"/>
    </row>
    <row r="210" spans="1:5">
      <c r="A210" s="31" t="s">
        <v>508</v>
      </c>
      <c r="B210" s="31">
        <f ca="1">IF(B208&gt;0, MAX(MIN(TRUNC((B$38+B$39)/2), (8+B209)*2), (0-B209)*2), 0)</f>
        <v>10</v>
      </c>
      <c r="C210" s="63">
        <f ca="1">IF(C208&gt;0, MAX(MIN(TRUNC((C$38+C$39)/2), (8+C209)*2), (0-C209)*2), 0)</f>
        <v>9</v>
      </c>
      <c r="D210" s="31"/>
      <c r="E210" s="31"/>
    </row>
    <row r="211" spans="1:5">
      <c r="A211" s="26" t="s">
        <v>509</v>
      </c>
      <c r="B211" s="70">
        <f ca="1">B208+B210</f>
        <v>111</v>
      </c>
      <c r="C211" s="71">
        <f ca="1">C208+C210</f>
        <v>110</v>
      </c>
      <c r="D211" s="70"/>
      <c r="E211" s="70"/>
    </row>
    <row r="212" spans="1:5">
      <c r="A212" s="134" t="s">
        <v>275</v>
      </c>
      <c r="B212" s="66">
        <f ca="1">G26</f>
        <v>192</v>
      </c>
      <c r="C212" s="148">
        <f ca="1">H26</f>
        <v>192</v>
      </c>
      <c r="D212" s="66"/>
      <c r="E212" s="66"/>
    </row>
    <row r="213" spans="1:5">
      <c r="A213" s="24" t="s">
        <v>276</v>
      </c>
      <c r="B213" s="66">
        <f ca="1">IF(B212&gt;0, IF(B212&gt;175, TRUNC(B212*489/2000)+17, TRUNC((B212-12)*11/64)+32), 0)</f>
        <v>63</v>
      </c>
      <c r="C213" s="67">
        <f ca="1">IF(C212&gt;0, IF(C212&gt;175, TRUNC(C212*489/2000)+17, TRUNC((C212-12)*11/64)+32), 0)</f>
        <v>63</v>
      </c>
      <c r="D213" s="66"/>
      <c r="E213" s="66"/>
    </row>
    <row r="214" spans="1:5">
      <c r="A214" s="44" t="s">
        <v>13</v>
      </c>
      <c r="B214" s="66">
        <f ca="1">$B$18+$B$19+$C$18+HLOOKUP($A214, INDIRECT(B$31), MATCH("Total", Slots, 0)+1, 0)+IF(Setup!$J39=1, Setup!M39, 0)+IF(Setup!$F$7=1, 10, 0)</f>
        <v>51</v>
      </c>
      <c r="C214" s="67">
        <f ca="1">$B$18+$B$19+$D$18+HLOOKUP($A214, INDIRECT(C$31), MATCH("Total", Slots, 0)+1, 0)+IF(Setup!$K39=1, Setup!N39, 0)+IF(Setup!$G$7=1, 10, 0)</f>
        <v>66</v>
      </c>
      <c r="D214" s="66"/>
      <c r="E214" s="66"/>
    </row>
    <row r="215" spans="1:5">
      <c r="A215" s="14" t="s">
        <v>277</v>
      </c>
      <c r="B215" s="70">
        <f ca="1">TRUNC(B213*(1+B214/100))</f>
        <v>95</v>
      </c>
      <c r="C215" s="71">
        <f ca="1">TRUNC(C213*(1+C214/100))</f>
        <v>104</v>
      </c>
      <c r="D215" s="70"/>
      <c r="E215" s="70"/>
    </row>
    <row r="216" spans="1:5">
      <c r="A216" s="119" t="s">
        <v>665</v>
      </c>
      <c r="B216" s="68">
        <f ca="1">B36-$L$5</f>
        <v>-17</v>
      </c>
      <c r="C216" s="88">
        <f ca="1">C36-$L$5</f>
        <v>-18</v>
      </c>
      <c r="D216" s="66"/>
      <c r="E216" s="66"/>
    </row>
    <row r="217" spans="1:5">
      <c r="A217" s="119" t="s">
        <v>106</v>
      </c>
      <c r="B217" s="43">
        <f ca="1">MAX(0, TRUNC(B216/10))/100 + 5% + Setup!$B$13</f>
        <v>0.1</v>
      </c>
      <c r="C217" s="15">
        <f ca="1">MAX(0, TRUNC(C216/10))/100 + 5% + Setup!$C$13</f>
        <v>0.1</v>
      </c>
      <c r="D217" s="66"/>
      <c r="E217" s="66"/>
    </row>
    <row r="218" spans="1:5">
      <c r="A218" s="119" t="s">
        <v>666</v>
      </c>
      <c r="B218" s="95">
        <f>IF(Setup!$F32=1, VLOOKUP("C.Rate", Ionis, 2, 0), 0)</f>
        <v>0</v>
      </c>
      <c r="C218" s="152">
        <f>IF(Setup!$G32=1, VLOOKUP("C.Rate", Ionis, 2, 0), 0)</f>
        <v>0</v>
      </c>
      <c r="D218" s="66"/>
      <c r="E218" s="66"/>
    </row>
    <row r="219" spans="1:5">
      <c r="A219" s="134" t="s">
        <v>421</v>
      </c>
      <c r="B219" s="95">
        <f>IF(Setup!J38=1, Setup!M38, 0)</f>
        <v>0</v>
      </c>
      <c r="C219" s="152">
        <f>IF(Setup!K38=1, Setup!N38, 0)</f>
        <v>0</v>
      </c>
      <c r="D219" s="66"/>
      <c r="E219" s="66"/>
    </row>
    <row r="220" spans="1:5">
      <c r="A220" s="134" t="s">
        <v>119</v>
      </c>
      <c r="B220" s="95">
        <f ca="1">HLOOKUP($A220, INDIRECT(B$31), MATCH("Total", Slots, 0)+1, 0)</f>
        <v>0.18000000000000002</v>
      </c>
      <c r="C220" s="152">
        <f ca="1">HLOOKUP($A220, INDIRECT(C$31), MATCH("Total", Slots, 0)+1, 0)</f>
        <v>0.13</v>
      </c>
      <c r="D220" s="66"/>
      <c r="E220" s="66"/>
    </row>
    <row r="221" spans="1:5">
      <c r="A221" s="147" t="s">
        <v>667</v>
      </c>
      <c r="B221" s="86">
        <f ca="1">B217+B218+B219+B220+$B16+C16+IF(Setup!$F$4=1, 20%, 0)</f>
        <v>0.48000000000000004</v>
      </c>
      <c r="C221" s="87">
        <f ca="1">C217+C218+C219+C220+$B16+D16++IF(Setup!$F$4=1, 20%, 0)</f>
        <v>0.43000000000000005</v>
      </c>
      <c r="D221" s="70"/>
      <c r="E221" s="70"/>
    </row>
    <row r="222" spans="1:5">
      <c r="A222" s="44"/>
      <c r="B222" s="66"/>
      <c r="C222" s="66"/>
      <c r="D222" s="66"/>
      <c r="E222" s="66"/>
    </row>
    <row r="223" spans="1:5">
      <c r="A223" s="29"/>
      <c r="B223" s="66"/>
      <c r="C223" s="66"/>
      <c r="D223" s="66"/>
      <c r="E223" s="66"/>
    </row>
    <row r="225" spans="1:9">
      <c r="A225" s="27" t="s">
        <v>510</v>
      </c>
      <c r="B225" s="65"/>
      <c r="C225" s="65"/>
      <c r="D225" s="65"/>
      <c r="E225" s="65"/>
      <c r="G225" s="27" t="s">
        <v>816</v>
      </c>
      <c r="H225" s="27" t="s">
        <v>149</v>
      </c>
      <c r="I225" s="27" t="s">
        <v>151</v>
      </c>
    </row>
    <row r="226" spans="1:9">
      <c r="A226" t="s">
        <v>12</v>
      </c>
      <c r="B226" s="2">
        <f ca="1">MIN(MAX($B$13+$C$13+HLOOKUP($A226, INDIRECT(B$31), MATCH("Total", Slots, 0)+1, 0) + IF(Setup!$J37=1, Setup!$M37, 0), 0), 100%)</f>
        <v>0.42000000000000004</v>
      </c>
      <c r="C226" s="110">
        <f ca="1">MIN(MAX($B$13+$D$13+HLOOKUP($A226, INDIRECT(C$31), MATCH("Total", Slots, 0)+1, 0) + IF(Setup!$K37=1, Setup!$N37, 0), 0), 100%)</f>
        <v>0.39</v>
      </c>
      <c r="D226" s="2">
        <f ca="1">MIN(MAX($B$13+$C$13+HLOOKUP($A226, INDIRECT(D$31), MATCH("Total", Slots, 0)+1, 0) + IF(Setup!$J37=1, Setup!$M37, 0), 0), 100%)</f>
        <v>0.35</v>
      </c>
      <c r="E226" s="2">
        <f ca="1">MIN(MAX($B$13+$D$13+HLOOKUP($A226, INDIRECT(E$31), MATCH("Total", Slots, 0)+1, 0) + IF(Setup!$K37=1, Setup!$N37, 0), 0), 100%)</f>
        <v>0.35</v>
      </c>
      <c r="G226" s="202" t="s">
        <v>817</v>
      </c>
      <c r="H226" s="200">
        <f ca="1">TRUNC(B234*(1+B235/100))</f>
        <v>77</v>
      </c>
      <c r="I226" s="200">
        <f ca="1">TRUNC(C234*(1+C235/100))</f>
        <v>86</v>
      </c>
    </row>
    <row r="227" spans="1:9">
      <c r="A227" s="44" t="s">
        <v>152</v>
      </c>
      <c r="B227" s="43">
        <f ca="1">$B$14+$C$14+HLOOKUP($A227, INDIRECT(B$31), MATCH("Total", Slots, 0)+1, 0)</f>
        <v>0.35000000000000003</v>
      </c>
      <c r="C227" s="15">
        <f ca="1">$B$14+$D$14+HLOOKUP($A227, INDIRECT(C$31), MATCH("Total", Slots, 0)+1, 0)</f>
        <v>0.37000000000000005</v>
      </c>
      <c r="D227" s="43">
        <f ca="1">$B$14+$C$14+HLOOKUP($A227, INDIRECT(D$31), MATCH("Total", Slots, 0)+1, 0)</f>
        <v>0.11</v>
      </c>
      <c r="E227" s="43">
        <f ca="1">$B$14+$D$14+HLOOKUP($A227, INDIRECT(E$31), MATCH("Total", Slots, 0)+1, 0)</f>
        <v>0.11</v>
      </c>
      <c r="G227" s="202" t="s">
        <v>818</v>
      </c>
      <c r="H227">
        <f ca="1">TRUNC(B213*(1+B214/100))</f>
        <v>95</v>
      </c>
      <c r="I227" s="200">
        <f ca="1">TRUNC(C213*(1+C214/100))</f>
        <v>104</v>
      </c>
    </row>
    <row r="228" spans="1:9">
      <c r="A228" s="24" t="s">
        <v>345</v>
      </c>
      <c r="B228" s="43">
        <f ca="1">HLOOKUP($A228, INDIRECT(B$31), MATCH("Total", Slots, 0)+1, 0)</f>
        <v>0</v>
      </c>
      <c r="C228" s="15">
        <f ca="1">HLOOKUP($A228, INDIRECT(C$31), MATCH("Total", Slots, 0)+1, 0)</f>
        <v>0</v>
      </c>
      <c r="D228" s="43">
        <f ca="1">HLOOKUP($A228, INDIRECT(D$31), MATCH("Total", Slots, 0)+1, 0)</f>
        <v>0</v>
      </c>
      <c r="E228" s="43">
        <f ca="1">HLOOKUP($A228, INDIRECT(E$31), MATCH("Total", Slots, 0)+1, 0)</f>
        <v>0</v>
      </c>
    </row>
    <row r="229" spans="1:9">
      <c r="A229" s="24" t="s">
        <v>649</v>
      </c>
      <c r="B229" s="43">
        <f ca="1">IF(AND(Setup!B14&gt;0, Setup!F6=1), 100%, $B$22 + HLOOKUP($A229, INDIRECT(B$31), MATCH("Total", Slots, 0)+1, 0))</f>
        <v>0.79</v>
      </c>
      <c r="C229" s="15">
        <f ca="1">IF(AND(Setup!B14&gt;0, Setup!G6=1), 100%, $B$22 + HLOOKUP($A229, INDIRECT(C$31), MATCH("Total", Slots, 0)+1, 0))</f>
        <v>0.79</v>
      </c>
      <c r="D229" s="43">
        <v>0</v>
      </c>
      <c r="E229" s="43">
        <v>0</v>
      </c>
      <c r="G229" s="202" t="s">
        <v>815</v>
      </c>
      <c r="H229" s="200">
        <f ca="1">TRUNC(H227-H226, 1)</f>
        <v>18</v>
      </c>
      <c r="I229" s="200">
        <f ca="1">TRUNC(I227-I226, 1)</f>
        <v>18</v>
      </c>
    </row>
    <row r="230" spans="1:9">
      <c r="A230" s="25" t="s">
        <v>273</v>
      </c>
      <c r="B230" s="86">
        <f>IF(COUNTIF(Gear!B5:B17, "Iga +2")=5, 10%, IF(COUNTIF(Gear!B5:B17, "Iga +2")=4, 7%, IF(COUNTIF(Gear!B5:B17, "Iga +2")=3, 4%, IF(COUNTIF(Gear!B5:B17, "Iga +2")=2, 2%, 0))))</f>
        <v>0</v>
      </c>
      <c r="C230" s="87">
        <f>IF(COUNTIF(Gear!Z5:Z17, "Iga +2")=5, 10%, IF(COUNTIF(Gear!Z5:Z17, "Iga +2")=4, 7%, IF(COUNTIF(Gear!Z5:Z17, "Iga +2")=3, 4%, IF(COUNTIF(Gear!Z5:Z17, "Iga +2")=2, 2%, 0))))</f>
        <v>0</v>
      </c>
      <c r="D230" s="86">
        <v>0</v>
      </c>
      <c r="E230" s="86">
        <v>0</v>
      </c>
      <c r="G230" s="202" t="s">
        <v>819</v>
      </c>
      <c r="H230">
        <f ca="1">TRUNC(H229/AvgHitsPerRound1)</f>
        <v>3</v>
      </c>
      <c r="I230" s="200">
        <f ca="1">TRUNC(I229/AvgHitsPerRound2)</f>
        <v>3</v>
      </c>
    </row>
    <row r="231" spans="1:9">
      <c r="A231" s="24" t="s">
        <v>122</v>
      </c>
      <c r="B231" s="43">
        <f ca="1">$K$19+HLOOKUP($A231, INDIRECT(B$31), MATCH("Total", Slots, 0)+1, 0)</f>
        <v>0.35</v>
      </c>
      <c r="C231" s="15">
        <f ca="1">$L$19+HLOOKUP($A231, INDIRECT(C$31), MATCH("Total", Slots, 0)+1, 0)</f>
        <v>0.35</v>
      </c>
      <c r="D231" s="43">
        <f ca="1">$K$19+HLOOKUP($A231, INDIRECT(D$31), MATCH("Total", Slots, 0)+1, 0)</f>
        <v>0.44999999999999996</v>
      </c>
      <c r="E231" s="43">
        <f ca="1">$L$19+HLOOKUP($A231, INDIRECT(E$31), MATCH("Total", Slots, 0)+1, 0)</f>
        <v>0.44999999999999996</v>
      </c>
    </row>
    <row r="232" spans="1:9">
      <c r="A232" s="24" t="s">
        <v>274</v>
      </c>
      <c r="B232" s="68">
        <f ca="1">IF(Gear!$B$4="None",$G15,FLOOR(($G15+$G21)*(100%-B231), 1))</f>
        <v>250</v>
      </c>
      <c r="C232" s="58">
        <f ca="1">IF(Gear!$Z$4="None",$H15,FLOOR(($H15+$H21)*(100%-C231), 1))</f>
        <v>261</v>
      </c>
      <c r="D232" s="68">
        <f ca="1">FLOOR(($G15+$G21)*(100%-D231), 1)</f>
        <v>211</v>
      </c>
      <c r="E232" s="68">
        <f ca="1">FLOOR(($H15+$H21)*(100%-E231), 1)</f>
        <v>221</v>
      </c>
    </row>
    <row r="233" spans="1:9">
      <c r="A233" s="24" t="s">
        <v>275</v>
      </c>
      <c r="B233" s="68">
        <f ca="1">FLOOR(B232/2,1)</f>
        <v>125</v>
      </c>
      <c r="C233" s="58">
        <f ca="1">FLOOR(C232/2,1)</f>
        <v>130</v>
      </c>
      <c r="D233" s="68">
        <f ca="1">FLOOR(D232/2,1)</f>
        <v>105</v>
      </c>
      <c r="E233" s="68">
        <f ca="1">FLOOR(E232/2,1)</f>
        <v>110</v>
      </c>
    </row>
    <row r="234" spans="1:9">
      <c r="A234" s="24" t="s">
        <v>276</v>
      </c>
      <c r="B234" s="66">
        <f ca="1">IF(B233&gt;175, TRUNC(B233*489/2000)+17, TRUNC((B233-12)*11/64)+32)</f>
        <v>51</v>
      </c>
      <c r="C234" s="67">
        <f ca="1">IF(C233&gt;175, TRUNC(C233*489/2000)+17, TRUNC((C233-12)*11/64)+32)</f>
        <v>52</v>
      </c>
      <c r="D234" s="66">
        <f t="shared" ref="D234:E234" ca="1" si="16">IF(D233&gt;175, TRUNC(D233*489/2000)+17, TRUNC((D233-12)*11/64)+32)</f>
        <v>47</v>
      </c>
      <c r="E234" s="66">
        <f t="shared" ca="1" si="16"/>
        <v>48</v>
      </c>
    </row>
    <row r="235" spans="1:9">
      <c r="A235" s="44" t="s">
        <v>13</v>
      </c>
      <c r="B235" s="66">
        <f ca="1">$B$18+$B$19+$C$18+HLOOKUP($A235, INDIRECT(B$31), MATCH("Total", Slots, 0)+1, 0)+IF(Setup!$J39=1, Setup!M39, 0)+IF(Setup!$F$7=1, 10, 0)</f>
        <v>51</v>
      </c>
      <c r="C235" s="67">
        <f ca="1">$B$18+$B$19+$D$18+HLOOKUP($A235, INDIRECT(C$31), MATCH("Total", Slots, 0)+1, 0)+IF(Setup!$K39=1, Setup!N39, 0)+IF(Setup!$G$7=1, 10, 0)</f>
        <v>66</v>
      </c>
      <c r="D235" s="66">
        <f ca="1">$B$18+$B$19+$C$18+HLOOKUP($A235, INDIRECT(D$31), MATCH("Total", Slots, 0)+1, 0)+IF(Setup!$J39=1, Setup!M39, 0)+IF(Setup!$F$7=1, 10, 0)</f>
        <v>32</v>
      </c>
      <c r="E235" s="66">
        <f ca="1">$B$18+$B$19+$D$18+HLOOKUP($A235, INDIRECT(E$31), MATCH("Total", Slots, 0)+1, 0)+IF(Setup!$K39=1, Setup!N39, 0)+IF(Setup!$G$7=1, 10, 0)</f>
        <v>37</v>
      </c>
    </row>
    <row r="236" spans="1:9">
      <c r="A236" s="26" t="s">
        <v>820</v>
      </c>
      <c r="B236" s="70">
        <f ca="1">TRUNC(B234*(1+B235/100)+H230)</f>
        <v>80</v>
      </c>
      <c r="C236" s="71">
        <f ca="1">TRUNC(C234*(1+C235/100)+I230)</f>
        <v>89</v>
      </c>
      <c r="D236" s="70">
        <f t="shared" ref="D236" ca="1" si="17">TRUNC(D234*(1+D235/100))</f>
        <v>62</v>
      </c>
      <c r="E236" s="70">
        <f ca="1">TRUNC(E234*(1+E235/100))</f>
        <v>65</v>
      </c>
    </row>
    <row r="237" spans="1:9">
      <c r="A237" s="24" t="s">
        <v>290</v>
      </c>
      <c r="B237" s="68">
        <f ca="1">B35-$L$5</f>
        <v>57</v>
      </c>
      <c r="C237" s="88">
        <f ca="1">C35-$L$5</f>
        <v>47</v>
      </c>
      <c r="D237" s="68">
        <f ca="1">D35-$L$5</f>
        <v>63</v>
      </c>
      <c r="E237" s="68">
        <f ca="1">E35-$L$5</f>
        <v>16</v>
      </c>
    </row>
    <row r="238" spans="1:9">
      <c r="A238" t="s">
        <v>66</v>
      </c>
      <c r="B238" s="12">
        <f ca="1">IF(B237&gt;50, 15%, IF(B237&gt;39,5%+(B237-40)/100,IF(B237&gt;29,4%,IF(B237&gt;19,3%,IF(B237&gt;13,2%,IF(B237&gt;6,1%,0))))))+5%</f>
        <v>0.2</v>
      </c>
      <c r="C238" s="72">
        <f ca="1">IF(C237&gt;50, 15%, IF(C237&gt;39,5%+(C237-40)/100,IF(C237&gt;29,4%,IF(C237&gt;19,3%,IF(C237&gt;13,2%,IF(C237&gt;6,1%,0))))))+5%</f>
        <v>0.17</v>
      </c>
      <c r="D238" s="12">
        <f ca="1">IF(D237&gt;50, 15%, IF(D237&gt;39,5%+(D237-40)/100,IF(D237&gt;29,4%,IF(D237&gt;19,3%,IF(D237&gt;13,2%,IF(D237&gt;6,1%,0))))))+5%</f>
        <v>0.2</v>
      </c>
      <c r="E238" s="12">
        <f ca="1">IF(E237&gt;50, 15%, IF(E237&gt;39,5%+(E237-40)/100,IF(E237&gt;29,4%,IF(E237&gt;19,3%,IF(E237&gt;13,2%,IF(E237&gt;6,1%,0))))))+5%</f>
        <v>7.0000000000000007E-2</v>
      </c>
    </row>
    <row r="239" spans="1:9">
      <c r="A239" s="31" t="s">
        <v>531</v>
      </c>
      <c r="B239" s="12">
        <f>IF(Setup!$F32=1, VLOOKUP("C.Rate", Ionis, 2, 0), 0)</f>
        <v>0</v>
      </c>
      <c r="C239" s="72">
        <f>IF(Setup!$G32=1, VLOOKUP("C.Rate", Ionis, 2, 0), 0)</f>
        <v>0</v>
      </c>
      <c r="D239" s="12">
        <f>IF(Setup!$F32=1, VLOOKUP("C.Rate", Ionis, 2, 0), 0)</f>
        <v>0</v>
      </c>
      <c r="E239" s="12">
        <f>IF(Setup!$G32=1, VLOOKUP("C.Rate", Ionis, 2, 0), 0)</f>
        <v>0</v>
      </c>
    </row>
    <row r="240" spans="1:9">
      <c r="A240" t="s">
        <v>119</v>
      </c>
      <c r="B240" s="2">
        <f ca="1">MAX(MIN(B238+B239+Setup!$B$13+$B$16+$C$16+HLOOKUP($A240, INDIRECT(B$31), MATCH("Total", Slots, 0)+1, 0)-HLOOKUP($A240, INDIRECT(B$31), 3, 0) + IF(Setup!J38=1, Setup!M38, 0), 100%), 0)</f>
        <v>0.43000000000000005</v>
      </c>
      <c r="C240" s="15">
        <f ca="1">MAX(MIN(C238+C239+Setup!$C$13+$B$16+$D$16+HLOOKUP($A240, INDIRECT(C$31), MATCH("Total", Slots, 0)+1, 0)-HLOOKUP($A240, INDIRECT(C$31), 3, 0) + IF(Setup!K38=1, Setup!N38, 0), 100%), 0)</f>
        <v>0.35000000000000003</v>
      </c>
      <c r="D240" s="2">
        <f ca="1">MAX(MIN(D238+D239+Setup!$B$13+$B$16+$C$16+HLOOKUP($A240, INDIRECT(D$31), MATCH("Total", Slots, 0)+1, 0)-HLOOKUP($A240, INDIRECT(D$31), 3, 0) + IF(Setup!J38=1, Setup!M38, 0), 100%), 0)</f>
        <v>0.3</v>
      </c>
      <c r="E240" s="2">
        <f ca="1">MAX(MIN(E238+E239+Setup!$C$13+$B$16+$D$16+HLOOKUP($A240, INDIRECT(E$31), MATCH("Total", Slots, 0)+1, 0)-HLOOKUP($A240, INDIRECT(E$31), 3, 0) + IF(Setup!K38=1, Setup!N38, 0), 100%), 0)</f>
        <v>0.12000000000000001</v>
      </c>
    </row>
    <row r="241" spans="1:13">
      <c r="A241" t="s">
        <v>305</v>
      </c>
      <c r="B241" s="2">
        <f ca="1">MAX(MIN(B238+Setup!$B$13+$B$16+$C$16+HLOOKUP($A240, INDIRECT(B$31), MATCH("Total", Slots, 0)+1, 0)-HLOOKUP($A240, INDIRECT(B$31), 2, 0) + IF(Setup!J38=1, Setup!M38, 0), 100%), 0)</f>
        <v>0.43000000000000005</v>
      </c>
      <c r="C241" s="15">
        <f ca="1">MAX(MIN(C238+Setup!$C$13+$B$16+$D$16+HLOOKUP($A240, INDIRECT(C$31), MATCH("Total", Slots, 0)+1, 0)-HLOOKUP($A240, INDIRECT(C$31), 2, 0) + IF(Setup!K38=1, Setup!N38, 0), 100%), 0)</f>
        <v>0.35000000000000003</v>
      </c>
      <c r="D241" s="2">
        <f ca="1">MAX(MIN(D238+Setup!$B$13+$B$16+$C$16+HLOOKUP($A240, INDIRECT(D$31), MATCH("Total", Slots, 0)+1, 0)-HLOOKUP($A240, INDIRECT(D$31), 2, 0) + IF(Setup!J38=1, Setup!M38, 0), 100%), 0)</f>
        <v>0.3</v>
      </c>
      <c r="E241" s="2">
        <f ca="1">MAX(MIN(E238+Setup!$C$13+$B$16+$D$16+HLOOKUP($A240, INDIRECT(E$31), MATCH("Total", Slots, 0)+1, 0)-HLOOKUP($A240, INDIRECT(E$31), 2, 0) + IF(Setup!K38=1, Setup!N38, 0), 100%), 0)</f>
        <v>0.12000000000000001</v>
      </c>
      <c r="M241" s="1"/>
    </row>
    <row r="242" spans="1:13">
      <c r="A242" t="s">
        <v>291</v>
      </c>
      <c r="B242" s="12">
        <f>IF(AND(Setup!$F4=1, Setup!$F5=0), 20%, 0)</f>
        <v>0.2</v>
      </c>
      <c r="C242" s="72">
        <f>IF(AND(Setup!$G4=1, Setup!$G5=0), 20%, 0)</f>
        <v>0.2</v>
      </c>
      <c r="D242" s="12">
        <f>IF(AND(Setup!$F4=1, Setup!$F5=0), 20%, 0)</f>
        <v>0.2</v>
      </c>
      <c r="E242" s="12">
        <f>IF(AND(Setup!$G4=1, Setup!$G5=0), 20%, 0)</f>
        <v>0.2</v>
      </c>
    </row>
    <row r="243" spans="1:13">
      <c r="A243" t="s">
        <v>278</v>
      </c>
      <c r="B243" s="2">
        <f ca="1">MAX(MIN(B240+B242 + $L$8, 100%), 1%)</f>
        <v>0.63000000000000012</v>
      </c>
      <c r="C243" s="15">
        <f ca="1">MAX(MIN(C240+C242 + $L$8, 100%), 1%)</f>
        <v>0.55000000000000004</v>
      </c>
      <c r="D243" s="2">
        <f ca="1">MIN(D240+D242 + $L$8, 100%)</f>
        <v>0.5</v>
      </c>
      <c r="E243" s="2">
        <f ca="1">MIN(E240+E242 + $L$8, 100%)</f>
        <v>0.32</v>
      </c>
    </row>
    <row r="244" spans="1:13">
      <c r="A244" t="s">
        <v>306</v>
      </c>
      <c r="B244" s="2">
        <f ca="1">MAX(MIN(B241+B242 + $L$8, 100%), 1%)</f>
        <v>0.63000000000000012</v>
      </c>
      <c r="C244" s="15">
        <f ca="1">MAX(MIN(C241+C242 + $L$8, 100%), 1%)</f>
        <v>0.55000000000000004</v>
      </c>
      <c r="D244" s="2">
        <f ca="1">MIN(D241+D242 + $L$8, 100%)</f>
        <v>0.5</v>
      </c>
      <c r="E244" s="2">
        <f ca="1">MIN(E241+E242 + $L$8, 100%)</f>
        <v>0.32</v>
      </c>
    </row>
    <row r="245" spans="1:13">
      <c r="A245" s="44" t="s">
        <v>118</v>
      </c>
      <c r="B245" s="43">
        <f ca="1">MAX(MIN($B$17+$C$17 + HLOOKUP($A245, INDIRECT(B$31), MATCH("Total", Slots, 0)+1, 0) - $L$7, 100%), -100%)</f>
        <v>0.06</v>
      </c>
      <c r="C245" s="15">
        <f ca="1">MAX(MIN($B$17+$D$17 + HLOOKUP($A245, INDIRECT(C$31), MATCH("Total", Slots, 0)+1, 0) - $L$7, 100%), -100%)</f>
        <v>0.06</v>
      </c>
      <c r="D245" s="43">
        <f ca="1">MAX(MIN($B$17+$C$17 + HLOOKUP($A245, INDIRECT(D$31), MATCH("Total", Slots, 0)+1, 0) - $L$7, 100%), -100%)</f>
        <v>0</v>
      </c>
      <c r="E245" s="43">
        <f ca="1">MAX(MIN($B$17+$D$17 + HLOOKUP($A245, INDIRECT(E$31), MATCH("Total", Slots, 0)+1, 0) - $L$7, 100%), -100%)</f>
        <v>0</v>
      </c>
    </row>
    <row r="246" spans="1:13">
      <c r="A246" s="25" t="s">
        <v>279</v>
      </c>
      <c r="B246" s="86">
        <f ca="1">100%+B245</f>
        <v>1.06</v>
      </c>
      <c r="C246" s="87">
        <f ca="1">100%+C245</f>
        <v>1.06</v>
      </c>
      <c r="D246" s="86">
        <f ca="1">100%+D245</f>
        <v>1</v>
      </c>
      <c r="E246" s="86">
        <f ca="1">100%+E245</f>
        <v>1</v>
      </c>
    </row>
    <row r="248" spans="1:13">
      <c r="A248" s="14" t="s">
        <v>28</v>
      </c>
      <c r="B248" s="27" t="s">
        <v>254</v>
      </c>
      <c r="C248" s="27" t="s">
        <v>255</v>
      </c>
      <c r="D248" s="55" t="s">
        <v>256</v>
      </c>
      <c r="E248" s="27" t="s">
        <v>257</v>
      </c>
    </row>
    <row r="249" spans="1:13">
      <c r="A249" s="24" t="s">
        <v>449</v>
      </c>
      <c r="B249" s="111">
        <f>TRUNC(MAX(0, Setup!J12-300)/10) + 20</f>
        <v>35</v>
      </c>
      <c r="C249" s="111">
        <f>TRUNC(MAX(0, Setup!K12-300)/10) + 20</f>
        <v>35</v>
      </c>
      <c r="D249" s="112"/>
      <c r="E249" s="111"/>
    </row>
    <row r="250" spans="1:13">
      <c r="A250" s="24" t="s">
        <v>450</v>
      </c>
      <c r="B250" s="111">
        <f>IF(Setup!J16&lt;150, MAX(1, TRUNC(SQRT(Setup!J16))-1), TRUNC(Setup!J16/20)+5)</f>
        <v>28</v>
      </c>
      <c r="C250" s="111">
        <f>IF(Setup!K16&lt;150, MAX(1, TRUNC(SQRT(Setup!K16))-1), TRUNC(Setup!K16/20)+5)</f>
        <v>28</v>
      </c>
      <c r="D250" s="112"/>
      <c r="E250" s="111"/>
    </row>
    <row r="251" spans="1:13">
      <c r="A251" s="24" t="s">
        <v>451</v>
      </c>
      <c r="B251" s="111">
        <f ca="1">IF(G16&gt;0, G16, IF(Setup!J$13=1, B$249, IF(Setup!J$18=1, B$250, 0)))</f>
        <v>0</v>
      </c>
      <c r="C251" s="111">
        <f ca="1">IF(H16&gt;0, H16, IF(Setup!K$13=1, C$249, IF(Setup!K$18=1, C$250, 0)))</f>
        <v>0</v>
      </c>
      <c r="D251" s="112"/>
      <c r="E251" s="111"/>
    </row>
    <row r="252" spans="1:13">
      <c r="A252" s="14" t="s">
        <v>452</v>
      </c>
      <c r="B252" s="113">
        <f ca="1">IF(G22&gt;0, G22, IF(Setup!J$13=1, B$249, IF(Setup!J$18=1, B$250, 0)))</f>
        <v>0</v>
      </c>
      <c r="C252" s="115">
        <f ca="1">IF(H22&gt;0, H22, IF(Setup!K$13=1, C$249, IF(Setup!K$18=1, C$250, 0)))</f>
        <v>0</v>
      </c>
      <c r="D252" s="114"/>
      <c r="E252" s="113"/>
    </row>
    <row r="253" spans="1:13">
      <c r="A253" s="24" t="s">
        <v>123</v>
      </c>
      <c r="B253" s="6">
        <f ca="1">B116*(B94*(100%-B243)+B110*B243*B246)</f>
        <v>365.65303408522232</v>
      </c>
      <c r="C253" s="6">
        <f ca="1">C116*(C94*(100%-C243)+C110*C243*C246)</f>
        <v>342.39598959193455</v>
      </c>
      <c r="D253" s="73"/>
      <c r="E253" s="74"/>
    </row>
    <row r="254" spans="1:13">
      <c r="A254" s="24" t="s">
        <v>124</v>
      </c>
      <c r="B254" s="6">
        <f ca="1">B178*(B156*(100%-B244)+B172*B244*B246)</f>
        <v>240.7796886553958</v>
      </c>
      <c r="C254" s="6">
        <f ca="1">C178*(C156*(100%-C244)+C172*C244*C246)</f>
        <v>211.64726776434452</v>
      </c>
      <c r="D254" s="73"/>
      <c r="E254" s="74"/>
    </row>
    <row r="255" spans="1:13">
      <c r="A255" s="119" t="s">
        <v>663</v>
      </c>
      <c r="B255" s="6">
        <f ca="1">B211*B203*(1-B221) + B211*B204*B221*B246</f>
        <v>155.72438709677422</v>
      </c>
      <c r="C255" s="6">
        <f ca="1">C211*C203*(1-C221) + C211*C204*C221*C246</f>
        <v>151.60562990409764</v>
      </c>
      <c r="D255" s="73"/>
      <c r="E255" s="74"/>
    </row>
    <row r="256" spans="1:13">
      <c r="A256" t="s">
        <v>292</v>
      </c>
      <c r="B256" s="6">
        <f ca="1">AvgHitsPerHand1Set1</f>
        <v>1.9532699999999998</v>
      </c>
      <c r="C256" s="6">
        <f ca="1">AvgHitsPerHand1Set2</f>
        <v>1.965843</v>
      </c>
      <c r="D256" s="75"/>
    </row>
    <row r="257" spans="1:5">
      <c r="A257" t="s">
        <v>293</v>
      </c>
      <c r="B257" s="6">
        <f ca="1">IF(Gear!$B$4="None",0,AvgHitsPerHand2Set1)</f>
        <v>1.8743499999999997</v>
      </c>
      <c r="C257" s="6">
        <f ca="1">IF(Gear!$Z$4="None",0,AvgHitsPerHand2Set2)</f>
        <v>1.886415</v>
      </c>
      <c r="D257" s="75"/>
    </row>
    <row r="258" spans="1:5">
      <c r="A258" s="31" t="s">
        <v>669</v>
      </c>
      <c r="B258" s="6">
        <f ca="1">B229*B207</f>
        <v>0.75049999999999994</v>
      </c>
      <c r="C258" s="6">
        <f ca="1">C229*C207</f>
        <v>0.75049999999999994</v>
      </c>
      <c r="D258" s="75"/>
    </row>
    <row r="259" spans="1:5">
      <c r="A259" s="31" t="s">
        <v>542</v>
      </c>
      <c r="B259" s="35">
        <f>IF(LEFT(Gear!$B3,6)="Kikoku", IF(ISERROR(VALUE(RIGHT(Gear!$B3,3))), 0, VALUE(RIGHT(Gear!$B3,3))), 0)</f>
        <v>121</v>
      </c>
      <c r="C259" s="35">
        <f>IF(LEFT(Gear!$Z3,6)="Kikoku", IF(ISERROR(VALUE(RIGHT(Gear!$Z3,3))), 0, VALUE(RIGHT(Gear!$Z3,3))), 0)</f>
        <v>0</v>
      </c>
      <c r="D259" s="75"/>
    </row>
    <row r="260" spans="1:5">
      <c r="A260" s="31" t="s">
        <v>543</v>
      </c>
      <c r="B260" s="6">
        <f ca="1">IF(B259&gt;0, IF(B259&lt;95, 5%, IF(B259&gt;119, 16%, 12%)), 0) * B253 * B112 * 2</f>
        <v>115.83888119819844</v>
      </c>
      <c r="C260" s="6">
        <f ca="1">IF(C259&gt;0, IF(C259&lt;95, 5%, IF(C259&gt;119, 16%, 12%)), 0) * C253 * C112 * 2</f>
        <v>0</v>
      </c>
      <c r="D260" s="75"/>
    </row>
    <row r="261" spans="1:5">
      <c r="A261" s="31" t="s">
        <v>752</v>
      </c>
      <c r="B261" s="6">
        <f>IF(LEFT(Gear!$B3,7)="Kannagi", IF(RIGHT(Gear!$B3,3)="121", (G17*B256*B253)*2, (G17*B256*B253)), 0)</f>
        <v>0</v>
      </c>
      <c r="C261" s="6">
        <f>IF(LEFT(Gear!$Z3,7)="Kannagi", IF(RIGHT(Gear!$Z3,3)="121", (H17*C256*C253)*2, (H17*C256*C253)), 0)</f>
        <v>0</v>
      </c>
      <c r="D261" s="75"/>
    </row>
    <row r="262" spans="1:5">
      <c r="A262" s="31" t="s">
        <v>544</v>
      </c>
      <c r="B262" s="6">
        <f ca="1">(1-B228)*(1-B227)*B226*B112*2</f>
        <v>0.54053999999999991</v>
      </c>
      <c r="C262" s="6">
        <f ca="1">(1-C228)*(1-C227)*C226*C112*2</f>
        <v>0.48648599999999992</v>
      </c>
      <c r="D262" s="75"/>
    </row>
    <row r="263" spans="1:5">
      <c r="A263" s="31" t="s">
        <v>545</v>
      </c>
      <c r="B263" s="6">
        <f ca="1">IF(B119&gt;0, (1-B228)*(1-B227)*B226*B174*2, 0)</f>
        <v>0.51869999999999994</v>
      </c>
      <c r="C263" s="6">
        <f ca="1">IF(C119&gt;0, (1-C228)*(1-C227)*C226*C174*2, 0)</f>
        <v>0.46682999999999991</v>
      </c>
      <c r="D263" s="75"/>
    </row>
    <row r="264" spans="1:5">
      <c r="A264" s="31" t="s">
        <v>546</v>
      </c>
      <c r="B264" s="6">
        <f>IF(Gear!B17="Quiahuiz", 5% * (B253*B262 + B254*B263), 0)</f>
        <v>0</v>
      </c>
      <c r="C264" s="6">
        <f>IF(Gear!Z17="Quiahuiz", 5% * (C253*C262 + C254*C263), 0)</f>
        <v>0</v>
      </c>
      <c r="D264" s="75"/>
    </row>
    <row r="265" spans="1:5">
      <c r="A265" s="27" t="s">
        <v>280</v>
      </c>
      <c r="B265" s="76">
        <f ca="1">(B256*(B253+B251)) + (B257*(B254+B252)) + B255*B258 + B260 + B261 + B264</f>
        <v>1398.2345450332107</v>
      </c>
      <c r="C265" s="76">
        <f ca="1">(C256*(C253+C251)) + (C257*(C254+C252)) + C255*C258 + C260 + C261 + C264</f>
        <v>1186.1313652300787</v>
      </c>
      <c r="D265" s="77"/>
      <c r="E265" s="14"/>
    </row>
    <row r="266" spans="1:5">
      <c r="A266" t="s">
        <v>143</v>
      </c>
      <c r="B266" s="2">
        <f>MIN(IF(Setup!J$4=1, IF(Setup!$I$4="Haste",150, IF(Setup!$I$4="Haste II", 307, 0)), 0) + (IF(Setup!J$33=1, 126 + 12*Setup!M33, 0)) + (IF(Setup!J$26=1, 163 + 16 * Setup!M26, 0) + IF(Setup!J$27=1, 108 + 16 * Setup!M26, 0)) * IF(Setup!J25=1, 2, 1) + IF(Setup!J17=1, TRUNC(((Setup!J16/15)/100)*1024), 0), 448) / 1024</f>
        <v>0.4375</v>
      </c>
      <c r="C266" s="2">
        <f>MIN(IF(Setup!K$4=1, IF(Setup!$I$4="Haste",150, IF(Setup!$I$4="Haste II", 307, 0)), 0) + (IF(Setup!K$33=1, 126 + 12*Setup!N33, 0)) + (IF(Setup!K$26=1, 163 + 16 * Setup!N26, 0) + IF(Setup!K$27=1, 108 + 16 * Setup!N26, 0)) * IF(Setup!K25=1, 2, 1) + IF(Setup!K17=1, TRUNC(((Setup!K16/15)/100)*1024), 0), 448) / 1024</f>
        <v>0.4375</v>
      </c>
      <c r="D266" s="75"/>
    </row>
    <row r="267" spans="1:5">
      <c r="A267" t="s">
        <v>144</v>
      </c>
      <c r="B267" s="12">
        <f>IF(AND(Setup!F12=1, $D$1="Dnc"), 50, IF(Setup!J22=1, 100, 0)) / 1024</f>
        <v>0</v>
      </c>
      <c r="C267" s="12">
        <f>IF(AND(Setup!G12=1, $D$1="Dnc"), 50, IF(Setup!K22=1, 100, 0)) / 1024</f>
        <v>0</v>
      </c>
      <c r="D267" s="75"/>
    </row>
    <row r="268" spans="1:5">
      <c r="A268" t="s">
        <v>65</v>
      </c>
      <c r="B268" s="2">
        <f ca="1">MIN(HLOOKUP("Haste", INDIRECT(B$31), MATCH("Total", Slots, 0)+1, 0) + IF(Setup!$F32=1, VLOOKUP("Haste", Ionis, 2, 0), 0)/1024, 25%)</f>
        <v>0.25</v>
      </c>
      <c r="C268" s="2">
        <f ca="1">MIN(HLOOKUP("Haste", INDIRECT(C$31), MATCH("Total", Slots, 0)+1, 0) + IF(Setup!$G32=1, VLOOKUP("Haste", Ionis, 2, 0), 0)/1024, 25%)</f>
        <v>0.25</v>
      </c>
      <c r="D268" s="75"/>
    </row>
    <row r="269" spans="1:5">
      <c r="A269" t="s">
        <v>41</v>
      </c>
      <c r="B269" s="2">
        <f ca="1">B266+B267+B268</f>
        <v>0.6875</v>
      </c>
      <c r="C269" s="2">
        <f ca="1">C266+C267+C268</f>
        <v>0.6875</v>
      </c>
      <c r="D269" s="75"/>
    </row>
    <row r="270" spans="1:5">
      <c r="A270" t="s">
        <v>281</v>
      </c>
      <c r="B270" s="13">
        <f ca="1">B232*(1-B269)</f>
        <v>78.125</v>
      </c>
      <c r="C270" s="13">
        <f ca="1">C232*(1-C269)</f>
        <v>81.5625</v>
      </c>
      <c r="D270" s="75"/>
    </row>
    <row r="271" spans="1:5">
      <c r="A271" t="s">
        <v>282</v>
      </c>
      <c r="B271" s="13">
        <f ca="1">(G15+G21) * 0.2</f>
        <v>77</v>
      </c>
      <c r="C271" s="69">
        <f ca="1">(H15+H21) * 0.2</f>
        <v>80.400000000000006</v>
      </c>
      <c r="D271" s="75"/>
    </row>
    <row r="272" spans="1:5">
      <c r="A272" s="14" t="s">
        <v>283</v>
      </c>
      <c r="B272" s="78">
        <f ca="1">MAX(B270,B271)</f>
        <v>78.125</v>
      </c>
      <c r="C272" s="78">
        <f ca="1">MAX(C270,C271)</f>
        <v>81.5625</v>
      </c>
      <c r="D272" s="77"/>
      <c r="E272" s="14"/>
    </row>
    <row r="273" spans="1:7">
      <c r="A273" s="79" t="s">
        <v>189</v>
      </c>
      <c r="B273" s="80">
        <f ca="1">B265/(B272/60)</f>
        <v>1073.8441305855058</v>
      </c>
      <c r="C273" s="80">
        <f ca="1">C265/(C272/60)</f>
        <v>872.5564066060349</v>
      </c>
      <c r="D273" s="81"/>
      <c r="E273" s="82"/>
    </row>
    <row r="274" spans="1:7">
      <c r="A274" t="s">
        <v>457</v>
      </c>
      <c r="B274" s="7"/>
      <c r="C274" s="7"/>
      <c r="D274" s="4">
        <f ca="1">HLOOKUP($A274, INDIRECT(D$31), MATCH("Total", Slots, 0)+1, 0)</f>
        <v>0</v>
      </c>
      <c r="E274" s="4">
        <f ca="1">HLOOKUP($A274, INDIRECT(E$31), MATCH("Total", Slots, 0)+1, 0)</f>
        <v>0</v>
      </c>
    </row>
    <row r="275" spans="1:7">
      <c r="A275" t="s">
        <v>289</v>
      </c>
      <c r="B275" s="7"/>
      <c r="C275" s="7"/>
      <c r="D275" s="7">
        <f ca="1">C20+HLOOKUP($A275, INDIRECT(D$31), MATCH("Total", Slots, 0)+1, 0)</f>
        <v>0</v>
      </c>
      <c r="E275" s="7">
        <f ca="1">D20+HLOOKUP($A275, INDIRECT(E$31), MATCH("Total", Slots, 0)+1, 0)</f>
        <v>750</v>
      </c>
    </row>
    <row r="276" spans="1:7">
      <c r="A276" t="s">
        <v>339</v>
      </c>
      <c r="B276" s="7"/>
      <c r="C276" s="7"/>
      <c r="D276" s="89">
        <f ca="1">HLOOKUP($A276, INDIRECT(D$31), MATCH("Total", Slots, 0)+1, 0)</f>
        <v>0</v>
      </c>
      <c r="E276" s="89">
        <f ca="1">HLOOKUP($A276, INDIRECT(E$31), MATCH("Total", Slots, 0)+1, 0)</f>
        <v>0</v>
      </c>
    </row>
    <row r="277" spans="1:7">
      <c r="A277" t="s">
        <v>163</v>
      </c>
      <c r="B277" s="7"/>
      <c r="C277" s="7"/>
      <c r="D277" s="2">
        <f ca="1">1+HLOOKUP($A277, INDIRECT(D$31), MATCH("Total", Slots, 0)+1, 0)+$B$23</f>
        <v>1.4000000000000001</v>
      </c>
      <c r="E277" s="2">
        <f ca="1">1+HLOOKUP($A277, INDIRECT(E$31), MATCH("Total", Slots, 0)+1, 0)+$B$23</f>
        <v>1.4000000000000001</v>
      </c>
    </row>
    <row r="278" spans="1:7">
      <c r="A278" t="s">
        <v>358</v>
      </c>
      <c r="B278" s="7"/>
      <c r="C278" s="7"/>
      <c r="D278" s="91">
        <f>100%+IF(Setup!B24="Blade: Metsu",IF(OR(Gear!B3="Kikoku 90",Gear!B3="Kikoku 95"),25%,IF(OR(Gear!B3="Kikoku 99",Gear!B3="Kikoku 119",Gear!B3="Kikoku 121"),40%,0)),0)+IF(Setup!B24="Blade: Metsu",IF(Gear!B3="Kikoku Aug 121",40%,0),0)</f>
        <v>1.4</v>
      </c>
      <c r="E278" s="91">
        <f>100% + IF(Setup!C24="Blade: Metsu", IF(OR(Gear!Z3="Kikoku 90", Gear!Z3="Kikoku 95"), 25%, IF(OR(Gear!Z3="Kikoku 99", Gear!Z3="Kikoku 119", Gear!Z3="Kikoku 121"), 40%, 0)), 0)  + IF(Setup!C24="Blade: Metsu", IF(Gear!Z3="Kikoku Aug 121", 40%, 0), 0)</f>
        <v>1</v>
      </c>
    </row>
    <row r="279" spans="1:7" s="200" customFormat="1">
      <c r="A279" s="202" t="s">
        <v>862</v>
      </c>
      <c r="B279" s="7"/>
      <c r="C279" s="7"/>
      <c r="D279" s="91">
        <f>100% + IF(Setup!B24="Blade: Metsu",IF(Gear!B3="Kikoku Aug 121",20%,0),0)+IF(Setup!B24="Blade: Hi",IF(Gear!B3="Kannagi Aug 121",10%,0),0)+IF(Setup!B24="Blade: Shun",IF(Gear!B3="Heishi Shorinken Aug",10%,0),0)+IF(Setup!B24="Blade: Ku",IF(Gear!B3="Gokotai",60%,0),0)+IF(Setup!B24="Blade: Kamu",IF(Gear!B3="Nagi Aug 121",49.5%,0),0)+IF(Setup!B24="Blade: Kamu",IF(Gear!B3="Nagi 121",30%,0),0)+IF(Setup!B24="Blade: Kamu",IF(Gear!B3="Nagi 119",30%,0),0)</f>
        <v>1.2</v>
      </c>
      <c r="E279" s="91">
        <f>100%+IF(Setup!C24="Blade: Metsu",IF(Gear!Z3="Kikoku Aug 121",20%,0),0)+IF(Setup!C24="Blade: Hi",IF(Gear!Z3="Kannagi Aug 121",10%,0),0)+IF(Setup!C24="Blade: Shun",IF(Gear!Z3="Heishi Shorinken Aug",10%,0),0)+IF(Setup!C24="Blade: Ku",IF(Gear!Z3="Gokotai",60%,0),0)+IF(Setup!C24="Blade: Kamu",IF(Gear!Z3="Nagi Aug 121",49.5%,0),0)+IF(Setup!C24="Blade: Kamu",IF(Gear!Z3="Nagi 121",30%,0),0)+IF(Setup!C24="Blade: Kamu",IF(Gear!Z3="Nagi 119",30%,0),0)</f>
        <v>1</v>
      </c>
    </row>
    <row r="280" spans="1:7">
      <c r="A280" t="s">
        <v>116</v>
      </c>
      <c r="B280" s="7"/>
      <c r="C280" s="7"/>
      <c r="D280" s="39">
        <f ca="1">C21+IF(Setup!J40=1,Setup!M40,0)+IF(Setup!J19=1,10,0) + IF(Setup!J17=1, (TRUNC(Setup!J16/100)+1)*10, 0) + HLOOKUP($A280, INDIRECT(B$31), MATCH("Total", Slots, 0)+1, 0)</f>
        <v>0</v>
      </c>
      <c r="E280" s="39">
        <f ca="1">D21+IF(Setup!K40=1,Setup!N40,0)+IF(Setup!K19=1,10,0) + IF(Setup!K17=1, (TRUNC(Setup!K16/100)+1)*10, 0) + HLOOKUP($A280, INDIRECT(C$31), MATCH("Total", Slots, 0)+1, 0)</f>
        <v>0</v>
      </c>
    </row>
    <row r="281" spans="1:7">
      <c r="A281" t="s">
        <v>284</v>
      </c>
      <c r="B281" s="7"/>
      <c r="C281" s="7"/>
      <c r="D281" s="83">
        <f ca="1">FLOOR(D280*B$272/60/3 * 5, 1) + Setup!F41</f>
        <v>0</v>
      </c>
      <c r="E281" s="83">
        <f ca="1">FLOOR(E280*C$272/60/3 * 5, 1) + Setup!G41</f>
        <v>0</v>
      </c>
    </row>
    <row r="282" spans="1:7">
      <c r="A282" t="s">
        <v>40</v>
      </c>
      <c r="D282" s="84">
        <f ca="1">Weaponskill!Q3 * D278 * D279</f>
        <v>11843.193674051365</v>
      </c>
      <c r="E282" s="84">
        <f ca="1">Weaponskill!R3 * E278 * E279</f>
        <v>11908.793388109687</v>
      </c>
      <c r="F282" s="31"/>
    </row>
    <row r="283" spans="1:7">
      <c r="A283" t="s">
        <v>285</v>
      </c>
      <c r="D283" s="85">
        <f ca="1">Weaponskill!Q2</f>
        <v>3.3530553862946908</v>
      </c>
      <c r="E283" s="85">
        <f ca="1">Weaponskill!R2</f>
        <v>3.1018835906170636</v>
      </c>
      <c r="G283" s="31"/>
    </row>
    <row r="284" spans="1:7">
      <c r="A284" t="s">
        <v>286</v>
      </c>
      <c r="D284" s="6">
        <f ca="1">D283*$B$272+120</f>
        <v>381.95745205427272</v>
      </c>
      <c r="E284" s="6">
        <f ca="1">E283*$C$272+120</f>
        <v>372.99738035970427</v>
      </c>
    </row>
    <row r="285" spans="1:7">
      <c r="A285" t="s">
        <v>287</v>
      </c>
      <c r="D285" s="6">
        <f ca="1">B265*D283+D282</f>
        <v>16531.551546578277</v>
      </c>
      <c r="E285" s="6">
        <f ca="1">C265*E283+E282</f>
        <v>15588.034806233083</v>
      </c>
    </row>
    <row r="286" spans="1:7">
      <c r="A286" t="s">
        <v>193</v>
      </c>
      <c r="D286" s="6">
        <f ca="1">D285/(D284/60)</f>
        <v>2596.8680214511369</v>
      </c>
      <c r="E286" s="6">
        <f ca="1">E285/(E284/60)</f>
        <v>2507.4762923858475</v>
      </c>
    </row>
  </sheetData>
  <phoneticPr fontId="2" type="noConversion"/>
  <conditionalFormatting sqref="B268:C268">
    <cfRule type="cellIs" dxfId="0" priority="1" stopIfTrue="1" operator="greaterThan">
      <formula>24%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tabColor indexed="47"/>
  </sheetPr>
  <dimension ref="A1:AE1064"/>
  <sheetViews>
    <sheetView workbookViewId="0"/>
  </sheetViews>
  <sheetFormatPr defaultRowHeight="12.75"/>
  <cols>
    <col min="1" max="1" width="15.28515625" customWidth="1"/>
    <col min="2" max="2" width="8.85546875" customWidth="1"/>
    <col min="3" max="3" width="8" customWidth="1"/>
    <col min="4" max="4" width="8.5703125" customWidth="1"/>
    <col min="5" max="5" width="8.85546875" customWidth="1"/>
    <col min="6" max="6" width="8.5703125" customWidth="1"/>
    <col min="7" max="7" width="8.28515625" customWidth="1"/>
    <col min="8" max="8" width="7.42578125" customWidth="1"/>
    <col min="9" max="9" width="9.5703125" customWidth="1"/>
    <col min="10" max="10" width="9.28515625" customWidth="1"/>
    <col min="11" max="12" width="10.28515625" customWidth="1"/>
    <col min="13" max="13" width="9.5703125" customWidth="1"/>
    <col min="14" max="14" width="11.28515625" customWidth="1"/>
    <col min="16" max="16" width="12.140625" customWidth="1"/>
    <col min="17" max="17" width="9.28515625" customWidth="1"/>
    <col min="19" max="19" width="9.7109375" customWidth="1"/>
    <col min="20" max="20" width="8.28515625" customWidth="1"/>
    <col min="21" max="21" width="8.140625" customWidth="1"/>
    <col min="22" max="22" width="8.5703125" customWidth="1"/>
    <col min="23" max="24" width="9.28515625" customWidth="1"/>
    <col min="25" max="25" width="8.140625" customWidth="1"/>
    <col min="27" max="27" width="8.5703125" customWidth="1"/>
    <col min="28" max="28" width="7.28515625" customWidth="1"/>
    <col min="29" max="29" width="8.42578125" customWidth="1"/>
    <col min="30" max="30" width="8.5703125" customWidth="1"/>
  </cols>
  <sheetData>
    <row r="1" spans="1:28">
      <c r="A1" t="s">
        <v>360</v>
      </c>
      <c r="Q1" s="44" t="s">
        <v>307</v>
      </c>
      <c r="R1" s="44" t="s">
        <v>308</v>
      </c>
    </row>
    <row r="2" spans="1:28">
      <c r="A2" s="9" t="str">
        <f>Setup!B24</f>
        <v>Blade: Metsu</v>
      </c>
      <c r="F2" s="2"/>
      <c r="I2" t="str">
        <f>VLOOKUP($A$2, WeaponskillData, MATCH("WSC1 Name", WeaponskillDataCols, 0), 0)</f>
        <v>Dex</v>
      </c>
      <c r="J2" s="7">
        <f ca="1">INDIRECT($A$1 &amp; "WS" &amp; I2)</f>
        <v>353</v>
      </c>
      <c r="K2" s="92">
        <f>VLOOKUP($A$2, WeaponskillData, MATCH("WSC1 Value", WeaponskillDataCols, 0), 0)</f>
        <v>0.8</v>
      </c>
      <c r="P2" s="44" t="s">
        <v>294</v>
      </c>
      <c r="Q2" s="93">
        <f ca="1">T531+Set1OverTP</f>
        <v>3.3530553862946908</v>
      </c>
      <c r="R2" s="93">
        <f ca="1">T1064+Set2OverTP</f>
        <v>3.1018835906170636</v>
      </c>
    </row>
    <row r="3" spans="1:28">
      <c r="A3" t="s">
        <v>49</v>
      </c>
      <c r="B3" s="35">
        <f ca="1">Set1MeleeTP</f>
        <v>80</v>
      </c>
      <c r="D3" t="s">
        <v>43</v>
      </c>
      <c r="E3" s="2">
        <f ca="1">Set1DA</f>
        <v>0.35</v>
      </c>
      <c r="F3" s="2"/>
      <c r="I3" t="str">
        <f>VLOOKUP($A$2, WeaponskillData, MATCH("WSC2 Name", WeaponskillDataCols, 0), 0)</f>
        <v>N/A</v>
      </c>
      <c r="J3" s="7">
        <f ca="1">IF(I3&lt;&gt;"N/A", INDIRECT($A$1 &amp; "WS" &amp; I3), 0)</f>
        <v>0</v>
      </c>
      <c r="K3" s="92">
        <f>IF(I3&lt;&gt;"N/A", VLOOKUP($A$2, WeaponskillData, MATCH("WSC2 Value", WeaponskillDataCols, 0), 0), 0)</f>
        <v>0</v>
      </c>
      <c r="P3" s="44" t="s">
        <v>29</v>
      </c>
      <c r="Q3" s="46">
        <f ca="1">X531</f>
        <v>7049.5200440781946</v>
      </c>
      <c r="R3" s="46">
        <f ca="1">X1064</f>
        <v>11908.793388109687</v>
      </c>
    </row>
    <row r="4" spans="1:28">
      <c r="A4" t="s">
        <v>50</v>
      </c>
      <c r="B4">
        <f ca="1">Set1WSTP</f>
        <v>62</v>
      </c>
      <c r="D4" t="s">
        <v>150</v>
      </c>
      <c r="E4" s="2">
        <f ca="1">Set1TA</f>
        <v>0.11</v>
      </c>
      <c r="F4" s="2"/>
      <c r="I4" t="s">
        <v>98</v>
      </c>
      <c r="J4">
        <f ca="1">TRUNC(J2*K2+J3*K3)</f>
        <v>282</v>
      </c>
    </row>
    <row r="5" spans="1:28">
      <c r="A5" t="s">
        <v>361</v>
      </c>
      <c r="B5">
        <f ca="1">Set1WSStoreTP</f>
        <v>32</v>
      </c>
      <c r="D5" t="s">
        <v>309</v>
      </c>
      <c r="E5" s="2">
        <f ca="1">Set1QA</f>
        <v>0</v>
      </c>
      <c r="I5" t="s">
        <v>99</v>
      </c>
      <c r="J5" s="3">
        <f>VLOOKUP($A$2, WeaponskillData, MATCH("FTP1", WeaponskillDataCols, 0), 0)</f>
        <v>5</v>
      </c>
      <c r="K5" s="3">
        <f>VLOOKUP($A$2, WeaponskillData, MATCH("FTP2", WeaponskillDataCols, 0), 0)</f>
        <v>5</v>
      </c>
      <c r="L5" s="3">
        <f>VLOOKUP($A$2, WeaponskillData, MATCH("FTP3", WeaponskillDataCols, 0), 0)</f>
        <v>5</v>
      </c>
      <c r="M5" s="31" t="s">
        <v>567</v>
      </c>
      <c r="N5" s="144">
        <f ca="1">(MIN(MAX((J7-1000), 0), 1000)/1000)*VLOOKUP($A$2, WeaponskillData, MATCH("Att1", WeaponskillDataCols, 0), 0) + (MIN(MAX((J7-2000), 0), 1000)/1000)*VLOOKUP($A$2, WeaponskillData, MATCH("Att2", WeaponskillDataCols, 0), 0)</f>
        <v>0</v>
      </c>
    </row>
    <row r="6" spans="1:28">
      <c r="A6" t="s">
        <v>310</v>
      </c>
      <c r="B6">
        <f ca="1">TRUNC(10*(1+B5/100))</f>
        <v>13</v>
      </c>
      <c r="D6" t="s">
        <v>439</v>
      </c>
      <c r="E6" s="2">
        <f ca="1">Melee!B24</f>
        <v>0</v>
      </c>
      <c r="I6" s="30" t="s">
        <v>311</v>
      </c>
      <c r="J6" s="3">
        <f ca="1">J5+Set1FTP</f>
        <v>5</v>
      </c>
      <c r="K6" s="3">
        <f ca="1">K5+Set1FTP</f>
        <v>5</v>
      </c>
      <c r="L6" s="3">
        <f ca="1">L5+Set1FTP</f>
        <v>5</v>
      </c>
      <c r="M6" s="6"/>
    </row>
    <row r="7" spans="1:28">
      <c r="A7" t="s">
        <v>52</v>
      </c>
      <c r="B7" s="5">
        <f ca="1">Set1WSHitRate</f>
        <v>0.99</v>
      </c>
      <c r="D7" t="s">
        <v>440</v>
      </c>
      <c r="E7" s="2">
        <f ca="1">Melee!B25</f>
        <v>0</v>
      </c>
      <c r="I7" t="s">
        <v>159</v>
      </c>
      <c r="J7" s="4">
        <f ca="1">MIN(TRUNC(V531+Set1TPBonus), 3000)</f>
        <v>1362</v>
      </c>
      <c r="K7" t="s">
        <v>312</v>
      </c>
      <c r="L7" s="3">
        <f ca="1">IF(J7&lt;1000, 0, IF(J7&lt;2000, J6+(J7-1000)/1000*(K6-J6), K6+(J7-2000)/1000*(L6-K6)))</f>
        <v>5</v>
      </c>
    </row>
    <row r="8" spans="1:28">
      <c r="D8" t="s">
        <v>441</v>
      </c>
      <c r="E8" s="2">
        <f ca="1">Melee!B26</f>
        <v>0</v>
      </c>
      <c r="I8" t="s">
        <v>314</v>
      </c>
      <c r="J8" s="92">
        <f>VLOOKUP($A$2, WeaponskillData, MATCH("Crit0", WeaponskillDataCols, 0), 0)</f>
        <v>0</v>
      </c>
      <c r="K8" s="1">
        <f ca="1">(MIN(J7-1000, 1000)/1000)*VLOOKUP($A$2, WeaponskillData, MATCH("Crit1", WeaponskillDataCols, 0), 0) + (MAX(J7-2000, 0)/1000)*VLOOKUP($A$2, WeaponskillData, MATCH("Crit2", WeaponskillDataCols, 0), 0)</f>
        <v>0</v>
      </c>
      <c r="P8" t="s">
        <v>315</v>
      </c>
      <c r="Q8" s="4">
        <f>Set1OverTP</f>
        <v>0.5</v>
      </c>
    </row>
    <row r="9" spans="1:28">
      <c r="A9" t="s">
        <v>313</v>
      </c>
      <c r="B9">
        <f>VLOOKUP($A$2, WeaponskillData, MATCH("Extra Hits", WeaponskillDataCols, 0), 0)</f>
        <v>0</v>
      </c>
      <c r="K9" t="s">
        <v>139</v>
      </c>
      <c r="L9" t="s">
        <v>100</v>
      </c>
      <c r="M9" t="s">
        <v>108</v>
      </c>
      <c r="P9" t="s">
        <v>344</v>
      </c>
      <c r="Q9" s="2">
        <f ca="1">Set1ConserveTP</f>
        <v>0</v>
      </c>
    </row>
    <row r="10" spans="1:28">
      <c r="A10" t="s">
        <v>316</v>
      </c>
      <c r="B10">
        <f>IF(VLOOKUP($A$2, WeaponskillData, MATCH("Offhand", WeaponskillDataCols, 0), 0) = 1, IF(Gear!B4="None", 0, 1), 0)</f>
        <v>1</v>
      </c>
      <c r="I10" t="s">
        <v>317</v>
      </c>
      <c r="J10">
        <f ca="1">Data!D116</f>
        <v>171</v>
      </c>
      <c r="K10">
        <f ca="1">FLOOR((J10+J4)*L7, 1)</f>
        <v>2265</v>
      </c>
      <c r="L10" s="1">
        <f>IF(J8=0, 0, MAX(MIN($J$8+$K$8+Data!D243, 100%), 1%))</f>
        <v>0</v>
      </c>
      <c r="M10" s="2">
        <f ca="1">Data!D246</f>
        <v>1</v>
      </c>
      <c r="P10" t="s">
        <v>343</v>
      </c>
      <c r="Q10">
        <f ca="1">Set1SaveTP</f>
        <v>0</v>
      </c>
    </row>
    <row r="11" spans="1:28">
      <c r="I11" t="s">
        <v>138</v>
      </c>
      <c r="J11">
        <f ca="1">Data!D116</f>
        <v>171</v>
      </c>
      <c r="K11">
        <f ca="1">IF(J11&gt;0, FLOOR((J11+$J$4) * IF(VLOOKUP($A$2, WeaponskillData, MATCH("FTPCarry", WeaponskillDataCols, 0), 0)=1, $L$7, 1), 1), 0)</f>
        <v>453</v>
      </c>
      <c r="L11" s="1">
        <f>IF(J8=0, 0, MAX(MIN($J$8+$K$8+Data!D243, 100%), 1%))</f>
        <v>0</v>
      </c>
      <c r="M11" s="2">
        <f ca="1">Data!D246</f>
        <v>1</v>
      </c>
      <c r="P11" t="s">
        <v>355</v>
      </c>
      <c r="Q11">
        <f>Set1MinTP</f>
        <v>1000</v>
      </c>
      <c r="AA11" s="13"/>
    </row>
    <row r="12" spans="1:28">
      <c r="I12" t="s">
        <v>318</v>
      </c>
      <c r="J12">
        <v>0</v>
      </c>
      <c r="K12">
        <f>IF(J12&gt;0, FLOOR((J12+$J$4) * IF(VLOOKUP($A$2, WeaponskillData, MATCH("FTPCarry", WeaponskillDataCols, 0), 0)=1, $L$7, 1), 1), 0)</f>
        <v>0</v>
      </c>
      <c r="L12" s="1">
        <f>IF(J8=0, 0, MAX(MIN($J$8+$K$8+Data!D243, 100%), 1%))</f>
        <v>0</v>
      </c>
      <c r="P12" t="s">
        <v>391</v>
      </c>
      <c r="Q12" s="89">
        <f ca="1">Set1WSDmg</f>
        <v>1.4000000000000001</v>
      </c>
      <c r="V12" s="35"/>
      <c r="AB12" s="4"/>
    </row>
    <row r="13" spans="1:28">
      <c r="I13" t="s">
        <v>137</v>
      </c>
      <c r="J13">
        <f ca="1">Data!D178</f>
        <v>132</v>
      </c>
      <c r="K13">
        <f ca="1">IF(J13&gt;0, FLOOR((J13+$J$4) * IF(VLOOKUP($A$2, WeaponskillData, MATCH("FTPCarry", WeaponskillDataCols, 0), 0)=1, $L$7, 1), 1), 0)</f>
        <v>414</v>
      </c>
      <c r="L13" s="1">
        <f>IF(J8=0, 0, MAX(MIN($J$8+$K$8+Data!D244, 100%), 1%))</f>
        <v>0</v>
      </c>
      <c r="AA13" s="7"/>
    </row>
    <row r="14" spans="1:28">
      <c r="I14" t="s">
        <v>37</v>
      </c>
      <c r="J14" s="6">
        <f ca="1">Data!D76</f>
        <v>1.8491717523975588</v>
      </c>
      <c r="K14" s="31" t="s">
        <v>565</v>
      </c>
      <c r="L14" s="6">
        <f ca="1">Data!D94</f>
        <v>1.8428620177637314</v>
      </c>
      <c r="M14" s="6">
        <f ca="1">Data!D110</f>
        <v>2.9061551874455098</v>
      </c>
      <c r="N14" s="6"/>
      <c r="AA14" s="13"/>
    </row>
    <row r="15" spans="1:28">
      <c r="I15" t="s">
        <v>117</v>
      </c>
      <c r="J15" s="7">
        <f ca="1">Set1Regain</f>
        <v>0</v>
      </c>
      <c r="K15" s="31" t="s">
        <v>566</v>
      </c>
      <c r="L15" s="6">
        <f ca="1">Data!D156</f>
        <v>1.5113807759372275</v>
      </c>
      <c r="M15" s="6">
        <f ca="1">Data!D172</f>
        <v>2.5975762859633829</v>
      </c>
    </row>
    <row r="17" spans="1:31">
      <c r="A17" t="s">
        <v>362</v>
      </c>
      <c r="B17" t="s">
        <v>363</v>
      </c>
      <c r="C17" t="s">
        <v>44</v>
      </c>
      <c r="D17" s="30" t="s">
        <v>320</v>
      </c>
      <c r="E17" t="s">
        <v>319</v>
      </c>
      <c r="F17" t="s">
        <v>364</v>
      </c>
      <c r="G17" t="s">
        <v>321</v>
      </c>
      <c r="H17" t="s">
        <v>322</v>
      </c>
      <c r="I17" t="s">
        <v>323</v>
      </c>
      <c r="J17" t="s">
        <v>324</v>
      </c>
      <c r="K17" s="2" t="s">
        <v>325</v>
      </c>
      <c r="L17" t="s">
        <v>326</v>
      </c>
      <c r="M17" t="s">
        <v>356</v>
      </c>
      <c r="N17" s="44" t="s">
        <v>357</v>
      </c>
      <c r="O17" s="19" t="s">
        <v>327</v>
      </c>
      <c r="P17" s="19" t="s">
        <v>328</v>
      </c>
      <c r="Q17" s="19" t="s">
        <v>329</v>
      </c>
      <c r="R17" s="19" t="s">
        <v>330</v>
      </c>
      <c r="S17" s="19" t="s">
        <v>331</v>
      </c>
      <c r="T17" s="24" t="s">
        <v>332</v>
      </c>
      <c r="U17" s="24" t="s">
        <v>158</v>
      </c>
      <c r="V17" s="24" t="s">
        <v>333</v>
      </c>
      <c r="W17" s="24" t="s">
        <v>61</v>
      </c>
      <c r="X17" s="24" t="s">
        <v>334</v>
      </c>
    </row>
    <row r="18" spans="1:31">
      <c r="A18">
        <v>0</v>
      </c>
      <c r="B18">
        <v>0</v>
      </c>
      <c r="C18">
        <f>MIN(8, 1+$B$10+$B$9+A18+B18)</f>
        <v>2</v>
      </c>
      <c r="D18">
        <f>C18-(1+$B$10)</f>
        <v>0</v>
      </c>
      <c r="E18">
        <f>MIN(A18, C18-(1+$B$10+$B$9))</f>
        <v>0</v>
      </c>
      <c r="F18" s="100">
        <f ca="1">IF(A18=3, Set1QA, IF(A18=2, (1-Set1QA)*Set1TA + (1-Set1QA)*(1-Set1TA)*(1-Set1DA)*Set1AM3*Set1AM33, IF(A18=1, (1-Set1QA)*(1-Set1TA)*Set1DA + (1-Set1QA)*(1-Set1TA)*(1-Set1DA)*Set1AM3*Set1AM32, (1-Set1QA)*(1-Set1TA)*(1-Set1DA)*(1-Set1AM3)))) * IF($B$9+$B$10&gt;0, IF(B18=3, Set1QA, IF(B18=2, (1-Set1QA)*Set1TA, IF(B18=1, (1-Set1QA)*(1-Set1TA)*Set1DA, (1-Set1QA)*(1-Set1TA)*(1-Set1DA)))), IF(B18=0, 1, 0))</f>
        <v>0.33466224999999999</v>
      </c>
      <c r="G18">
        <v>1</v>
      </c>
      <c r="H18">
        <v>1</v>
      </c>
      <c r="I18">
        <v>7</v>
      </c>
      <c r="J18" s="1">
        <f ca="1">POWER(95%,G18)*POWER(5%, 1-G18) * IF($B$10=0, IF(H18=0, 1, 0), POWER(Set1WSHitRate,H18)*POWER(1-Set1WSHitRate, 1-H18)) * IF(I18&lt;=D18, POWER(Set1WSHitRate, I18)*POWER(1-Set1WSHitRate, D18-I18)*COMBIN(D18,I18), 0)</f>
        <v>0</v>
      </c>
      <c r="K18" s="1">
        <f ca="1">F18*J18</f>
        <v>0</v>
      </c>
      <c r="L18" s="13">
        <f ca="1">MAX((G18+H18)*Set1WSTP + I18*$B$6, Set1SaveTP)</f>
        <v>215</v>
      </c>
      <c r="M18" s="7">
        <f ca="1">MAX(Set1MinTP-(L18+Set1Regain), 0)</f>
        <v>785</v>
      </c>
      <c r="N18" s="44">
        <f ca="1">CEILING(M18/Set1MeleeTP, 1)</f>
        <v>10</v>
      </c>
      <c r="O18" s="94">
        <f ca="1">VLOOKUP(N18,AvgRoundsSet1,2)</f>
        <v>2.5999636871582168</v>
      </c>
      <c r="P18" s="94">
        <f t="shared" ref="P18:P81" ca="1" si="0">VLOOKUP(CEILING(MAX(M18-1, 0)/Set1MeleeTP, 1), AvgRoundsSet1, 2) + VLOOKUP(CEILING(MAX(M18-2, 0)/Set1MeleeTP, 1), AvgRoundsSet1, 2) + VLOOKUP(CEILING(MAX(M18-3, 0)/Set1MeleeTP, 1), AvgRoundsSet1, 2) + VLOOKUP(CEILING(MAX(M18-4, 0)/Set1MeleeTP, 1), AvgRoundsSet1, 2) + VLOOKUP(CEILING(MAX(M18-5, 0)/Set1MeleeTP, 1), AvgRoundsSet1, 2) + VLOOKUP(CEILING(MAX(M18-6, 0)/Set1MeleeTP, 1), AvgRoundsSet1, 2) + VLOOKUP(CEILING(MAX(M18-7, 0)/Set1MeleeTP, 1), AvgRoundsSet1, 2) + VLOOKUP(CEILING(MAX(M18-8, 0)/Set1MeleeTP, 1), AvgRoundsSet1, 2) + VLOOKUP(CEILING(MAX(M18-9, 0)/Set1MeleeTP, 1), AvgRoundsSet1, 2) + VLOOKUP(CEILING(MAX(M18-10, 0)/Set1MeleeTP, 1), AvgRoundsSet1, 2)</f>
        <v>25.999636871582165</v>
      </c>
      <c r="Q18" s="94">
        <f t="shared" ref="Q18:Q81" ca="1" si="1">VLOOKUP(CEILING(MAX(M18-11, 0)/Set1MeleeTP, 1), AvgRoundsSet1, 2) + VLOOKUP(CEILING(MAX(M18-12, 0)/Set1MeleeTP, 1), AvgRoundsSet1, 2) + VLOOKUP(CEILING(MAX(M18-13, 0)/Set1MeleeTP, 1), AvgRoundsSet1, 2) + VLOOKUP(CEILING(MAX(M18-14, 0)/Set1MeleeTP, 1), AvgRoundsSet1, 2) + VLOOKUP(CEILING(MAX(M18-15, 0)/Set1MeleeTP, 1), AvgRoundsSet1, 2) + VLOOKUP(CEILING(MAX(M18-16, 0)/Set1MeleeTP, 1), AvgRoundsSet1, 2) + VLOOKUP(CEILING(MAX(M18-17, 0)/Set1MeleeTP, 1), AvgRoundsSet1, 2) + VLOOKUP(CEILING(MAX(M18-18, 0)/Set1MeleeTP, 1), AvgRoundsSet1, 2) + VLOOKUP(CEILING(MAX(M18-19, 0)/Set1MeleeTP, 1), AvgRoundsSet1, 2) + VLOOKUP(CEILING(MAX(M18-20, 0)/Set1MeleeTP, 1), AvgRoundsSet1, 2)</f>
        <v>25.999636871582165</v>
      </c>
      <c r="R18" s="94">
        <f t="shared" ref="R18:R81" ca="1" si="2">(P18+Q18)/20</f>
        <v>2.5999636871582164</v>
      </c>
      <c r="S18" s="94">
        <f ca="1">R18*Set1ConserveTP + O18*(1-Set1ConserveTP)</f>
        <v>2.5999636871582168</v>
      </c>
      <c r="T18" s="4">
        <f t="shared" ref="T18:T81" ca="1" si="3">K18*S18</f>
        <v>0</v>
      </c>
      <c r="U18" s="46">
        <f ca="1">MIN(L18+(S18+Set1OverTP)*AvgHitsPerRound1*Set1MeleeTP + Set1Regain + 10.5*Set1ConserveTP, 3000)</f>
        <v>1350.360460436222</v>
      </c>
      <c r="V18" s="4">
        <f t="shared" ref="V18:V81" ca="1" si="4">U18*K18</f>
        <v>0</v>
      </c>
      <c r="W18" s="13">
        <f t="shared" ref="W18:W81" ca="1" si="5">G18*$K$10*((1-$L$10)*$L$14 + $L$10*$M$14*$M$10)*Set1WSDmg + H18*$K$13*((1-$L$13)*$L$15 + $L$13*$M$15*$M$11) + I18*$K$11*((1-$L$11)*$L$14 + $L$11*$M$14*$M$11) + E18*$K$12*$L$12*$M$10</f>
        <v>12313.142557895597</v>
      </c>
      <c r="X18" s="4">
        <f t="shared" ref="X18:X81" ca="1" si="6">K18*W18</f>
        <v>0</v>
      </c>
      <c r="AE18" s="4"/>
    </row>
    <row r="19" spans="1:31">
      <c r="A19">
        <v>0</v>
      </c>
      <c r="B19">
        <v>0</v>
      </c>
      <c r="C19">
        <f>MIN(8, 1+$B$10+$B$9+A19+B19)</f>
        <v>2</v>
      </c>
      <c r="D19">
        <f t="shared" ref="D19:D81" si="7">C19-(1+$B$10)</f>
        <v>0</v>
      </c>
      <c r="E19">
        <f t="shared" ref="E19:E81" si="8">MIN(A19, C19-(1+$B$10+$B$9))</f>
        <v>0</v>
      </c>
      <c r="F19" s="100">
        <f ca="1">IF(A19=3, Set1QA, IF(A19=2, (1-Set1QA)*Set1TA + (1-Set1QA)*(1-Set1TA)*(1-Set1DA)*Set1AM3*Set1AM33, IF(A19=1, (1-Set1QA)*(1-Set1TA)*Set1DA + (1-Set1QA)*(1-Set1TA)*(1-Set1DA)*Set1AM3*Set1AM32, (1-Set1QA)*(1-Set1TA)*(1-Set1DA)*(1-Set1AM3)))) * IF($B$9+$B$10&gt;0, IF(B19=3, Set1QA, IF(B19=2, (1-Set1QA)*Set1TA, IF(B19=1, (1-Set1QA)*(1-Set1TA)*Set1DA, (1-Set1QA)*(1-Set1TA)*(1-Set1DA)))), IF(B19=0, 1, 0))</f>
        <v>0.33466224999999999</v>
      </c>
      <c r="G19">
        <v>1</v>
      </c>
      <c r="H19">
        <v>1</v>
      </c>
      <c r="I19">
        <v>6</v>
      </c>
      <c r="J19" s="1">
        <f t="shared" ref="J19:J81" ca="1" si="9">POWER(95%,G19)*POWER(5%, 1-G19) * IF($B$10=0, IF(H19=0, 1, 0), POWER(Set1WSHitRate,H19)*POWER(1-Set1WSHitRate, 1-H19)) * IF(I19&lt;=D19, POWER(Set1WSHitRate, I19)*POWER(1-Set1WSHitRate, D19-I19)*COMBIN(D19,I19), 0)</f>
        <v>0</v>
      </c>
      <c r="K19" s="1">
        <f t="shared" ref="K19:K81" ca="1" si="10">F19*J19</f>
        <v>0</v>
      </c>
      <c r="L19" s="13">
        <f t="shared" ref="L19:L81" ca="1" si="11">MAX((G19+H19)*Set1WSTP + I19*$B$6, Set1SaveTP)</f>
        <v>202</v>
      </c>
      <c r="M19" s="7">
        <f t="shared" ref="M19:M81" ca="1" si="12">MAX(Set1MinTP-(L19+Set1Regain), 0)</f>
        <v>798</v>
      </c>
      <c r="N19" s="44">
        <f t="shared" ref="N19:N81" ca="1" si="13">CEILING(M19/Set1MeleeTP, 1)</f>
        <v>10</v>
      </c>
      <c r="O19" s="94">
        <f t="shared" ref="O19:O81" ca="1" si="14">VLOOKUP(N19,AvgRoundsSet1,2)</f>
        <v>2.5999636871582168</v>
      </c>
      <c r="P19" s="94">
        <f ca="1">VLOOKUP(CEILING(MAX(M19-1, 0)/Set1MeleeTP, 1), AvgRoundsSet1, 2) + VLOOKUP(CEILING(MAX(M19-2, 0)/Set1MeleeTP, 1), AvgRoundsSet1, 2) + VLOOKUP(CEILING(MAX(M19-3, 0)/Set1MeleeTP, 1), AvgRoundsSet1, 2) + VLOOKUP(CEILING(MAX(M19-4, 0)/Set1MeleeTP, 1), AvgRoundsSet1, 2) + VLOOKUP(CEILING(MAX(M19-5, 0)/Set1MeleeTP, 1), AvgRoundsSet1, 2) + VLOOKUP(CEILING(MAX(M19-6, 0)/Set1MeleeTP, 1), AvgRoundsSet1, 2) + VLOOKUP(CEILING(MAX(M19-7, 0)/Set1MeleeTP, 1), AvgRoundsSet1, 2) + VLOOKUP(CEILING(MAX(M19-8, 0)/Set1MeleeTP, 1), AvgRoundsSet1, 2) + VLOOKUP(CEILING(MAX(M19-9, 0)/Set1MeleeTP, 1), AvgRoundsSet1, 2) + VLOOKUP(CEILING(MAX(M19-10, 0)/Set1MeleeTP, 1), AvgRoundsSet1, 2)</f>
        <v>25.999636871582165</v>
      </c>
      <c r="Q19" s="94">
        <f t="shared" ca="1" si="1"/>
        <v>25.999636871582165</v>
      </c>
      <c r="R19" s="94">
        <f t="shared" ca="1" si="2"/>
        <v>2.5999636871582164</v>
      </c>
      <c r="S19" s="94">
        <f ca="1">R19*Set1ConserveTP + O19*(1-Set1ConserveTP)</f>
        <v>2.5999636871582168</v>
      </c>
      <c r="T19" s="4">
        <f t="shared" ca="1" si="3"/>
        <v>0</v>
      </c>
      <c r="U19" s="46">
        <f t="shared" ref="U19:U81" ca="1" si="15">MIN(L19+(S19+Set1OverTP)*AvgHitsPerRound1*Set1MeleeTP + Set1Regain + 10.5*Set1ConserveTP, 3000)</f>
        <v>1337.360460436222</v>
      </c>
      <c r="V19" s="4">
        <f t="shared" ca="1" si="4"/>
        <v>0</v>
      </c>
      <c r="W19" s="13">
        <f t="shared" ca="1" si="5"/>
        <v>11478.326063848626</v>
      </c>
      <c r="X19" s="4">
        <f t="shared" ca="1" si="6"/>
        <v>0</v>
      </c>
      <c r="AE19" s="4"/>
    </row>
    <row r="20" spans="1:31">
      <c r="A20">
        <v>0</v>
      </c>
      <c r="B20">
        <v>0</v>
      </c>
      <c r="C20">
        <f t="shared" ref="C20:C81" si="16">MIN(8, 1+$B$10+$B$9+A20+B20)</f>
        <v>2</v>
      </c>
      <c r="D20">
        <f t="shared" si="7"/>
        <v>0</v>
      </c>
      <c r="E20">
        <f t="shared" si="8"/>
        <v>0</v>
      </c>
      <c r="F20" s="100">
        <f t="shared" ref="F20:F81" ca="1" si="17">IF(A20=3, Set1QA, IF(A20=2, (1-Set1QA)*Set1TA + (1-Set1QA)*(1-Set1TA)*(1-Set1DA)*Set1AM3*Set1AM33, IF(A20=1, (1-Set1QA)*(1-Set1TA)*Set1DA + (1-Set1QA)*(1-Set1TA)*(1-Set1DA)*Set1AM3*Set1AM32, (1-Set1QA)*(1-Set1TA)*(1-Set1DA)*(1-Set1AM3)))) * IF($B$9+$B$10&gt;0, IF(B20=3, Set1QA, IF(B20=2, (1-Set1QA)*Set1TA, IF(B20=1, (1-Set1QA)*(1-Set1TA)*Set1DA, (1-Set1QA)*(1-Set1TA)*(1-Set1DA)))), IF(B20=0, 1, 0))</f>
        <v>0.33466224999999999</v>
      </c>
      <c r="G20">
        <v>1</v>
      </c>
      <c r="H20">
        <v>1</v>
      </c>
      <c r="I20">
        <v>5</v>
      </c>
      <c r="J20" s="1">
        <f t="shared" ca="1" si="9"/>
        <v>0</v>
      </c>
      <c r="K20" s="1">
        <f t="shared" ca="1" si="10"/>
        <v>0</v>
      </c>
      <c r="L20" s="13">
        <f t="shared" ca="1" si="11"/>
        <v>189</v>
      </c>
      <c r="M20" s="7">
        <f t="shared" ca="1" si="12"/>
        <v>811</v>
      </c>
      <c r="N20" s="44">
        <f t="shared" ca="1" si="13"/>
        <v>11</v>
      </c>
      <c r="O20" s="94">
        <f t="shared" ca="1" si="14"/>
        <v>2.8397004155948178</v>
      </c>
      <c r="P20" s="94">
        <f t="shared" ca="1" si="0"/>
        <v>28.397004155948181</v>
      </c>
      <c r="Q20" s="94">
        <f t="shared" ca="1" si="1"/>
        <v>25.999636871582165</v>
      </c>
      <c r="R20" s="94">
        <f t="shared" ca="1" si="2"/>
        <v>2.7198320513765175</v>
      </c>
      <c r="S20" s="94">
        <f t="shared" ref="S20:S81" ca="1" si="18">R20*Set1ConserveTP + O20*(1-Set1ConserveTP)</f>
        <v>2.8397004155948178</v>
      </c>
      <c r="T20" s="4">
        <f ca="1">K20*S20</f>
        <v>0</v>
      </c>
      <c r="U20" s="46">
        <f ca="1">MIN(L20+(S20+Set1OverTP)*AvgHitsPerRound1*Set1MeleeTP + Set1Regain + 10.5*Set1ConserveTP, 3000)</f>
        <v>1412.1639413314356</v>
      </c>
      <c r="V20" s="4">
        <f ca="1">U20*K20</f>
        <v>0</v>
      </c>
      <c r="W20" s="13">
        <f ca="1">G20*$K$10*((1-$L$10)*$L$14 + $L$10*$M$14*$M$10)*Set1WSDmg + H20*$K$13*((1-$L$13)*$L$15 + $L$13*$M$15*$M$11) + I20*$K$11*((1-$L$11)*$L$14 + $L$11*$M$14*$M$11) + E20*$K$12*$L$12*$M$10</f>
        <v>10643.509569801656</v>
      </c>
      <c r="X20" s="4">
        <f t="shared" ca="1" si="6"/>
        <v>0</v>
      </c>
      <c r="AE20" s="4"/>
    </row>
    <row r="21" spans="1:31">
      <c r="A21">
        <v>0</v>
      </c>
      <c r="B21">
        <v>0</v>
      </c>
      <c r="C21">
        <f t="shared" si="16"/>
        <v>2</v>
      </c>
      <c r="D21">
        <f t="shared" si="7"/>
        <v>0</v>
      </c>
      <c r="E21">
        <f>MIN(A21, C21-(1+$B$10+$B$9))</f>
        <v>0</v>
      </c>
      <c r="F21" s="100">
        <f t="shared" ca="1" si="17"/>
        <v>0.33466224999999999</v>
      </c>
      <c r="G21">
        <v>1</v>
      </c>
      <c r="H21">
        <v>1</v>
      </c>
      <c r="I21">
        <v>4</v>
      </c>
      <c r="J21" s="1">
        <f t="shared" ca="1" si="9"/>
        <v>0</v>
      </c>
      <c r="K21" s="1">
        <f ca="1">F21*J21</f>
        <v>0</v>
      </c>
      <c r="L21" s="13">
        <f t="shared" ca="1" si="11"/>
        <v>176</v>
      </c>
      <c r="M21" s="7">
        <f t="shared" ca="1" si="12"/>
        <v>824</v>
      </c>
      <c r="N21" s="44">
        <f t="shared" ca="1" si="13"/>
        <v>11</v>
      </c>
      <c r="O21" s="94">
        <f t="shared" ca="1" si="14"/>
        <v>2.8397004155948178</v>
      </c>
      <c r="P21" s="94">
        <f t="shared" ca="1" si="0"/>
        <v>28.397004155948181</v>
      </c>
      <c r="Q21" s="94">
        <f t="shared" ca="1" si="1"/>
        <v>28.397004155948181</v>
      </c>
      <c r="R21" s="94">
        <f t="shared" ca="1" si="2"/>
        <v>2.8397004155948182</v>
      </c>
      <c r="S21" s="94">
        <f t="shared" ca="1" si="18"/>
        <v>2.8397004155948178</v>
      </c>
      <c r="T21" s="4">
        <f t="shared" ca="1" si="3"/>
        <v>0</v>
      </c>
      <c r="U21" s="46">
        <f t="shared" ca="1" si="15"/>
        <v>1399.1639413314356</v>
      </c>
      <c r="V21" s="4">
        <f t="shared" ca="1" si="4"/>
        <v>0</v>
      </c>
      <c r="W21" s="13">
        <f t="shared" ca="1" si="5"/>
        <v>9808.693075754687</v>
      </c>
      <c r="X21" s="4">
        <f t="shared" ca="1" si="6"/>
        <v>0</v>
      </c>
      <c r="AE21" s="4"/>
    </row>
    <row r="22" spans="1:31">
      <c r="A22">
        <v>0</v>
      </c>
      <c r="B22">
        <v>0</v>
      </c>
      <c r="C22">
        <f t="shared" si="16"/>
        <v>2</v>
      </c>
      <c r="D22">
        <f t="shared" si="7"/>
        <v>0</v>
      </c>
      <c r="E22">
        <f t="shared" si="8"/>
        <v>0</v>
      </c>
      <c r="F22" s="100">
        <f t="shared" ca="1" si="17"/>
        <v>0.33466224999999999</v>
      </c>
      <c r="G22">
        <v>1</v>
      </c>
      <c r="H22">
        <v>1</v>
      </c>
      <c r="I22">
        <v>3</v>
      </c>
      <c r="J22" s="1">
        <f t="shared" ca="1" si="9"/>
        <v>0</v>
      </c>
      <c r="K22" s="1">
        <f t="shared" ca="1" si="10"/>
        <v>0</v>
      </c>
      <c r="L22" s="13">
        <f t="shared" ca="1" si="11"/>
        <v>163</v>
      </c>
      <c r="M22" s="7">
        <f t="shared" ca="1" si="12"/>
        <v>837</v>
      </c>
      <c r="N22" s="44">
        <f t="shared" ca="1" si="13"/>
        <v>11</v>
      </c>
      <c r="O22" s="94">
        <f t="shared" ca="1" si="14"/>
        <v>2.8397004155948178</v>
      </c>
      <c r="P22" s="94">
        <f t="shared" ca="1" si="0"/>
        <v>28.397004155948181</v>
      </c>
      <c r="Q22" s="94">
        <f t="shared" ca="1" si="1"/>
        <v>28.397004155948181</v>
      </c>
      <c r="R22" s="94">
        <f t="shared" ca="1" si="2"/>
        <v>2.8397004155948182</v>
      </c>
      <c r="S22" s="94">
        <f t="shared" ca="1" si="18"/>
        <v>2.8397004155948178</v>
      </c>
      <c r="T22" s="4">
        <f t="shared" ca="1" si="3"/>
        <v>0</v>
      </c>
      <c r="U22" s="46">
        <f t="shared" ca="1" si="15"/>
        <v>1386.1639413314356</v>
      </c>
      <c r="V22" s="4">
        <f t="shared" ca="1" si="4"/>
        <v>0</v>
      </c>
      <c r="W22" s="13">
        <f t="shared" ca="1" si="5"/>
        <v>8973.8765817077146</v>
      </c>
      <c r="X22" s="4">
        <f t="shared" ca="1" si="6"/>
        <v>0</v>
      </c>
      <c r="AE22" s="4"/>
    </row>
    <row r="23" spans="1:31">
      <c r="A23">
        <v>0</v>
      </c>
      <c r="B23">
        <v>0</v>
      </c>
      <c r="C23">
        <f t="shared" si="16"/>
        <v>2</v>
      </c>
      <c r="D23">
        <f t="shared" si="7"/>
        <v>0</v>
      </c>
      <c r="E23">
        <f t="shared" si="8"/>
        <v>0</v>
      </c>
      <c r="F23" s="100">
        <f t="shared" ca="1" si="17"/>
        <v>0.33466224999999999</v>
      </c>
      <c r="G23">
        <v>1</v>
      </c>
      <c r="H23">
        <v>1</v>
      </c>
      <c r="I23">
        <v>2</v>
      </c>
      <c r="J23" s="1">
        <f t="shared" ca="1" si="9"/>
        <v>0</v>
      </c>
      <c r="K23" s="1">
        <f t="shared" ca="1" si="10"/>
        <v>0</v>
      </c>
      <c r="L23" s="13">
        <f t="shared" ca="1" si="11"/>
        <v>150</v>
      </c>
      <c r="M23" s="7">
        <f t="shared" ca="1" si="12"/>
        <v>850</v>
      </c>
      <c r="N23" s="44">
        <f t="shared" ca="1" si="13"/>
        <v>11</v>
      </c>
      <c r="O23" s="94">
        <f t="shared" ca="1" si="14"/>
        <v>2.8397004155948178</v>
      </c>
      <c r="P23" s="94">
        <f t="shared" ca="1" si="0"/>
        <v>28.397004155948181</v>
      </c>
      <c r="Q23" s="94">
        <f t="shared" ca="1" si="1"/>
        <v>28.397004155948181</v>
      </c>
      <c r="R23" s="94">
        <f t="shared" ca="1" si="2"/>
        <v>2.8397004155948182</v>
      </c>
      <c r="S23" s="94">
        <f t="shared" ca="1" si="18"/>
        <v>2.8397004155948178</v>
      </c>
      <c r="T23" s="4">
        <f t="shared" ca="1" si="3"/>
        <v>0</v>
      </c>
      <c r="U23" s="46">
        <f t="shared" ca="1" si="15"/>
        <v>1373.1639413314356</v>
      </c>
      <c r="V23" s="4">
        <f t="shared" ca="1" si="4"/>
        <v>0</v>
      </c>
      <c r="W23" s="13">
        <f t="shared" ca="1" si="5"/>
        <v>8139.0600876607459</v>
      </c>
      <c r="X23" s="4">
        <f t="shared" ca="1" si="6"/>
        <v>0</v>
      </c>
      <c r="AE23" s="4"/>
    </row>
    <row r="24" spans="1:31">
      <c r="A24">
        <v>0</v>
      </c>
      <c r="B24">
        <v>0</v>
      </c>
      <c r="C24">
        <f t="shared" si="16"/>
        <v>2</v>
      </c>
      <c r="D24">
        <f t="shared" si="7"/>
        <v>0</v>
      </c>
      <c r="E24">
        <f t="shared" si="8"/>
        <v>0</v>
      </c>
      <c r="F24" s="100">
        <f t="shared" ca="1" si="17"/>
        <v>0.33466224999999999</v>
      </c>
      <c r="G24">
        <v>1</v>
      </c>
      <c r="H24">
        <v>1</v>
      </c>
      <c r="I24">
        <v>1</v>
      </c>
      <c r="J24" s="1">
        <f t="shared" ca="1" si="9"/>
        <v>0</v>
      </c>
      <c r="K24" s="1">
        <f t="shared" ca="1" si="10"/>
        <v>0</v>
      </c>
      <c r="L24" s="13">
        <f t="shared" ca="1" si="11"/>
        <v>137</v>
      </c>
      <c r="M24" s="7">
        <f t="shared" ca="1" si="12"/>
        <v>863</v>
      </c>
      <c r="N24" s="44">
        <f t="shared" ca="1" si="13"/>
        <v>11</v>
      </c>
      <c r="O24" s="94">
        <f t="shared" ca="1" si="14"/>
        <v>2.8397004155948178</v>
      </c>
      <c r="P24" s="94">
        <f t="shared" ca="1" si="0"/>
        <v>28.397004155948181</v>
      </c>
      <c r="Q24" s="94">
        <f t="shared" ca="1" si="1"/>
        <v>28.397004155948181</v>
      </c>
      <c r="R24" s="94">
        <f t="shared" ca="1" si="2"/>
        <v>2.8397004155948182</v>
      </c>
      <c r="S24" s="94">
        <f t="shared" ca="1" si="18"/>
        <v>2.8397004155948178</v>
      </c>
      <c r="T24" s="4">
        <f t="shared" ca="1" si="3"/>
        <v>0</v>
      </c>
      <c r="U24" s="46">
        <f ca="1">MIN(L24+(S24+Set1OverTP)*AvgHitsPerRound1*Set1MeleeTP + Set1Regain + 10.5*Set1ConserveTP, 3000)</f>
        <v>1360.1639413314356</v>
      </c>
      <c r="V24" s="4">
        <f t="shared" ca="1" si="4"/>
        <v>0</v>
      </c>
      <c r="W24" s="13">
        <f t="shared" ca="1" si="5"/>
        <v>7304.2435936137754</v>
      </c>
      <c r="X24" s="4">
        <f t="shared" ca="1" si="6"/>
        <v>0</v>
      </c>
      <c r="AE24" s="4"/>
    </row>
    <row r="25" spans="1:31">
      <c r="A25">
        <v>0</v>
      </c>
      <c r="B25">
        <v>0</v>
      </c>
      <c r="C25">
        <f t="shared" si="16"/>
        <v>2</v>
      </c>
      <c r="D25">
        <f>C25-(1+$B$10)</f>
        <v>0</v>
      </c>
      <c r="E25">
        <f t="shared" si="8"/>
        <v>0</v>
      </c>
      <c r="F25" s="100">
        <f t="shared" ca="1" si="17"/>
        <v>0.33466224999999999</v>
      </c>
      <c r="G25">
        <v>1</v>
      </c>
      <c r="H25">
        <v>1</v>
      </c>
      <c r="I25">
        <v>0</v>
      </c>
      <c r="J25" s="1">
        <f t="shared" ca="1" si="9"/>
        <v>0.9405</v>
      </c>
      <c r="K25" s="1">
        <f t="shared" ca="1" si="10"/>
        <v>0.31474984612500001</v>
      </c>
      <c r="L25" s="13">
        <f t="shared" ca="1" si="11"/>
        <v>124</v>
      </c>
      <c r="M25" s="7">
        <f ca="1">MAX(Set1MinTP-(L25+Set1Regain), 0)</f>
        <v>876</v>
      </c>
      <c r="N25" s="44">
        <f ca="1">CEILING(M25/Set1MeleeTP, 1)</f>
        <v>11</v>
      </c>
      <c r="O25" s="94">
        <f t="shared" ca="1" si="14"/>
        <v>2.8397004155948178</v>
      </c>
      <c r="P25" s="94">
        <f t="shared" ca="1" si="0"/>
        <v>28.397004155948181</v>
      </c>
      <c r="Q25" s="94">
        <f ca="1">VLOOKUP(CEILING(MAX(M25-11, 0)/Set1MeleeTP, 1), AvgRoundsSet1, 2) + VLOOKUP(CEILING(MAX(M25-12, 0)/Set1MeleeTP, 1), AvgRoundsSet1, 2) + VLOOKUP(CEILING(MAX(M25-13, 0)/Set1MeleeTP, 1), AvgRoundsSet1, 2) + VLOOKUP(CEILING(MAX(M25-14, 0)/Set1MeleeTP, 1), AvgRoundsSet1, 2) + VLOOKUP(CEILING(MAX(M25-15, 0)/Set1MeleeTP, 1), AvgRoundsSet1, 2) + VLOOKUP(CEILING(MAX(M25-16, 0)/Set1MeleeTP, 1), AvgRoundsSet1, 2) + VLOOKUP(CEILING(MAX(M25-17, 0)/Set1MeleeTP, 1), AvgRoundsSet1, 2) + VLOOKUP(CEILING(MAX(M25-18, 0)/Set1MeleeTP, 1), AvgRoundsSet1, 2) + VLOOKUP(CEILING(MAX(M25-19, 0)/Set1MeleeTP, 1), AvgRoundsSet1, 2) + VLOOKUP(CEILING(MAX(M25-20, 0)/Set1MeleeTP, 1), AvgRoundsSet1, 2)</f>
        <v>28.397004155948181</v>
      </c>
      <c r="R25" s="94">
        <f ca="1">(P25+Q25)/20</f>
        <v>2.8397004155948182</v>
      </c>
      <c r="S25" s="94">
        <f ca="1">R25*Set1ConserveTP + O25*(1-Set1ConserveTP)</f>
        <v>2.8397004155948178</v>
      </c>
      <c r="T25" s="4">
        <f ca="1">K25*S25</f>
        <v>0.8937952688495675</v>
      </c>
      <c r="U25" s="46">
        <f ca="1">MIN(L25+(S25+Set1OverTP)*AvgHitsPerRound1*Set1MeleeTP + Set1Regain + 10.5*Set1ConserveTP, 3000)</f>
        <v>1347.1639413314356</v>
      </c>
      <c r="V25" s="4">
        <f ca="1">U25*K25</f>
        <v>424.01964323921788</v>
      </c>
      <c r="W25" s="13">
        <f t="shared" ca="1" si="5"/>
        <v>6469.4270995668048</v>
      </c>
      <c r="X25" s="4">
        <f t="shared" ca="1" si="6"/>
        <v>2036.2511841055568</v>
      </c>
      <c r="AE25" s="4"/>
    </row>
    <row r="26" spans="1:31">
      <c r="A26">
        <v>0</v>
      </c>
      <c r="B26">
        <v>0</v>
      </c>
      <c r="C26">
        <f>MIN(8, 1+$B$10+$B$9+A26+B26)</f>
        <v>2</v>
      </c>
      <c r="D26">
        <f t="shared" si="7"/>
        <v>0</v>
      </c>
      <c r="E26">
        <f t="shared" si="8"/>
        <v>0</v>
      </c>
      <c r="F26" s="100">
        <f t="shared" ca="1" si="17"/>
        <v>0.33466224999999999</v>
      </c>
      <c r="G26">
        <v>1</v>
      </c>
      <c r="H26">
        <v>0</v>
      </c>
      <c r="I26">
        <v>7</v>
      </c>
      <c r="J26" s="1">
        <f t="shared" ca="1" si="9"/>
        <v>0</v>
      </c>
      <c r="K26" s="1">
        <f t="shared" ca="1" si="10"/>
        <v>0</v>
      </c>
      <c r="L26" s="13">
        <f t="shared" ca="1" si="11"/>
        <v>153</v>
      </c>
      <c r="M26" s="7">
        <f t="shared" ca="1" si="12"/>
        <v>847</v>
      </c>
      <c r="N26" s="44">
        <f t="shared" ca="1" si="13"/>
        <v>11</v>
      </c>
      <c r="O26" s="94">
        <f t="shared" ca="1" si="14"/>
        <v>2.8397004155948178</v>
      </c>
      <c r="P26" s="94">
        <f t="shared" ca="1" si="0"/>
        <v>28.397004155948181</v>
      </c>
      <c r="Q26" s="94">
        <f t="shared" ca="1" si="1"/>
        <v>28.397004155948181</v>
      </c>
      <c r="R26" s="94">
        <f t="shared" ca="1" si="2"/>
        <v>2.8397004155948182</v>
      </c>
      <c r="S26" s="94">
        <f t="shared" ca="1" si="18"/>
        <v>2.8397004155948178</v>
      </c>
      <c r="T26" s="4">
        <f t="shared" ca="1" si="3"/>
        <v>0</v>
      </c>
      <c r="U26" s="46">
        <f t="shared" ca="1" si="15"/>
        <v>1376.1639413314356</v>
      </c>
      <c r="V26" s="4">
        <f t="shared" ca="1" si="4"/>
        <v>0</v>
      </c>
      <c r="W26" s="13">
        <f t="shared" ca="1" si="5"/>
        <v>11687.430916657584</v>
      </c>
      <c r="X26" s="4">
        <f t="shared" ca="1" si="6"/>
        <v>0</v>
      </c>
      <c r="AE26" s="4"/>
    </row>
    <row r="27" spans="1:31">
      <c r="A27">
        <v>0</v>
      </c>
      <c r="B27">
        <v>0</v>
      </c>
      <c r="C27">
        <f t="shared" si="16"/>
        <v>2</v>
      </c>
      <c r="D27">
        <f t="shared" si="7"/>
        <v>0</v>
      </c>
      <c r="E27">
        <f t="shared" si="8"/>
        <v>0</v>
      </c>
      <c r="F27" s="100">
        <f t="shared" ca="1" si="17"/>
        <v>0.33466224999999999</v>
      </c>
      <c r="G27">
        <v>1</v>
      </c>
      <c r="H27">
        <v>0</v>
      </c>
      <c r="I27">
        <v>6</v>
      </c>
      <c r="J27" s="1">
        <f t="shared" ca="1" si="9"/>
        <v>0</v>
      </c>
      <c r="K27" s="1">
        <f t="shared" ca="1" si="10"/>
        <v>0</v>
      </c>
      <c r="L27" s="13">
        <f t="shared" ca="1" si="11"/>
        <v>140</v>
      </c>
      <c r="M27" s="7">
        <f t="shared" ca="1" si="12"/>
        <v>860</v>
      </c>
      <c r="N27" s="44">
        <f t="shared" ca="1" si="13"/>
        <v>11</v>
      </c>
      <c r="O27" s="94">
        <f t="shared" ca="1" si="14"/>
        <v>2.8397004155948178</v>
      </c>
      <c r="P27" s="94">
        <f t="shared" ca="1" si="0"/>
        <v>28.397004155948181</v>
      </c>
      <c r="Q27" s="94">
        <f t="shared" ca="1" si="1"/>
        <v>28.397004155948181</v>
      </c>
      <c r="R27" s="94">
        <f t="shared" ca="1" si="2"/>
        <v>2.8397004155948182</v>
      </c>
      <c r="S27" s="94">
        <f t="shared" ca="1" si="18"/>
        <v>2.8397004155948178</v>
      </c>
      <c r="T27" s="4">
        <f t="shared" ca="1" si="3"/>
        <v>0</v>
      </c>
      <c r="U27" s="46">
        <f t="shared" ca="1" si="15"/>
        <v>1363.1639413314356</v>
      </c>
      <c r="V27" s="4">
        <f t="shared" ca="1" si="4"/>
        <v>0</v>
      </c>
      <c r="W27" s="13">
        <f t="shared" ca="1" si="5"/>
        <v>10852.614422610615</v>
      </c>
      <c r="X27" s="4">
        <f t="shared" ca="1" si="6"/>
        <v>0</v>
      </c>
      <c r="AE27" s="4"/>
    </row>
    <row r="28" spans="1:31">
      <c r="A28">
        <v>0</v>
      </c>
      <c r="B28">
        <v>0</v>
      </c>
      <c r="C28">
        <f t="shared" si="16"/>
        <v>2</v>
      </c>
      <c r="D28">
        <f t="shared" si="7"/>
        <v>0</v>
      </c>
      <c r="E28">
        <f t="shared" si="8"/>
        <v>0</v>
      </c>
      <c r="F28" s="100">
        <f t="shared" ca="1" si="17"/>
        <v>0.33466224999999999</v>
      </c>
      <c r="G28">
        <v>1</v>
      </c>
      <c r="H28">
        <v>0</v>
      </c>
      <c r="I28">
        <v>5</v>
      </c>
      <c r="J28" s="1">
        <f t="shared" ca="1" si="9"/>
        <v>0</v>
      </c>
      <c r="K28" s="1">
        <f t="shared" ca="1" si="10"/>
        <v>0</v>
      </c>
      <c r="L28" s="13">
        <f t="shared" ca="1" si="11"/>
        <v>127</v>
      </c>
      <c r="M28" s="7">
        <f t="shared" ca="1" si="12"/>
        <v>873</v>
      </c>
      <c r="N28" s="44">
        <f t="shared" ca="1" si="13"/>
        <v>11</v>
      </c>
      <c r="O28" s="94">
        <f t="shared" ca="1" si="14"/>
        <v>2.8397004155948178</v>
      </c>
      <c r="P28" s="94">
        <f t="shared" ca="1" si="0"/>
        <v>28.397004155948181</v>
      </c>
      <c r="Q28" s="94">
        <f t="shared" ca="1" si="1"/>
        <v>28.397004155948181</v>
      </c>
      <c r="R28" s="94">
        <f t="shared" ca="1" si="2"/>
        <v>2.8397004155948182</v>
      </c>
      <c r="S28" s="94">
        <f t="shared" ca="1" si="18"/>
        <v>2.8397004155948178</v>
      </c>
      <c r="T28" s="4">
        <f t="shared" ca="1" si="3"/>
        <v>0</v>
      </c>
      <c r="U28" s="46">
        <f t="shared" ca="1" si="15"/>
        <v>1350.1639413314356</v>
      </c>
      <c r="V28" s="4">
        <f t="shared" ca="1" si="4"/>
        <v>0</v>
      </c>
      <c r="W28" s="13">
        <f t="shared" ca="1" si="5"/>
        <v>10017.797928563645</v>
      </c>
      <c r="X28" s="4">
        <f t="shared" ca="1" si="6"/>
        <v>0</v>
      </c>
      <c r="AE28" s="4"/>
    </row>
    <row r="29" spans="1:31">
      <c r="A29">
        <v>0</v>
      </c>
      <c r="B29">
        <v>0</v>
      </c>
      <c r="C29">
        <f t="shared" si="16"/>
        <v>2</v>
      </c>
      <c r="D29">
        <f t="shared" si="7"/>
        <v>0</v>
      </c>
      <c r="E29">
        <f t="shared" si="8"/>
        <v>0</v>
      </c>
      <c r="F29" s="100">
        <f t="shared" ca="1" si="17"/>
        <v>0.33466224999999999</v>
      </c>
      <c r="G29">
        <v>1</v>
      </c>
      <c r="H29">
        <v>0</v>
      </c>
      <c r="I29">
        <v>4</v>
      </c>
      <c r="J29" s="1">
        <f t="shared" ca="1" si="9"/>
        <v>0</v>
      </c>
      <c r="K29" s="1">
        <f t="shared" ca="1" si="10"/>
        <v>0</v>
      </c>
      <c r="L29" s="13">
        <f t="shared" ca="1" si="11"/>
        <v>114</v>
      </c>
      <c r="M29" s="7">
        <f t="shared" ca="1" si="12"/>
        <v>886</v>
      </c>
      <c r="N29" s="44">
        <f t="shared" ca="1" si="13"/>
        <v>12</v>
      </c>
      <c r="O29" s="94">
        <f t="shared" ca="1" si="14"/>
        <v>3.0624018806381534</v>
      </c>
      <c r="P29" s="94">
        <f t="shared" ca="1" si="0"/>
        <v>29.510511481164862</v>
      </c>
      <c r="Q29" s="94">
        <f t="shared" ca="1" si="1"/>
        <v>28.397004155948181</v>
      </c>
      <c r="R29" s="94">
        <f t="shared" ca="1" si="2"/>
        <v>2.8953757818556523</v>
      </c>
      <c r="S29" s="94">
        <f t="shared" ca="1" si="18"/>
        <v>3.0624018806381534</v>
      </c>
      <c r="T29" s="4">
        <f t="shared" ca="1" si="3"/>
        <v>0</v>
      </c>
      <c r="U29" s="46">
        <f t="shared" ca="1" si="15"/>
        <v>1418.7282638229713</v>
      </c>
      <c r="V29" s="4">
        <f t="shared" ca="1" si="4"/>
        <v>0</v>
      </c>
      <c r="W29" s="13">
        <f t="shared" ca="1" si="5"/>
        <v>9182.9814345166742</v>
      </c>
      <c r="X29" s="4">
        <f t="shared" ca="1" si="6"/>
        <v>0</v>
      </c>
      <c r="AE29" s="4"/>
    </row>
    <row r="30" spans="1:31">
      <c r="A30">
        <v>0</v>
      </c>
      <c r="B30">
        <v>0</v>
      </c>
      <c r="C30">
        <f t="shared" si="16"/>
        <v>2</v>
      </c>
      <c r="D30">
        <f t="shared" si="7"/>
        <v>0</v>
      </c>
      <c r="E30">
        <f t="shared" si="8"/>
        <v>0</v>
      </c>
      <c r="F30" s="100">
        <f t="shared" ca="1" si="17"/>
        <v>0.33466224999999999</v>
      </c>
      <c r="G30">
        <v>1</v>
      </c>
      <c r="H30">
        <v>0</v>
      </c>
      <c r="I30">
        <v>3</v>
      </c>
      <c r="J30" s="1">
        <f t="shared" ca="1" si="9"/>
        <v>0</v>
      </c>
      <c r="K30" s="1">
        <f t="shared" ca="1" si="10"/>
        <v>0</v>
      </c>
      <c r="L30" s="13">
        <f t="shared" ca="1" si="11"/>
        <v>101</v>
      </c>
      <c r="M30" s="7">
        <f t="shared" ca="1" si="12"/>
        <v>899</v>
      </c>
      <c r="N30" s="44">
        <f t="shared" ca="1" si="13"/>
        <v>12</v>
      </c>
      <c r="O30" s="94">
        <f t="shared" ca="1" si="14"/>
        <v>3.0624018806381534</v>
      </c>
      <c r="P30" s="94">
        <f t="shared" ca="1" si="0"/>
        <v>30.624018806381528</v>
      </c>
      <c r="Q30" s="94">
        <f t="shared" ca="1" si="1"/>
        <v>30.178615876294863</v>
      </c>
      <c r="R30" s="94">
        <f t="shared" ca="1" si="2"/>
        <v>3.0401317341338197</v>
      </c>
      <c r="S30" s="94">
        <f t="shared" ca="1" si="18"/>
        <v>3.0624018806381534</v>
      </c>
      <c r="T30" s="4">
        <f t="shared" ca="1" si="3"/>
        <v>0</v>
      </c>
      <c r="U30" s="46">
        <f t="shared" ca="1" si="15"/>
        <v>1405.7282638229713</v>
      </c>
      <c r="V30" s="4">
        <f t="shared" ca="1" si="4"/>
        <v>0</v>
      </c>
      <c r="W30" s="13">
        <f t="shared" ca="1" si="5"/>
        <v>8348.1649404697037</v>
      </c>
      <c r="X30" s="4">
        <f t="shared" ca="1" si="6"/>
        <v>0</v>
      </c>
      <c r="AE30" s="4"/>
    </row>
    <row r="31" spans="1:31">
      <c r="A31">
        <v>0</v>
      </c>
      <c r="B31">
        <v>0</v>
      </c>
      <c r="C31">
        <f t="shared" si="16"/>
        <v>2</v>
      </c>
      <c r="D31">
        <f t="shared" si="7"/>
        <v>0</v>
      </c>
      <c r="E31">
        <f t="shared" si="8"/>
        <v>0</v>
      </c>
      <c r="F31" s="100">
        <f t="shared" ca="1" si="17"/>
        <v>0.33466224999999999</v>
      </c>
      <c r="G31">
        <v>1</v>
      </c>
      <c r="H31">
        <v>0</v>
      </c>
      <c r="I31">
        <v>2</v>
      </c>
      <c r="J31" s="1">
        <f t="shared" ca="1" si="9"/>
        <v>0</v>
      </c>
      <c r="K31" s="1">
        <f t="shared" ca="1" si="10"/>
        <v>0</v>
      </c>
      <c r="L31" s="13">
        <f t="shared" ca="1" si="11"/>
        <v>88</v>
      </c>
      <c r="M31" s="7">
        <f t="shared" ca="1" si="12"/>
        <v>912</v>
      </c>
      <c r="N31" s="44">
        <f t="shared" ca="1" si="13"/>
        <v>12</v>
      </c>
      <c r="O31" s="94">
        <f t="shared" ca="1" si="14"/>
        <v>3.0624018806381534</v>
      </c>
      <c r="P31" s="94">
        <f t="shared" ca="1" si="0"/>
        <v>30.624018806381528</v>
      </c>
      <c r="Q31" s="94">
        <f t="shared" ca="1" si="1"/>
        <v>30.624018806381528</v>
      </c>
      <c r="R31" s="94">
        <f t="shared" ca="1" si="2"/>
        <v>3.062401880638153</v>
      </c>
      <c r="S31" s="94">
        <f t="shared" ca="1" si="18"/>
        <v>3.0624018806381534</v>
      </c>
      <c r="T31" s="4">
        <f t="shared" ca="1" si="3"/>
        <v>0</v>
      </c>
      <c r="U31" s="46">
        <f t="shared" ca="1" si="15"/>
        <v>1392.7282638229713</v>
      </c>
      <c r="V31" s="4">
        <f t="shared" ca="1" si="4"/>
        <v>0</v>
      </c>
      <c r="W31" s="13">
        <f t="shared" ca="1" si="5"/>
        <v>7513.3484464227331</v>
      </c>
      <c r="X31" s="4">
        <f t="shared" ca="1" si="6"/>
        <v>0</v>
      </c>
      <c r="AE31" s="4"/>
    </row>
    <row r="32" spans="1:31">
      <c r="A32">
        <v>0</v>
      </c>
      <c r="B32">
        <v>0</v>
      </c>
      <c r="C32">
        <f t="shared" si="16"/>
        <v>2</v>
      </c>
      <c r="D32">
        <f t="shared" si="7"/>
        <v>0</v>
      </c>
      <c r="E32">
        <f t="shared" si="8"/>
        <v>0</v>
      </c>
      <c r="F32" s="100">
        <f t="shared" ca="1" si="17"/>
        <v>0.33466224999999999</v>
      </c>
      <c r="G32">
        <v>1</v>
      </c>
      <c r="H32">
        <v>0</v>
      </c>
      <c r="I32">
        <v>1</v>
      </c>
      <c r="J32" s="1">
        <f t="shared" ca="1" si="9"/>
        <v>0</v>
      </c>
      <c r="K32" s="1">
        <f t="shared" ca="1" si="10"/>
        <v>0</v>
      </c>
      <c r="L32" s="13">
        <f t="shared" ca="1" si="11"/>
        <v>75</v>
      </c>
      <c r="M32" s="7">
        <f t="shared" ca="1" si="12"/>
        <v>925</v>
      </c>
      <c r="N32" s="44">
        <f t="shared" ca="1" si="13"/>
        <v>12</v>
      </c>
      <c r="O32" s="94">
        <f t="shared" ca="1" si="14"/>
        <v>3.0624018806381534</v>
      </c>
      <c r="P32" s="94">
        <f t="shared" ca="1" si="0"/>
        <v>30.624018806381528</v>
      </c>
      <c r="Q32" s="94">
        <f t="shared" ca="1" si="1"/>
        <v>30.624018806381528</v>
      </c>
      <c r="R32" s="94">
        <f t="shared" ca="1" si="2"/>
        <v>3.062401880638153</v>
      </c>
      <c r="S32" s="94">
        <f t="shared" ca="1" si="18"/>
        <v>3.0624018806381534</v>
      </c>
      <c r="T32" s="4">
        <f t="shared" ca="1" si="3"/>
        <v>0</v>
      </c>
      <c r="U32" s="46">
        <f t="shared" ca="1" si="15"/>
        <v>1379.7282638229713</v>
      </c>
      <c r="V32" s="4">
        <f t="shared" ca="1" si="4"/>
        <v>0</v>
      </c>
      <c r="W32" s="13">
        <f t="shared" ca="1" si="5"/>
        <v>6678.5319523757635</v>
      </c>
      <c r="X32" s="4">
        <f t="shared" ca="1" si="6"/>
        <v>0</v>
      </c>
      <c r="AE32" s="4"/>
    </row>
    <row r="33" spans="1:31">
      <c r="A33">
        <v>0</v>
      </c>
      <c r="B33">
        <v>0</v>
      </c>
      <c r="C33">
        <f t="shared" si="16"/>
        <v>2</v>
      </c>
      <c r="D33">
        <f t="shared" si="7"/>
        <v>0</v>
      </c>
      <c r="E33">
        <f t="shared" si="8"/>
        <v>0</v>
      </c>
      <c r="F33" s="100">
        <f t="shared" ca="1" si="17"/>
        <v>0.33466224999999999</v>
      </c>
      <c r="G33">
        <v>1</v>
      </c>
      <c r="H33">
        <v>0</v>
      </c>
      <c r="I33">
        <v>0</v>
      </c>
      <c r="J33" s="1">
        <f t="shared" ca="1" si="9"/>
        <v>9.5000000000000084E-3</v>
      </c>
      <c r="K33" s="1">
        <f t="shared" ca="1" si="10"/>
        <v>3.1792913750000027E-3</v>
      </c>
      <c r="L33" s="13">
        <f t="shared" ca="1" si="11"/>
        <v>62</v>
      </c>
      <c r="M33" s="7">
        <f t="shared" ca="1" si="12"/>
        <v>938</v>
      </c>
      <c r="N33" s="44">
        <f t="shared" ca="1" si="13"/>
        <v>12</v>
      </c>
      <c r="O33" s="94">
        <f t="shared" ca="1" si="14"/>
        <v>3.0624018806381534</v>
      </c>
      <c r="P33" s="94">
        <f t="shared" ca="1" si="0"/>
        <v>30.624018806381528</v>
      </c>
      <c r="Q33" s="94">
        <f t="shared" ca="1" si="1"/>
        <v>30.624018806381528</v>
      </c>
      <c r="R33" s="94">
        <f t="shared" ca="1" si="2"/>
        <v>3.062401880638153</v>
      </c>
      <c r="S33" s="94">
        <f t="shared" ca="1" si="18"/>
        <v>3.0624018806381534</v>
      </c>
      <c r="T33" s="4">
        <f t="shared" ca="1" si="3"/>
        <v>9.7362678858966684E-3</v>
      </c>
      <c r="U33" s="46">
        <f t="shared" ca="1" si="15"/>
        <v>1366.7282638229713</v>
      </c>
      <c r="V33" s="4">
        <f t="shared" ca="1" si="4"/>
        <v>4.3452273811411004</v>
      </c>
      <c r="W33" s="13">
        <f t="shared" ca="1" si="5"/>
        <v>5843.7154583287929</v>
      </c>
      <c r="X33" s="4">
        <f t="shared" ca="1" si="6"/>
        <v>18.578874154618919</v>
      </c>
      <c r="AE33" s="4"/>
    </row>
    <row r="34" spans="1:31">
      <c r="A34">
        <v>0</v>
      </c>
      <c r="B34">
        <v>0</v>
      </c>
      <c r="C34">
        <f t="shared" si="16"/>
        <v>2</v>
      </c>
      <c r="D34">
        <f t="shared" si="7"/>
        <v>0</v>
      </c>
      <c r="E34">
        <f t="shared" si="8"/>
        <v>0</v>
      </c>
      <c r="F34" s="100">
        <f t="shared" ca="1" si="17"/>
        <v>0.33466224999999999</v>
      </c>
      <c r="G34">
        <v>0</v>
      </c>
      <c r="H34">
        <v>1</v>
      </c>
      <c r="I34">
        <v>7</v>
      </c>
      <c r="J34" s="1">
        <f t="shared" ca="1" si="9"/>
        <v>0</v>
      </c>
      <c r="K34" s="1">
        <f t="shared" ca="1" si="10"/>
        <v>0</v>
      </c>
      <c r="L34" s="13">
        <f t="shared" ca="1" si="11"/>
        <v>153</v>
      </c>
      <c r="M34" s="7">
        <f t="shared" ca="1" si="12"/>
        <v>847</v>
      </c>
      <c r="N34" s="44">
        <f t="shared" ca="1" si="13"/>
        <v>11</v>
      </c>
      <c r="O34" s="94">
        <f t="shared" ca="1" si="14"/>
        <v>2.8397004155948178</v>
      </c>
      <c r="P34" s="94">
        <f t="shared" ca="1" si="0"/>
        <v>28.397004155948181</v>
      </c>
      <c r="Q34" s="94">
        <f t="shared" ca="1" si="1"/>
        <v>28.397004155948181</v>
      </c>
      <c r="R34" s="94">
        <f t="shared" ca="1" si="2"/>
        <v>2.8397004155948182</v>
      </c>
      <c r="S34" s="94">
        <f t="shared" ca="1" si="18"/>
        <v>2.8397004155948178</v>
      </c>
      <c r="T34" s="4">
        <f t="shared" ca="1" si="3"/>
        <v>0</v>
      </c>
      <c r="U34" s="46">
        <f t="shared" ca="1" si="15"/>
        <v>1376.1639413314356</v>
      </c>
      <c r="V34" s="4">
        <f t="shared" ca="1" si="4"/>
        <v>0</v>
      </c>
      <c r="W34" s="13">
        <f t="shared" ca="1" si="5"/>
        <v>6469.4270995668039</v>
      </c>
      <c r="X34" s="4">
        <f t="shared" ca="1" si="6"/>
        <v>0</v>
      </c>
      <c r="AE34" s="4"/>
    </row>
    <row r="35" spans="1:31">
      <c r="A35">
        <v>0</v>
      </c>
      <c r="B35">
        <v>0</v>
      </c>
      <c r="C35">
        <f t="shared" si="16"/>
        <v>2</v>
      </c>
      <c r="D35">
        <f t="shared" si="7"/>
        <v>0</v>
      </c>
      <c r="E35">
        <f t="shared" si="8"/>
        <v>0</v>
      </c>
      <c r="F35" s="100">
        <f t="shared" ca="1" si="17"/>
        <v>0.33466224999999999</v>
      </c>
      <c r="G35">
        <v>0</v>
      </c>
      <c r="H35">
        <v>1</v>
      </c>
      <c r="I35">
        <v>6</v>
      </c>
      <c r="J35" s="1">
        <f t="shared" ca="1" si="9"/>
        <v>0</v>
      </c>
      <c r="K35" s="1">
        <f t="shared" ca="1" si="10"/>
        <v>0</v>
      </c>
      <c r="L35" s="13">
        <f t="shared" ca="1" si="11"/>
        <v>140</v>
      </c>
      <c r="M35" s="7">
        <f t="shared" ca="1" si="12"/>
        <v>860</v>
      </c>
      <c r="N35" s="44">
        <f t="shared" ca="1" si="13"/>
        <v>11</v>
      </c>
      <c r="O35" s="94">
        <f ca="1">VLOOKUP(N35,AvgRoundsSet1,2)</f>
        <v>2.8397004155948178</v>
      </c>
      <c r="P35" s="94">
        <f t="shared" ca="1" si="0"/>
        <v>28.397004155948181</v>
      </c>
      <c r="Q35" s="94">
        <f t="shared" ca="1" si="1"/>
        <v>28.397004155948181</v>
      </c>
      <c r="R35" s="94">
        <f t="shared" ca="1" si="2"/>
        <v>2.8397004155948182</v>
      </c>
      <c r="S35" s="94">
        <f t="shared" ca="1" si="18"/>
        <v>2.8397004155948178</v>
      </c>
      <c r="T35" s="4">
        <f t="shared" ca="1" si="3"/>
        <v>0</v>
      </c>
      <c r="U35" s="46">
        <f t="shared" ca="1" si="15"/>
        <v>1363.1639413314356</v>
      </c>
      <c r="V35" s="4">
        <f t="shared" ca="1" si="4"/>
        <v>0</v>
      </c>
      <c r="W35" s="13">
        <f t="shared" ca="1" si="5"/>
        <v>5634.6106055198334</v>
      </c>
      <c r="X35" s="4">
        <f t="shared" ca="1" si="6"/>
        <v>0</v>
      </c>
      <c r="AE35" s="4"/>
    </row>
    <row r="36" spans="1:31">
      <c r="A36">
        <v>0</v>
      </c>
      <c r="B36">
        <v>0</v>
      </c>
      <c r="C36">
        <f t="shared" si="16"/>
        <v>2</v>
      </c>
      <c r="D36">
        <f t="shared" si="7"/>
        <v>0</v>
      </c>
      <c r="E36">
        <f t="shared" si="8"/>
        <v>0</v>
      </c>
      <c r="F36" s="100">
        <f t="shared" ca="1" si="17"/>
        <v>0.33466224999999999</v>
      </c>
      <c r="G36">
        <v>0</v>
      </c>
      <c r="H36">
        <v>1</v>
      </c>
      <c r="I36">
        <v>5</v>
      </c>
      <c r="J36" s="1">
        <f t="shared" ca="1" si="9"/>
        <v>0</v>
      </c>
      <c r="K36" s="1">
        <f t="shared" ca="1" si="10"/>
        <v>0</v>
      </c>
      <c r="L36" s="13">
        <f t="shared" ca="1" si="11"/>
        <v>127</v>
      </c>
      <c r="M36" s="7">
        <f t="shared" ca="1" si="12"/>
        <v>873</v>
      </c>
      <c r="N36" s="44">
        <f t="shared" ca="1" si="13"/>
        <v>11</v>
      </c>
      <c r="O36" s="94">
        <f t="shared" ca="1" si="14"/>
        <v>2.8397004155948178</v>
      </c>
      <c r="P36" s="94">
        <f t="shared" ca="1" si="0"/>
        <v>28.397004155948181</v>
      </c>
      <c r="Q36" s="94">
        <f t="shared" ca="1" si="1"/>
        <v>28.397004155948181</v>
      </c>
      <c r="R36" s="94">
        <f t="shared" ca="1" si="2"/>
        <v>2.8397004155948182</v>
      </c>
      <c r="S36" s="94">
        <f t="shared" ca="1" si="18"/>
        <v>2.8397004155948178</v>
      </c>
      <c r="T36" s="4">
        <f t="shared" ca="1" si="3"/>
        <v>0</v>
      </c>
      <c r="U36" s="46">
        <f t="shared" ca="1" si="15"/>
        <v>1350.1639413314356</v>
      </c>
      <c r="V36" s="4">
        <f t="shared" ca="1" si="4"/>
        <v>0</v>
      </c>
      <c r="W36" s="13">
        <f t="shared" ca="1" si="5"/>
        <v>4799.7941114728637</v>
      </c>
      <c r="X36" s="4">
        <f t="shared" ca="1" si="6"/>
        <v>0</v>
      </c>
      <c r="AE36" s="4"/>
    </row>
    <row r="37" spans="1:31">
      <c r="A37">
        <v>0</v>
      </c>
      <c r="B37">
        <v>0</v>
      </c>
      <c r="C37">
        <f t="shared" si="16"/>
        <v>2</v>
      </c>
      <c r="D37">
        <f t="shared" si="7"/>
        <v>0</v>
      </c>
      <c r="E37">
        <f t="shared" si="8"/>
        <v>0</v>
      </c>
      <c r="F37" s="100">
        <f t="shared" ca="1" si="17"/>
        <v>0.33466224999999999</v>
      </c>
      <c r="G37">
        <v>0</v>
      </c>
      <c r="H37">
        <v>1</v>
      </c>
      <c r="I37">
        <v>4</v>
      </c>
      <c r="J37" s="1">
        <f t="shared" ca="1" si="9"/>
        <v>0</v>
      </c>
      <c r="K37" s="1">
        <f t="shared" ca="1" si="10"/>
        <v>0</v>
      </c>
      <c r="L37" s="13">
        <f t="shared" ca="1" si="11"/>
        <v>114</v>
      </c>
      <c r="M37" s="7">
        <f t="shared" ca="1" si="12"/>
        <v>886</v>
      </c>
      <c r="N37" s="44">
        <f t="shared" ca="1" si="13"/>
        <v>12</v>
      </c>
      <c r="O37" s="94">
        <f t="shared" ca="1" si="14"/>
        <v>3.0624018806381534</v>
      </c>
      <c r="P37" s="94">
        <f t="shared" ca="1" si="0"/>
        <v>29.510511481164862</v>
      </c>
      <c r="Q37" s="94">
        <f t="shared" ca="1" si="1"/>
        <v>28.397004155948181</v>
      </c>
      <c r="R37" s="94">
        <f t="shared" ca="1" si="2"/>
        <v>2.8953757818556523</v>
      </c>
      <c r="S37" s="94">
        <f t="shared" ca="1" si="18"/>
        <v>3.0624018806381534</v>
      </c>
      <c r="T37" s="4">
        <f t="shared" ca="1" si="3"/>
        <v>0</v>
      </c>
      <c r="U37" s="46">
        <f t="shared" ca="1" si="15"/>
        <v>1418.7282638229713</v>
      </c>
      <c r="V37" s="4">
        <f t="shared" ca="1" si="4"/>
        <v>0</v>
      </c>
      <c r="W37" s="13">
        <f t="shared" ca="1" si="5"/>
        <v>3964.9776174258936</v>
      </c>
      <c r="X37" s="4">
        <f t="shared" ca="1" si="6"/>
        <v>0</v>
      </c>
      <c r="AE37" s="4"/>
    </row>
    <row r="38" spans="1:31">
      <c r="A38">
        <v>0</v>
      </c>
      <c r="B38">
        <v>0</v>
      </c>
      <c r="C38">
        <f t="shared" si="16"/>
        <v>2</v>
      </c>
      <c r="D38">
        <f t="shared" si="7"/>
        <v>0</v>
      </c>
      <c r="E38">
        <f t="shared" si="8"/>
        <v>0</v>
      </c>
      <c r="F38" s="100">
        <f t="shared" ca="1" si="17"/>
        <v>0.33466224999999999</v>
      </c>
      <c r="G38">
        <v>0</v>
      </c>
      <c r="H38">
        <v>1</v>
      </c>
      <c r="I38">
        <v>3</v>
      </c>
      <c r="J38" s="1">
        <f t="shared" ca="1" si="9"/>
        <v>0</v>
      </c>
      <c r="K38" s="1">
        <f t="shared" ca="1" si="10"/>
        <v>0</v>
      </c>
      <c r="L38" s="13">
        <f t="shared" ca="1" si="11"/>
        <v>101</v>
      </c>
      <c r="M38" s="7">
        <f t="shared" ca="1" si="12"/>
        <v>899</v>
      </c>
      <c r="N38" s="44">
        <f t="shared" ca="1" si="13"/>
        <v>12</v>
      </c>
      <c r="O38" s="94">
        <f t="shared" ca="1" si="14"/>
        <v>3.0624018806381534</v>
      </c>
      <c r="P38" s="94">
        <f ca="1">VLOOKUP(CEILING(MAX(M38-1, 0)/Set1MeleeTP, 1), AvgRoundsSet1, 2) + VLOOKUP(CEILING(MAX(M38-2, 0)/Set1MeleeTP, 1), AvgRoundsSet1, 2) + VLOOKUP(CEILING(MAX(M38-3, 0)/Set1MeleeTP, 1), AvgRoundsSet1, 2) + VLOOKUP(CEILING(MAX(M38-4, 0)/Set1MeleeTP, 1), AvgRoundsSet1, 2) + VLOOKUP(CEILING(MAX(M38-5, 0)/Set1MeleeTP, 1), AvgRoundsSet1, 2) + VLOOKUP(CEILING(MAX(M38-6, 0)/Set1MeleeTP, 1), AvgRoundsSet1, 2) + VLOOKUP(CEILING(MAX(M38-7, 0)/Set1MeleeTP, 1), AvgRoundsSet1, 2) + VLOOKUP(CEILING(MAX(M38-8, 0)/Set1MeleeTP, 1), AvgRoundsSet1, 2) + VLOOKUP(CEILING(MAX(M38-9, 0)/Set1MeleeTP, 1), AvgRoundsSet1, 2) + VLOOKUP(CEILING(MAX(M38-10, 0)/Set1MeleeTP, 1), AvgRoundsSet1, 2)</f>
        <v>30.624018806381528</v>
      </c>
      <c r="Q38" s="94">
        <f t="shared" ca="1" si="1"/>
        <v>30.178615876294863</v>
      </c>
      <c r="R38" s="94">
        <f t="shared" ca="1" si="2"/>
        <v>3.0401317341338197</v>
      </c>
      <c r="S38" s="94">
        <f t="shared" ca="1" si="18"/>
        <v>3.0624018806381534</v>
      </c>
      <c r="T38" s="4">
        <f t="shared" ca="1" si="3"/>
        <v>0</v>
      </c>
      <c r="U38" s="46">
        <f t="shared" ca="1" si="15"/>
        <v>1405.7282638229713</v>
      </c>
      <c r="V38" s="4">
        <f t="shared" ca="1" si="4"/>
        <v>0</v>
      </c>
      <c r="W38" s="13">
        <f t="shared" ca="1" si="5"/>
        <v>3130.1611233789231</v>
      </c>
      <c r="X38" s="4">
        <f t="shared" ca="1" si="6"/>
        <v>0</v>
      </c>
      <c r="AE38" s="4"/>
    </row>
    <row r="39" spans="1:31">
      <c r="A39">
        <v>0</v>
      </c>
      <c r="B39">
        <v>0</v>
      </c>
      <c r="C39">
        <f t="shared" si="16"/>
        <v>2</v>
      </c>
      <c r="D39">
        <f t="shared" si="7"/>
        <v>0</v>
      </c>
      <c r="E39">
        <f t="shared" si="8"/>
        <v>0</v>
      </c>
      <c r="F39" s="100">
        <f t="shared" ca="1" si="17"/>
        <v>0.33466224999999999</v>
      </c>
      <c r="G39">
        <v>0</v>
      </c>
      <c r="H39">
        <v>1</v>
      </c>
      <c r="I39">
        <v>2</v>
      </c>
      <c r="J39" s="1">
        <f t="shared" ca="1" si="9"/>
        <v>0</v>
      </c>
      <c r="K39" s="1">
        <f t="shared" ca="1" si="10"/>
        <v>0</v>
      </c>
      <c r="L39" s="13">
        <f t="shared" ca="1" si="11"/>
        <v>88</v>
      </c>
      <c r="M39" s="7">
        <f t="shared" ca="1" si="12"/>
        <v>912</v>
      </c>
      <c r="N39" s="44">
        <f t="shared" ca="1" si="13"/>
        <v>12</v>
      </c>
      <c r="O39" s="94">
        <f t="shared" ca="1" si="14"/>
        <v>3.0624018806381534</v>
      </c>
      <c r="P39" s="94">
        <f ca="1">VLOOKUP(CEILING(MAX(M39-1, 0)/Set1MeleeTP, 1), AvgRoundsSet1, 2) + VLOOKUP(CEILING(MAX(M39-2, 0)/Set1MeleeTP, 1), AvgRoundsSet1, 2) + VLOOKUP(CEILING(MAX(M39-3, 0)/Set1MeleeTP, 1), AvgRoundsSet1, 2) + VLOOKUP(CEILING(MAX(M39-4, 0)/Set1MeleeTP, 1), AvgRoundsSet1, 2) + VLOOKUP(CEILING(MAX(M39-5, 0)/Set1MeleeTP, 1), AvgRoundsSet1, 2) + VLOOKUP(CEILING(MAX(M39-6, 0)/Set1MeleeTP, 1), AvgRoundsSet1, 2) + VLOOKUP(CEILING(MAX(M39-7, 0)/Set1MeleeTP, 1), AvgRoundsSet1, 2) + VLOOKUP(CEILING(MAX(M39-8, 0)/Set1MeleeTP, 1), AvgRoundsSet1, 2) + VLOOKUP(CEILING(MAX(M39-9, 0)/Set1MeleeTP, 1), AvgRoundsSet1, 2) + VLOOKUP(CEILING(MAX(M39-10, 0)/Set1MeleeTP, 1), AvgRoundsSet1, 2)</f>
        <v>30.624018806381528</v>
      </c>
      <c r="Q39" s="94">
        <f t="shared" ca="1" si="1"/>
        <v>30.624018806381528</v>
      </c>
      <c r="R39" s="94">
        <f ca="1">(P39+Q39)/20</f>
        <v>3.062401880638153</v>
      </c>
      <c r="S39" s="94">
        <f t="shared" ca="1" si="18"/>
        <v>3.0624018806381534</v>
      </c>
      <c r="T39" s="4">
        <f t="shared" ca="1" si="3"/>
        <v>0</v>
      </c>
      <c r="U39" s="46">
        <f t="shared" ca="1" si="15"/>
        <v>1392.7282638229713</v>
      </c>
      <c r="V39" s="4">
        <f t="shared" ca="1" si="4"/>
        <v>0</v>
      </c>
      <c r="W39" s="13">
        <f t="shared" ca="1" si="5"/>
        <v>2295.344629331953</v>
      </c>
      <c r="X39" s="4">
        <f t="shared" ca="1" si="6"/>
        <v>0</v>
      </c>
      <c r="AE39" s="4"/>
    </row>
    <row r="40" spans="1:31">
      <c r="A40">
        <v>0</v>
      </c>
      <c r="B40">
        <v>0</v>
      </c>
      <c r="C40">
        <f t="shared" si="16"/>
        <v>2</v>
      </c>
      <c r="D40">
        <f t="shared" si="7"/>
        <v>0</v>
      </c>
      <c r="E40">
        <f t="shared" si="8"/>
        <v>0</v>
      </c>
      <c r="F40" s="100">
        <f t="shared" ca="1" si="17"/>
        <v>0.33466224999999999</v>
      </c>
      <c r="G40">
        <v>0</v>
      </c>
      <c r="H40">
        <v>1</v>
      </c>
      <c r="I40">
        <v>1</v>
      </c>
      <c r="J40" s="1">
        <f t="shared" ca="1" si="9"/>
        <v>0</v>
      </c>
      <c r="K40" s="1">
        <f t="shared" ca="1" si="10"/>
        <v>0</v>
      </c>
      <c r="L40" s="13">
        <f t="shared" ca="1" si="11"/>
        <v>75</v>
      </c>
      <c r="M40" s="7">
        <f t="shared" ca="1" si="12"/>
        <v>925</v>
      </c>
      <c r="N40" s="44">
        <f t="shared" ca="1" si="13"/>
        <v>12</v>
      </c>
      <c r="O40" s="94">
        <f t="shared" ca="1" si="14"/>
        <v>3.0624018806381534</v>
      </c>
      <c r="P40" s="94">
        <f t="shared" ca="1" si="0"/>
        <v>30.624018806381528</v>
      </c>
      <c r="Q40" s="94">
        <f t="shared" ca="1" si="1"/>
        <v>30.624018806381528</v>
      </c>
      <c r="R40" s="94">
        <f t="shared" ca="1" si="2"/>
        <v>3.062401880638153</v>
      </c>
      <c r="S40" s="94">
        <f t="shared" ca="1" si="18"/>
        <v>3.0624018806381534</v>
      </c>
      <c r="T40" s="4">
        <f t="shared" ca="1" si="3"/>
        <v>0</v>
      </c>
      <c r="U40" s="46">
        <f t="shared" ca="1" si="15"/>
        <v>1379.7282638229713</v>
      </c>
      <c r="V40" s="4">
        <f t="shared" ca="1" si="4"/>
        <v>0</v>
      </c>
      <c r="W40" s="13">
        <f t="shared" ca="1" si="5"/>
        <v>1460.5281352849825</v>
      </c>
      <c r="X40" s="4">
        <f t="shared" ca="1" si="6"/>
        <v>0</v>
      </c>
      <c r="AE40" s="4"/>
    </row>
    <row r="41" spans="1:31">
      <c r="A41">
        <v>0</v>
      </c>
      <c r="B41">
        <v>0</v>
      </c>
      <c r="C41">
        <f t="shared" si="16"/>
        <v>2</v>
      </c>
      <c r="D41">
        <f t="shared" si="7"/>
        <v>0</v>
      </c>
      <c r="E41">
        <f t="shared" si="8"/>
        <v>0</v>
      </c>
      <c r="F41" s="100">
        <f t="shared" ca="1" si="17"/>
        <v>0.33466224999999999</v>
      </c>
      <c r="G41">
        <v>0</v>
      </c>
      <c r="H41">
        <v>1</v>
      </c>
      <c r="I41">
        <v>0</v>
      </c>
      <c r="J41" s="1">
        <f t="shared" ca="1" si="9"/>
        <v>4.9500000000000002E-2</v>
      </c>
      <c r="K41" s="1">
        <f t="shared" ca="1" si="10"/>
        <v>1.6565781375000001E-2</v>
      </c>
      <c r="L41" s="13">
        <f t="shared" ca="1" si="11"/>
        <v>62</v>
      </c>
      <c r="M41" s="7">
        <f t="shared" ca="1" si="12"/>
        <v>938</v>
      </c>
      <c r="N41" s="44">
        <f t="shared" ca="1" si="13"/>
        <v>12</v>
      </c>
      <c r="O41" s="94">
        <f t="shared" ca="1" si="14"/>
        <v>3.0624018806381534</v>
      </c>
      <c r="P41" s="94">
        <f t="shared" ca="1" si="0"/>
        <v>30.624018806381528</v>
      </c>
      <c r="Q41" s="94">
        <f t="shared" ca="1" si="1"/>
        <v>30.624018806381528</v>
      </c>
      <c r="R41" s="94">
        <f t="shared" ca="1" si="2"/>
        <v>3.062401880638153</v>
      </c>
      <c r="S41" s="94">
        <f t="shared" ca="1" si="18"/>
        <v>3.0624018806381534</v>
      </c>
      <c r="T41" s="4">
        <f t="shared" ca="1" si="3"/>
        <v>5.07310800370405E-2</v>
      </c>
      <c r="U41" s="46">
        <f t="shared" ca="1" si="15"/>
        <v>1366.7282638229713</v>
      </c>
      <c r="V41" s="4">
        <f t="shared" ca="1" si="4"/>
        <v>22.640921617524665</v>
      </c>
      <c r="W41" s="13">
        <f t="shared" ca="1" si="5"/>
        <v>625.71164123801225</v>
      </c>
      <c r="X41" s="4">
        <f t="shared" ca="1" si="6"/>
        <v>10.365402252541346</v>
      </c>
      <c r="AE41" s="4"/>
    </row>
    <row r="42" spans="1:31">
      <c r="A42">
        <v>0</v>
      </c>
      <c r="B42">
        <v>0</v>
      </c>
      <c r="C42">
        <f t="shared" si="16"/>
        <v>2</v>
      </c>
      <c r="D42">
        <f t="shared" si="7"/>
        <v>0</v>
      </c>
      <c r="E42">
        <f t="shared" si="8"/>
        <v>0</v>
      </c>
      <c r="F42" s="100">
        <f t="shared" ca="1" si="17"/>
        <v>0.33466224999999999</v>
      </c>
      <c r="G42">
        <v>0</v>
      </c>
      <c r="H42">
        <v>0</v>
      </c>
      <c r="I42">
        <v>7</v>
      </c>
      <c r="J42" s="1">
        <f t="shared" ca="1" si="9"/>
        <v>0</v>
      </c>
      <c r="K42" s="1">
        <f t="shared" ca="1" si="10"/>
        <v>0</v>
      </c>
      <c r="L42" s="13">
        <f t="shared" ca="1" si="11"/>
        <v>91</v>
      </c>
      <c r="M42" s="7">
        <f t="shared" ca="1" si="12"/>
        <v>909</v>
      </c>
      <c r="N42" s="44">
        <f t="shared" ca="1" si="13"/>
        <v>12</v>
      </c>
      <c r="O42" s="94">
        <f t="shared" ca="1" si="14"/>
        <v>3.0624018806381534</v>
      </c>
      <c r="P42" s="94">
        <f t="shared" ca="1" si="0"/>
        <v>30.624018806381528</v>
      </c>
      <c r="Q42" s="94">
        <f t="shared" ca="1" si="1"/>
        <v>30.624018806381528</v>
      </c>
      <c r="R42" s="94">
        <f t="shared" ca="1" si="2"/>
        <v>3.062401880638153</v>
      </c>
      <c r="S42" s="94">
        <f t="shared" ca="1" si="18"/>
        <v>3.0624018806381534</v>
      </c>
      <c r="T42" s="4">
        <f t="shared" ca="1" si="3"/>
        <v>0</v>
      </c>
      <c r="U42" s="46">
        <f t="shared" ca="1" si="15"/>
        <v>1395.7282638229713</v>
      </c>
      <c r="V42" s="4">
        <f t="shared" ca="1" si="4"/>
        <v>0</v>
      </c>
      <c r="W42" s="13">
        <f t="shared" ca="1" si="5"/>
        <v>5843.715458328792</v>
      </c>
      <c r="X42" s="4">
        <f t="shared" ca="1" si="6"/>
        <v>0</v>
      </c>
      <c r="AE42" s="4"/>
    </row>
    <row r="43" spans="1:31">
      <c r="A43">
        <v>0</v>
      </c>
      <c r="B43">
        <v>0</v>
      </c>
      <c r="C43">
        <f t="shared" si="16"/>
        <v>2</v>
      </c>
      <c r="D43">
        <f t="shared" si="7"/>
        <v>0</v>
      </c>
      <c r="E43">
        <f t="shared" si="8"/>
        <v>0</v>
      </c>
      <c r="F43" s="100">
        <f t="shared" ca="1" si="17"/>
        <v>0.33466224999999999</v>
      </c>
      <c r="G43">
        <v>0</v>
      </c>
      <c r="H43">
        <v>0</v>
      </c>
      <c r="I43">
        <v>6</v>
      </c>
      <c r="J43" s="1">
        <f t="shared" ca="1" si="9"/>
        <v>0</v>
      </c>
      <c r="K43" s="1">
        <f t="shared" ca="1" si="10"/>
        <v>0</v>
      </c>
      <c r="L43" s="13">
        <f t="shared" ca="1" si="11"/>
        <v>78</v>
      </c>
      <c r="M43" s="7">
        <f t="shared" ca="1" si="12"/>
        <v>922</v>
      </c>
      <c r="N43" s="44">
        <f t="shared" ca="1" si="13"/>
        <v>12</v>
      </c>
      <c r="O43" s="94">
        <f t="shared" ca="1" si="14"/>
        <v>3.0624018806381534</v>
      </c>
      <c r="P43" s="94">
        <f t="shared" ca="1" si="0"/>
        <v>30.624018806381528</v>
      </c>
      <c r="Q43" s="94">
        <f t="shared" ca="1" si="1"/>
        <v>30.624018806381528</v>
      </c>
      <c r="R43" s="94">
        <f t="shared" ca="1" si="2"/>
        <v>3.062401880638153</v>
      </c>
      <c r="S43" s="94">
        <f t="shared" ca="1" si="18"/>
        <v>3.0624018806381534</v>
      </c>
      <c r="T43" s="4">
        <f t="shared" ca="1" si="3"/>
        <v>0</v>
      </c>
      <c r="U43" s="46">
        <f t="shared" ca="1" si="15"/>
        <v>1382.7282638229713</v>
      </c>
      <c r="V43" s="4">
        <f t="shared" ca="1" si="4"/>
        <v>0</v>
      </c>
      <c r="W43" s="13">
        <f t="shared" ca="1" si="5"/>
        <v>5008.8989642818215</v>
      </c>
      <c r="X43" s="4">
        <f t="shared" ca="1" si="6"/>
        <v>0</v>
      </c>
      <c r="AE43" s="4"/>
    </row>
    <row r="44" spans="1:31">
      <c r="A44">
        <v>0</v>
      </c>
      <c r="B44">
        <v>0</v>
      </c>
      <c r="C44">
        <f t="shared" si="16"/>
        <v>2</v>
      </c>
      <c r="D44">
        <f t="shared" si="7"/>
        <v>0</v>
      </c>
      <c r="E44">
        <f t="shared" si="8"/>
        <v>0</v>
      </c>
      <c r="F44" s="100">
        <f t="shared" ca="1" si="17"/>
        <v>0.33466224999999999</v>
      </c>
      <c r="G44">
        <v>0</v>
      </c>
      <c r="H44">
        <v>0</v>
      </c>
      <c r="I44">
        <v>5</v>
      </c>
      <c r="J44" s="1">
        <f t="shared" ca="1" si="9"/>
        <v>0</v>
      </c>
      <c r="K44" s="1">
        <f t="shared" ca="1" si="10"/>
        <v>0</v>
      </c>
      <c r="L44" s="13">
        <f t="shared" ca="1" si="11"/>
        <v>65</v>
      </c>
      <c r="M44" s="7">
        <f t="shared" ca="1" si="12"/>
        <v>935</v>
      </c>
      <c r="N44" s="44">
        <f t="shared" ca="1" si="13"/>
        <v>12</v>
      </c>
      <c r="O44" s="94">
        <f t="shared" ca="1" si="14"/>
        <v>3.0624018806381534</v>
      </c>
      <c r="P44" s="94">
        <f t="shared" ca="1" si="0"/>
        <v>30.624018806381528</v>
      </c>
      <c r="Q44" s="94">
        <f t="shared" ca="1" si="1"/>
        <v>30.624018806381528</v>
      </c>
      <c r="R44" s="94">
        <f t="shared" ca="1" si="2"/>
        <v>3.062401880638153</v>
      </c>
      <c r="S44" s="94">
        <f t="shared" ca="1" si="18"/>
        <v>3.0624018806381534</v>
      </c>
      <c r="T44" s="4">
        <f t="shared" ca="1" si="3"/>
        <v>0</v>
      </c>
      <c r="U44" s="46">
        <f t="shared" ca="1" si="15"/>
        <v>1369.7282638229713</v>
      </c>
      <c r="V44" s="4">
        <f t="shared" ca="1" si="4"/>
        <v>0</v>
      </c>
      <c r="W44" s="13">
        <f t="shared" ca="1" si="5"/>
        <v>4174.0824702348518</v>
      </c>
      <c r="X44" s="4">
        <f t="shared" ca="1" si="6"/>
        <v>0</v>
      </c>
      <c r="AE44" s="4"/>
    </row>
    <row r="45" spans="1:31">
      <c r="A45">
        <v>0</v>
      </c>
      <c r="B45">
        <v>0</v>
      </c>
      <c r="C45">
        <f t="shared" si="16"/>
        <v>2</v>
      </c>
      <c r="D45">
        <f t="shared" si="7"/>
        <v>0</v>
      </c>
      <c r="E45">
        <f t="shared" si="8"/>
        <v>0</v>
      </c>
      <c r="F45" s="100">
        <f t="shared" ca="1" si="17"/>
        <v>0.33466224999999999</v>
      </c>
      <c r="G45">
        <v>0</v>
      </c>
      <c r="H45">
        <v>0</v>
      </c>
      <c r="I45">
        <v>4</v>
      </c>
      <c r="J45" s="1">
        <f t="shared" ca="1" si="9"/>
        <v>0</v>
      </c>
      <c r="K45" s="1">
        <f t="shared" ca="1" si="10"/>
        <v>0</v>
      </c>
      <c r="L45" s="13">
        <f t="shared" ca="1" si="11"/>
        <v>52</v>
      </c>
      <c r="M45" s="7">
        <f t="shared" ca="1" si="12"/>
        <v>948</v>
      </c>
      <c r="N45" s="44">
        <f t="shared" ca="1" si="13"/>
        <v>12</v>
      </c>
      <c r="O45" s="94">
        <f t="shared" ca="1" si="14"/>
        <v>3.0624018806381534</v>
      </c>
      <c r="P45" s="94">
        <f t="shared" ca="1" si="0"/>
        <v>30.624018806381528</v>
      </c>
      <c r="Q45" s="94">
        <f t="shared" ca="1" si="1"/>
        <v>30.624018806381528</v>
      </c>
      <c r="R45" s="94">
        <f t="shared" ca="1" si="2"/>
        <v>3.062401880638153</v>
      </c>
      <c r="S45" s="94">
        <f t="shared" ca="1" si="18"/>
        <v>3.0624018806381534</v>
      </c>
      <c r="T45" s="4">
        <f t="shared" ca="1" si="3"/>
        <v>0</v>
      </c>
      <c r="U45" s="46">
        <f t="shared" ca="1" si="15"/>
        <v>1356.7282638229713</v>
      </c>
      <c r="V45" s="4">
        <f t="shared" ca="1" si="4"/>
        <v>0</v>
      </c>
      <c r="W45" s="13">
        <f t="shared" ca="1" si="5"/>
        <v>3339.2659761878813</v>
      </c>
      <c r="X45" s="4">
        <f t="shared" ca="1" si="6"/>
        <v>0</v>
      </c>
      <c r="AE45" s="4"/>
    </row>
    <row r="46" spans="1:31">
      <c r="A46">
        <v>0</v>
      </c>
      <c r="B46">
        <v>0</v>
      </c>
      <c r="C46">
        <f t="shared" si="16"/>
        <v>2</v>
      </c>
      <c r="D46">
        <f t="shared" si="7"/>
        <v>0</v>
      </c>
      <c r="E46">
        <f t="shared" si="8"/>
        <v>0</v>
      </c>
      <c r="F46" s="100">
        <f t="shared" ca="1" si="17"/>
        <v>0.33466224999999999</v>
      </c>
      <c r="G46">
        <v>0</v>
      </c>
      <c r="H46">
        <v>0</v>
      </c>
      <c r="I46">
        <v>3</v>
      </c>
      <c r="J46" s="1">
        <f t="shared" ca="1" si="9"/>
        <v>0</v>
      </c>
      <c r="K46" s="1">
        <f t="shared" ca="1" si="10"/>
        <v>0</v>
      </c>
      <c r="L46" s="13">
        <f t="shared" ca="1" si="11"/>
        <v>39</v>
      </c>
      <c r="M46" s="7">
        <f t="shared" ca="1" si="12"/>
        <v>961</v>
      </c>
      <c r="N46" s="44">
        <f t="shared" ca="1" si="13"/>
        <v>13</v>
      </c>
      <c r="O46" s="94">
        <f t="shared" ca="1" si="14"/>
        <v>3.2733204919050856</v>
      </c>
      <c r="P46" s="94">
        <f t="shared" ca="1" si="0"/>
        <v>30.624018806381528</v>
      </c>
      <c r="Q46" s="94">
        <f t="shared" ca="1" si="1"/>
        <v>30.624018806381528</v>
      </c>
      <c r="R46" s="94">
        <f t="shared" ca="1" si="2"/>
        <v>3.062401880638153</v>
      </c>
      <c r="S46" s="94">
        <f t="shared" ca="1" si="18"/>
        <v>3.2733204919050856</v>
      </c>
      <c r="T46" s="4">
        <f t="shared" ca="1" si="3"/>
        <v>0</v>
      </c>
      <c r="U46" s="46">
        <f t="shared" ca="1" si="15"/>
        <v>1420.9771208320408</v>
      </c>
      <c r="V46" s="4">
        <f t="shared" ca="1" si="4"/>
        <v>0</v>
      </c>
      <c r="W46" s="13">
        <f t="shared" ca="1" si="5"/>
        <v>2504.4494821409107</v>
      </c>
      <c r="X46" s="4">
        <f t="shared" ca="1" si="6"/>
        <v>0</v>
      </c>
      <c r="AE46" s="4"/>
    </row>
    <row r="47" spans="1:31">
      <c r="A47">
        <v>0</v>
      </c>
      <c r="B47">
        <v>0</v>
      </c>
      <c r="C47">
        <f t="shared" si="16"/>
        <v>2</v>
      </c>
      <c r="D47">
        <f t="shared" si="7"/>
        <v>0</v>
      </c>
      <c r="E47">
        <f t="shared" si="8"/>
        <v>0</v>
      </c>
      <c r="F47" s="100">
        <f t="shared" ca="1" si="17"/>
        <v>0.33466224999999999</v>
      </c>
      <c r="G47">
        <v>0</v>
      </c>
      <c r="H47">
        <v>0</v>
      </c>
      <c r="I47">
        <v>2</v>
      </c>
      <c r="J47" s="1">
        <f t="shared" ca="1" si="9"/>
        <v>0</v>
      </c>
      <c r="K47" s="1">
        <f t="shared" ca="1" si="10"/>
        <v>0</v>
      </c>
      <c r="L47" s="13">
        <f t="shared" ca="1" si="11"/>
        <v>26</v>
      </c>
      <c r="M47" s="7">
        <f t="shared" ca="1" si="12"/>
        <v>974</v>
      </c>
      <c r="N47" s="44">
        <f t="shared" ca="1" si="13"/>
        <v>13</v>
      </c>
      <c r="O47" s="94">
        <f t="shared" ca="1" si="14"/>
        <v>3.2733204919050856</v>
      </c>
      <c r="P47" s="94">
        <f t="shared" ca="1" si="0"/>
        <v>32.733204919050856</v>
      </c>
      <c r="Q47" s="94">
        <f t="shared" ca="1" si="1"/>
        <v>31.256774640182325</v>
      </c>
      <c r="R47" s="94">
        <f t="shared" ca="1" si="2"/>
        <v>3.1994989779616589</v>
      </c>
      <c r="S47" s="94">
        <f t="shared" ca="1" si="18"/>
        <v>3.2733204919050856</v>
      </c>
      <c r="T47" s="4">
        <f t="shared" ca="1" si="3"/>
        <v>0</v>
      </c>
      <c r="U47" s="46">
        <f t="shared" ca="1" si="15"/>
        <v>1407.9771208320408</v>
      </c>
      <c r="V47" s="4">
        <f t="shared" ca="1" si="4"/>
        <v>0</v>
      </c>
      <c r="W47" s="13">
        <f t="shared" ca="1" si="5"/>
        <v>1669.6329880939406</v>
      </c>
      <c r="X47" s="4">
        <f t="shared" ca="1" si="6"/>
        <v>0</v>
      </c>
      <c r="AE47" s="4"/>
    </row>
    <row r="48" spans="1:31">
      <c r="A48">
        <v>0</v>
      </c>
      <c r="B48">
        <v>0</v>
      </c>
      <c r="C48">
        <f t="shared" si="16"/>
        <v>2</v>
      </c>
      <c r="D48">
        <f t="shared" si="7"/>
        <v>0</v>
      </c>
      <c r="E48">
        <f t="shared" si="8"/>
        <v>0</v>
      </c>
      <c r="F48" s="100">
        <f t="shared" ca="1" si="17"/>
        <v>0.33466224999999999</v>
      </c>
      <c r="G48">
        <v>0</v>
      </c>
      <c r="H48">
        <v>0</v>
      </c>
      <c r="I48">
        <v>1</v>
      </c>
      <c r="J48" s="1">
        <f t="shared" ca="1" si="9"/>
        <v>0</v>
      </c>
      <c r="K48" s="1">
        <f t="shared" ca="1" si="10"/>
        <v>0</v>
      </c>
      <c r="L48" s="13">
        <f t="shared" ca="1" si="11"/>
        <v>13</v>
      </c>
      <c r="M48" s="7">
        <f t="shared" ca="1" si="12"/>
        <v>987</v>
      </c>
      <c r="N48" s="44">
        <f t="shared" ca="1" si="13"/>
        <v>13</v>
      </c>
      <c r="O48" s="94">
        <f t="shared" ca="1" si="14"/>
        <v>3.2733204919050856</v>
      </c>
      <c r="P48" s="94">
        <f t="shared" ca="1" si="0"/>
        <v>32.733204919050856</v>
      </c>
      <c r="Q48" s="94">
        <f t="shared" ca="1" si="1"/>
        <v>32.733204919050856</v>
      </c>
      <c r="R48" s="94">
        <f t="shared" ca="1" si="2"/>
        <v>3.2733204919050856</v>
      </c>
      <c r="S48" s="94">
        <f t="shared" ca="1" si="18"/>
        <v>3.2733204919050856</v>
      </c>
      <c r="T48" s="4">
        <f t="shared" ca="1" si="3"/>
        <v>0</v>
      </c>
      <c r="U48" s="46">
        <f t="shared" ca="1" si="15"/>
        <v>1394.9771208320408</v>
      </c>
      <c r="V48" s="4">
        <f t="shared" ca="1" si="4"/>
        <v>0</v>
      </c>
      <c r="W48" s="13">
        <f t="shared" ca="1" si="5"/>
        <v>834.81649404697032</v>
      </c>
      <c r="X48" s="4">
        <f t="shared" ca="1" si="6"/>
        <v>0</v>
      </c>
      <c r="AE48" s="4"/>
    </row>
    <row r="49" spans="1:31">
      <c r="A49">
        <v>0</v>
      </c>
      <c r="B49">
        <v>0</v>
      </c>
      <c r="C49">
        <f t="shared" si="16"/>
        <v>2</v>
      </c>
      <c r="D49">
        <f t="shared" si="7"/>
        <v>0</v>
      </c>
      <c r="E49">
        <f t="shared" si="8"/>
        <v>0</v>
      </c>
      <c r="F49" s="100">
        <f t="shared" ca="1" si="17"/>
        <v>0.33466224999999999</v>
      </c>
      <c r="G49">
        <v>0</v>
      </c>
      <c r="H49">
        <v>0</v>
      </c>
      <c r="I49">
        <v>0</v>
      </c>
      <c r="J49" s="1">
        <f t="shared" ca="1" si="9"/>
        <v>5.0000000000000044E-4</v>
      </c>
      <c r="K49" s="1">
        <f t="shared" ca="1" si="10"/>
        <v>1.6733112500000015E-4</v>
      </c>
      <c r="L49" s="13">
        <f t="shared" ca="1" si="11"/>
        <v>0</v>
      </c>
      <c r="M49" s="7">
        <f t="shared" ca="1" si="12"/>
        <v>1000</v>
      </c>
      <c r="N49" s="44">
        <f t="shared" ca="1" si="13"/>
        <v>13</v>
      </c>
      <c r="O49" s="94">
        <f t="shared" ca="1" si="14"/>
        <v>3.2733204919050856</v>
      </c>
      <c r="P49" s="94">
        <f t="shared" ca="1" si="0"/>
        <v>32.733204919050856</v>
      </c>
      <c r="Q49" s="94">
        <f t="shared" ca="1" si="1"/>
        <v>32.733204919050856</v>
      </c>
      <c r="R49" s="94">
        <f t="shared" ca="1" si="2"/>
        <v>3.2733204919050856</v>
      </c>
      <c r="S49" s="94">
        <f t="shared" ca="1" si="18"/>
        <v>3.2733204919050856</v>
      </c>
      <c r="T49" s="4">
        <f t="shared" ca="1" si="3"/>
        <v>5.4772840039603191E-4</v>
      </c>
      <c r="U49" s="46">
        <f t="shared" ca="1" si="15"/>
        <v>1381.9771208320408</v>
      </c>
      <c r="V49" s="4">
        <f t="shared" ca="1" si="4"/>
        <v>0.23124778635308654</v>
      </c>
      <c r="W49" s="13">
        <f t="shared" ca="1" si="5"/>
        <v>0</v>
      </c>
      <c r="X49" s="4">
        <f t="shared" ca="1" si="6"/>
        <v>0</v>
      </c>
      <c r="AE49" s="4"/>
    </row>
    <row r="50" spans="1:31">
      <c r="A50">
        <v>0</v>
      </c>
      <c r="B50">
        <v>1</v>
      </c>
      <c r="C50">
        <f t="shared" si="16"/>
        <v>3</v>
      </c>
      <c r="D50">
        <f t="shared" si="7"/>
        <v>1</v>
      </c>
      <c r="E50">
        <f t="shared" si="8"/>
        <v>0</v>
      </c>
      <c r="F50" s="100">
        <f t="shared" ca="1" si="17"/>
        <v>0.18020274999999999</v>
      </c>
      <c r="G50">
        <v>1</v>
      </c>
      <c r="H50">
        <v>1</v>
      </c>
      <c r="I50">
        <v>7</v>
      </c>
      <c r="J50" s="1">
        <f t="shared" ca="1" si="9"/>
        <v>0</v>
      </c>
      <c r="K50" s="1">
        <f t="shared" ca="1" si="10"/>
        <v>0</v>
      </c>
      <c r="L50" s="13">
        <f t="shared" ca="1" si="11"/>
        <v>215</v>
      </c>
      <c r="M50" s="7">
        <f t="shared" ca="1" si="12"/>
        <v>785</v>
      </c>
      <c r="N50" s="44">
        <f t="shared" ca="1" si="13"/>
        <v>10</v>
      </c>
      <c r="O50" s="94">
        <f t="shared" ca="1" si="14"/>
        <v>2.5999636871582168</v>
      </c>
      <c r="P50" s="94">
        <f t="shared" ca="1" si="0"/>
        <v>25.999636871582165</v>
      </c>
      <c r="Q50" s="94">
        <f t="shared" ca="1" si="1"/>
        <v>25.999636871582165</v>
      </c>
      <c r="R50" s="94">
        <f t="shared" ca="1" si="2"/>
        <v>2.5999636871582164</v>
      </c>
      <c r="S50" s="94">
        <f t="shared" ca="1" si="18"/>
        <v>2.5999636871582168</v>
      </c>
      <c r="T50" s="4">
        <f t="shared" ca="1" si="3"/>
        <v>0</v>
      </c>
      <c r="U50" s="46">
        <f t="shared" ca="1" si="15"/>
        <v>1350.360460436222</v>
      </c>
      <c r="V50" s="4">
        <f t="shared" ca="1" si="4"/>
        <v>0</v>
      </c>
      <c r="W50" s="13">
        <f t="shared" ca="1" si="5"/>
        <v>12313.142557895597</v>
      </c>
      <c r="X50" s="4">
        <f t="shared" ca="1" si="6"/>
        <v>0</v>
      </c>
      <c r="AE50" s="4"/>
    </row>
    <row r="51" spans="1:31">
      <c r="A51">
        <v>0</v>
      </c>
      <c r="B51">
        <v>1</v>
      </c>
      <c r="C51">
        <f t="shared" si="16"/>
        <v>3</v>
      </c>
      <c r="D51">
        <f t="shared" si="7"/>
        <v>1</v>
      </c>
      <c r="E51">
        <f t="shared" si="8"/>
        <v>0</v>
      </c>
      <c r="F51" s="100">
        <f t="shared" ca="1" si="17"/>
        <v>0.18020274999999999</v>
      </c>
      <c r="G51">
        <v>1</v>
      </c>
      <c r="H51">
        <v>1</v>
      </c>
      <c r="I51">
        <v>6</v>
      </c>
      <c r="J51" s="1">
        <f t="shared" ca="1" si="9"/>
        <v>0</v>
      </c>
      <c r="K51" s="1">
        <f t="shared" ca="1" si="10"/>
        <v>0</v>
      </c>
      <c r="L51" s="13">
        <f t="shared" ca="1" si="11"/>
        <v>202</v>
      </c>
      <c r="M51" s="7">
        <f t="shared" ca="1" si="12"/>
        <v>798</v>
      </c>
      <c r="N51" s="44">
        <f t="shared" ca="1" si="13"/>
        <v>10</v>
      </c>
      <c r="O51" s="94">
        <f t="shared" ca="1" si="14"/>
        <v>2.5999636871582168</v>
      </c>
      <c r="P51" s="94">
        <f t="shared" ca="1" si="0"/>
        <v>25.999636871582165</v>
      </c>
      <c r="Q51" s="94">
        <f t="shared" ca="1" si="1"/>
        <v>25.999636871582165</v>
      </c>
      <c r="R51" s="94">
        <f t="shared" ca="1" si="2"/>
        <v>2.5999636871582164</v>
      </c>
      <c r="S51" s="94">
        <f t="shared" ca="1" si="18"/>
        <v>2.5999636871582168</v>
      </c>
      <c r="T51" s="4">
        <f t="shared" ca="1" si="3"/>
        <v>0</v>
      </c>
      <c r="U51" s="46">
        <f t="shared" ca="1" si="15"/>
        <v>1337.360460436222</v>
      </c>
      <c r="V51" s="4">
        <f t="shared" ca="1" si="4"/>
        <v>0</v>
      </c>
      <c r="W51" s="13">
        <f t="shared" ca="1" si="5"/>
        <v>11478.326063848626</v>
      </c>
      <c r="X51" s="4">
        <f t="shared" ca="1" si="6"/>
        <v>0</v>
      </c>
      <c r="AE51" s="4"/>
    </row>
    <row r="52" spans="1:31">
      <c r="A52">
        <v>0</v>
      </c>
      <c r="B52">
        <v>1</v>
      </c>
      <c r="C52">
        <f t="shared" si="16"/>
        <v>3</v>
      </c>
      <c r="D52">
        <f t="shared" si="7"/>
        <v>1</v>
      </c>
      <c r="E52">
        <f t="shared" si="8"/>
        <v>0</v>
      </c>
      <c r="F52" s="100">
        <f t="shared" ca="1" si="17"/>
        <v>0.18020274999999999</v>
      </c>
      <c r="G52">
        <v>1</v>
      </c>
      <c r="H52">
        <v>1</v>
      </c>
      <c r="I52">
        <v>5</v>
      </c>
      <c r="J52" s="1">
        <f t="shared" ca="1" si="9"/>
        <v>0</v>
      </c>
      <c r="K52" s="1">
        <f t="shared" ca="1" si="10"/>
        <v>0</v>
      </c>
      <c r="L52" s="13">
        <f t="shared" ca="1" si="11"/>
        <v>189</v>
      </c>
      <c r="M52" s="7">
        <f t="shared" ca="1" si="12"/>
        <v>811</v>
      </c>
      <c r="N52" s="44">
        <f t="shared" ca="1" si="13"/>
        <v>11</v>
      </c>
      <c r="O52" s="94">
        <f t="shared" ca="1" si="14"/>
        <v>2.8397004155948178</v>
      </c>
      <c r="P52" s="94">
        <f t="shared" ca="1" si="0"/>
        <v>28.397004155948181</v>
      </c>
      <c r="Q52" s="94">
        <f t="shared" ca="1" si="1"/>
        <v>25.999636871582165</v>
      </c>
      <c r="R52" s="94">
        <f t="shared" ca="1" si="2"/>
        <v>2.7198320513765175</v>
      </c>
      <c r="S52" s="94">
        <f t="shared" ca="1" si="18"/>
        <v>2.8397004155948178</v>
      </c>
      <c r="T52" s="4">
        <f t="shared" ca="1" si="3"/>
        <v>0</v>
      </c>
      <c r="U52" s="46">
        <f t="shared" ca="1" si="15"/>
        <v>1412.1639413314356</v>
      </c>
      <c r="V52" s="4">
        <f t="shared" ca="1" si="4"/>
        <v>0</v>
      </c>
      <c r="W52" s="13">
        <f t="shared" ca="1" si="5"/>
        <v>10643.509569801656</v>
      </c>
      <c r="X52" s="4">
        <f t="shared" ca="1" si="6"/>
        <v>0</v>
      </c>
      <c r="AE52" s="4"/>
    </row>
    <row r="53" spans="1:31">
      <c r="A53">
        <v>0</v>
      </c>
      <c r="B53">
        <v>1</v>
      </c>
      <c r="C53">
        <f t="shared" si="16"/>
        <v>3</v>
      </c>
      <c r="D53">
        <f t="shared" si="7"/>
        <v>1</v>
      </c>
      <c r="E53">
        <f t="shared" si="8"/>
        <v>0</v>
      </c>
      <c r="F53" s="100">
        <f t="shared" ca="1" si="17"/>
        <v>0.18020274999999999</v>
      </c>
      <c r="G53">
        <v>1</v>
      </c>
      <c r="H53">
        <v>1</v>
      </c>
      <c r="I53">
        <v>4</v>
      </c>
      <c r="J53" s="1">
        <f t="shared" ca="1" si="9"/>
        <v>0</v>
      </c>
      <c r="K53" s="1">
        <f t="shared" ca="1" si="10"/>
        <v>0</v>
      </c>
      <c r="L53" s="13">
        <f t="shared" ca="1" si="11"/>
        <v>176</v>
      </c>
      <c r="M53" s="7">
        <f t="shared" ca="1" si="12"/>
        <v>824</v>
      </c>
      <c r="N53" s="44">
        <f t="shared" ca="1" si="13"/>
        <v>11</v>
      </c>
      <c r="O53" s="94">
        <f t="shared" ca="1" si="14"/>
        <v>2.8397004155948178</v>
      </c>
      <c r="P53" s="94">
        <f t="shared" ca="1" si="0"/>
        <v>28.397004155948181</v>
      </c>
      <c r="Q53" s="94">
        <f t="shared" ca="1" si="1"/>
        <v>28.397004155948181</v>
      </c>
      <c r="R53" s="94">
        <f t="shared" ca="1" si="2"/>
        <v>2.8397004155948182</v>
      </c>
      <c r="S53" s="94">
        <f t="shared" ca="1" si="18"/>
        <v>2.8397004155948178</v>
      </c>
      <c r="T53" s="4">
        <f t="shared" ca="1" si="3"/>
        <v>0</v>
      </c>
      <c r="U53" s="46">
        <f t="shared" ca="1" si="15"/>
        <v>1399.1639413314356</v>
      </c>
      <c r="V53" s="4">
        <f t="shared" ca="1" si="4"/>
        <v>0</v>
      </c>
      <c r="W53" s="13">
        <f t="shared" ca="1" si="5"/>
        <v>9808.693075754687</v>
      </c>
      <c r="X53" s="4">
        <f t="shared" ca="1" si="6"/>
        <v>0</v>
      </c>
      <c r="AE53" s="4"/>
    </row>
    <row r="54" spans="1:31">
      <c r="A54">
        <v>0</v>
      </c>
      <c r="B54">
        <v>1</v>
      </c>
      <c r="C54">
        <f t="shared" si="16"/>
        <v>3</v>
      </c>
      <c r="D54">
        <f t="shared" si="7"/>
        <v>1</v>
      </c>
      <c r="E54">
        <f t="shared" si="8"/>
        <v>0</v>
      </c>
      <c r="F54" s="100">
        <f t="shared" ca="1" si="17"/>
        <v>0.18020274999999999</v>
      </c>
      <c r="G54">
        <v>1</v>
      </c>
      <c r="H54">
        <v>1</v>
      </c>
      <c r="I54">
        <v>3</v>
      </c>
      <c r="J54" s="1">
        <f t="shared" ca="1" si="9"/>
        <v>0</v>
      </c>
      <c r="K54" s="1">
        <f t="shared" ca="1" si="10"/>
        <v>0</v>
      </c>
      <c r="L54" s="13">
        <f t="shared" ca="1" si="11"/>
        <v>163</v>
      </c>
      <c r="M54" s="7">
        <f t="shared" ca="1" si="12"/>
        <v>837</v>
      </c>
      <c r="N54" s="44">
        <f t="shared" ca="1" si="13"/>
        <v>11</v>
      </c>
      <c r="O54" s="94">
        <f t="shared" ca="1" si="14"/>
        <v>2.8397004155948178</v>
      </c>
      <c r="P54" s="94">
        <f t="shared" ca="1" si="0"/>
        <v>28.397004155948181</v>
      </c>
      <c r="Q54" s="94">
        <f t="shared" ca="1" si="1"/>
        <v>28.397004155948181</v>
      </c>
      <c r="R54" s="94">
        <f t="shared" ca="1" si="2"/>
        <v>2.8397004155948182</v>
      </c>
      <c r="S54" s="94">
        <f t="shared" ca="1" si="18"/>
        <v>2.8397004155948178</v>
      </c>
      <c r="T54" s="4">
        <f t="shared" ca="1" si="3"/>
        <v>0</v>
      </c>
      <c r="U54" s="46">
        <f t="shared" ca="1" si="15"/>
        <v>1386.1639413314356</v>
      </c>
      <c r="V54" s="4">
        <f t="shared" ca="1" si="4"/>
        <v>0</v>
      </c>
      <c r="W54" s="13">
        <f t="shared" ca="1" si="5"/>
        <v>8973.8765817077146</v>
      </c>
      <c r="X54" s="4">
        <f t="shared" ca="1" si="6"/>
        <v>0</v>
      </c>
      <c r="AE54" s="4"/>
    </row>
    <row r="55" spans="1:31">
      <c r="A55">
        <v>0</v>
      </c>
      <c r="B55">
        <v>1</v>
      </c>
      <c r="C55">
        <f t="shared" si="16"/>
        <v>3</v>
      </c>
      <c r="D55">
        <f t="shared" si="7"/>
        <v>1</v>
      </c>
      <c r="E55">
        <f t="shared" si="8"/>
        <v>0</v>
      </c>
      <c r="F55" s="100">
        <f t="shared" ca="1" si="17"/>
        <v>0.18020274999999999</v>
      </c>
      <c r="G55">
        <v>1</v>
      </c>
      <c r="H55">
        <v>1</v>
      </c>
      <c r="I55">
        <v>2</v>
      </c>
      <c r="J55" s="1">
        <f t="shared" ca="1" si="9"/>
        <v>0</v>
      </c>
      <c r="K55" s="1">
        <f t="shared" ca="1" si="10"/>
        <v>0</v>
      </c>
      <c r="L55" s="13">
        <f t="shared" ca="1" si="11"/>
        <v>150</v>
      </c>
      <c r="M55" s="7">
        <f t="shared" ca="1" si="12"/>
        <v>850</v>
      </c>
      <c r="N55" s="44">
        <f t="shared" ca="1" si="13"/>
        <v>11</v>
      </c>
      <c r="O55" s="94">
        <f t="shared" ca="1" si="14"/>
        <v>2.8397004155948178</v>
      </c>
      <c r="P55" s="94">
        <f t="shared" ca="1" si="0"/>
        <v>28.397004155948181</v>
      </c>
      <c r="Q55" s="94">
        <f t="shared" ca="1" si="1"/>
        <v>28.397004155948181</v>
      </c>
      <c r="R55" s="94">
        <f t="shared" ca="1" si="2"/>
        <v>2.8397004155948182</v>
      </c>
      <c r="S55" s="94">
        <f t="shared" ca="1" si="18"/>
        <v>2.8397004155948178</v>
      </c>
      <c r="T55" s="4">
        <f t="shared" ca="1" si="3"/>
        <v>0</v>
      </c>
      <c r="U55" s="46">
        <f t="shared" ca="1" si="15"/>
        <v>1373.1639413314356</v>
      </c>
      <c r="V55" s="4">
        <f t="shared" ca="1" si="4"/>
        <v>0</v>
      </c>
      <c r="W55" s="13">
        <f t="shared" ca="1" si="5"/>
        <v>8139.0600876607459</v>
      </c>
      <c r="X55" s="4">
        <f t="shared" ca="1" si="6"/>
        <v>0</v>
      </c>
      <c r="AE55" s="4"/>
    </row>
    <row r="56" spans="1:31">
      <c r="A56">
        <v>0</v>
      </c>
      <c r="B56">
        <v>1</v>
      </c>
      <c r="C56">
        <f t="shared" si="16"/>
        <v>3</v>
      </c>
      <c r="D56">
        <f t="shared" si="7"/>
        <v>1</v>
      </c>
      <c r="E56">
        <f t="shared" si="8"/>
        <v>0</v>
      </c>
      <c r="F56" s="100">
        <f t="shared" ca="1" si="17"/>
        <v>0.18020274999999999</v>
      </c>
      <c r="G56">
        <v>1</v>
      </c>
      <c r="H56">
        <v>1</v>
      </c>
      <c r="I56">
        <v>1</v>
      </c>
      <c r="J56" s="1">
        <f t="shared" ca="1" si="9"/>
        <v>0.93109500000000001</v>
      </c>
      <c r="K56" s="1">
        <f t="shared" ca="1" si="10"/>
        <v>0.16778587951124999</v>
      </c>
      <c r="L56" s="13">
        <f ca="1">MAX((G56+H56)*Set1WSTP + I56*$B$6, Set1SaveTP)</f>
        <v>137</v>
      </c>
      <c r="M56" s="7">
        <f t="shared" ca="1" si="12"/>
        <v>863</v>
      </c>
      <c r="N56" s="44">
        <f t="shared" ca="1" si="13"/>
        <v>11</v>
      </c>
      <c r="O56" s="94">
        <f t="shared" ca="1" si="14"/>
        <v>2.8397004155948178</v>
      </c>
      <c r="P56" s="94">
        <f t="shared" ca="1" si="0"/>
        <v>28.397004155948181</v>
      </c>
      <c r="Q56" s="94">
        <f t="shared" ca="1" si="1"/>
        <v>28.397004155948181</v>
      </c>
      <c r="R56" s="94">
        <f t="shared" ca="1" si="2"/>
        <v>2.8397004155948182</v>
      </c>
      <c r="S56" s="94">
        <f t="shared" ca="1" si="18"/>
        <v>2.8397004155948178</v>
      </c>
      <c r="T56" s="4">
        <f t="shared" ca="1" si="3"/>
        <v>0.47646163177903861</v>
      </c>
      <c r="U56" s="46">
        <f t="shared" ca="1" si="15"/>
        <v>1360.1639413314356</v>
      </c>
      <c r="V56" s="4">
        <f t="shared" ca="1" si="4"/>
        <v>228.21630317578314</v>
      </c>
      <c r="W56" s="13">
        <f t="shared" ca="1" si="5"/>
        <v>7304.2435936137754</v>
      </c>
      <c r="X56" s="4">
        <f t="shared" ca="1" si="6"/>
        <v>1225.5489355189004</v>
      </c>
      <c r="AE56" s="4"/>
    </row>
    <row r="57" spans="1:31">
      <c r="A57">
        <v>0</v>
      </c>
      <c r="B57">
        <v>1</v>
      </c>
      <c r="C57">
        <f t="shared" si="16"/>
        <v>3</v>
      </c>
      <c r="D57">
        <f t="shared" si="7"/>
        <v>1</v>
      </c>
      <c r="E57">
        <f t="shared" si="8"/>
        <v>0</v>
      </c>
      <c r="F57" s="100">
        <f t="shared" ca="1" si="17"/>
        <v>0.18020274999999999</v>
      </c>
      <c r="G57">
        <v>1</v>
      </c>
      <c r="H57">
        <v>1</v>
      </c>
      <c r="I57">
        <v>0</v>
      </c>
      <c r="J57" s="1">
        <f t="shared" ca="1" si="9"/>
        <v>9.4050000000000088E-3</v>
      </c>
      <c r="K57" s="1">
        <f t="shared" ca="1" si="10"/>
        <v>1.6948068637500015E-3</v>
      </c>
      <c r="L57" s="13">
        <f t="shared" ca="1" si="11"/>
        <v>124</v>
      </c>
      <c r="M57" s="7">
        <f t="shared" ca="1" si="12"/>
        <v>876</v>
      </c>
      <c r="N57" s="44">
        <f t="shared" ca="1" si="13"/>
        <v>11</v>
      </c>
      <c r="O57" s="94">
        <f t="shared" ca="1" si="14"/>
        <v>2.8397004155948178</v>
      </c>
      <c r="P57" s="94">
        <f t="shared" ca="1" si="0"/>
        <v>28.397004155948181</v>
      </c>
      <c r="Q57" s="94">
        <f t="shared" ca="1" si="1"/>
        <v>28.397004155948181</v>
      </c>
      <c r="R57" s="94">
        <f t="shared" ca="1" si="2"/>
        <v>2.8397004155948182</v>
      </c>
      <c r="S57" s="94">
        <f t="shared" ca="1" si="18"/>
        <v>2.8397004155948178</v>
      </c>
      <c r="T57" s="4">
        <f t="shared" ca="1" si="3"/>
        <v>4.8127437553438287E-3</v>
      </c>
      <c r="U57" s="46">
        <f t="shared" ca="1" si="15"/>
        <v>1347.1639413314356</v>
      </c>
      <c r="V57" s="4">
        <f t="shared" ca="1" si="4"/>
        <v>2.2831826943650215</v>
      </c>
      <c r="W57" s="13">
        <f t="shared" ca="1" si="5"/>
        <v>6469.4270995668048</v>
      </c>
      <c r="X57" s="4">
        <f t="shared" ca="1" si="6"/>
        <v>10.964429452876086</v>
      </c>
      <c r="AE57" s="4"/>
    </row>
    <row r="58" spans="1:31">
      <c r="A58">
        <v>0</v>
      </c>
      <c r="B58">
        <v>1</v>
      </c>
      <c r="C58">
        <f t="shared" si="16"/>
        <v>3</v>
      </c>
      <c r="D58">
        <f t="shared" si="7"/>
        <v>1</v>
      </c>
      <c r="E58">
        <f t="shared" si="8"/>
        <v>0</v>
      </c>
      <c r="F58" s="100">
        <f t="shared" ca="1" si="17"/>
        <v>0.18020274999999999</v>
      </c>
      <c r="G58">
        <v>1</v>
      </c>
      <c r="H58">
        <v>0</v>
      </c>
      <c r="I58">
        <v>7</v>
      </c>
      <c r="J58" s="1">
        <f t="shared" ca="1" si="9"/>
        <v>0</v>
      </c>
      <c r="K58" s="1">
        <f t="shared" ca="1" si="10"/>
        <v>0</v>
      </c>
      <c r="L58" s="13">
        <f t="shared" ca="1" si="11"/>
        <v>153</v>
      </c>
      <c r="M58" s="7">
        <f t="shared" ca="1" si="12"/>
        <v>847</v>
      </c>
      <c r="N58" s="44">
        <f t="shared" ca="1" si="13"/>
        <v>11</v>
      </c>
      <c r="O58" s="94">
        <f t="shared" ca="1" si="14"/>
        <v>2.8397004155948178</v>
      </c>
      <c r="P58" s="94">
        <f t="shared" ca="1" si="0"/>
        <v>28.397004155948181</v>
      </c>
      <c r="Q58" s="94">
        <f t="shared" ca="1" si="1"/>
        <v>28.397004155948181</v>
      </c>
      <c r="R58" s="94">
        <f t="shared" ca="1" si="2"/>
        <v>2.8397004155948182</v>
      </c>
      <c r="S58" s="94">
        <f t="shared" ca="1" si="18"/>
        <v>2.8397004155948178</v>
      </c>
      <c r="T58" s="4">
        <f t="shared" ca="1" si="3"/>
        <v>0</v>
      </c>
      <c r="U58" s="46">
        <f t="shared" ca="1" si="15"/>
        <v>1376.1639413314356</v>
      </c>
      <c r="V58" s="4">
        <f t="shared" ca="1" si="4"/>
        <v>0</v>
      </c>
      <c r="W58" s="13">
        <f t="shared" ca="1" si="5"/>
        <v>11687.430916657584</v>
      </c>
      <c r="X58" s="4">
        <f t="shared" ca="1" si="6"/>
        <v>0</v>
      </c>
      <c r="AE58" s="4"/>
    </row>
    <row r="59" spans="1:31">
      <c r="A59">
        <v>0</v>
      </c>
      <c r="B59">
        <v>1</v>
      </c>
      <c r="C59">
        <f t="shared" si="16"/>
        <v>3</v>
      </c>
      <c r="D59">
        <f t="shared" si="7"/>
        <v>1</v>
      </c>
      <c r="E59">
        <f t="shared" si="8"/>
        <v>0</v>
      </c>
      <c r="F59" s="100">
        <f t="shared" ca="1" si="17"/>
        <v>0.18020274999999999</v>
      </c>
      <c r="G59">
        <v>1</v>
      </c>
      <c r="H59">
        <v>0</v>
      </c>
      <c r="I59">
        <v>6</v>
      </c>
      <c r="J59" s="1">
        <f t="shared" ca="1" si="9"/>
        <v>0</v>
      </c>
      <c r="K59" s="1">
        <f t="shared" ca="1" si="10"/>
        <v>0</v>
      </c>
      <c r="L59" s="13">
        <f t="shared" ca="1" si="11"/>
        <v>140</v>
      </c>
      <c r="M59" s="7">
        <f t="shared" ca="1" si="12"/>
        <v>860</v>
      </c>
      <c r="N59" s="44">
        <f t="shared" ca="1" si="13"/>
        <v>11</v>
      </c>
      <c r="O59" s="94">
        <f t="shared" ca="1" si="14"/>
        <v>2.8397004155948178</v>
      </c>
      <c r="P59" s="94">
        <f t="shared" ca="1" si="0"/>
        <v>28.397004155948181</v>
      </c>
      <c r="Q59" s="94">
        <f t="shared" ca="1" si="1"/>
        <v>28.397004155948181</v>
      </c>
      <c r="R59" s="94">
        <f t="shared" ca="1" si="2"/>
        <v>2.8397004155948182</v>
      </c>
      <c r="S59" s="94">
        <f t="shared" ca="1" si="18"/>
        <v>2.8397004155948178</v>
      </c>
      <c r="T59" s="4">
        <f t="shared" ca="1" si="3"/>
        <v>0</v>
      </c>
      <c r="U59" s="46">
        <f t="shared" ca="1" si="15"/>
        <v>1363.1639413314356</v>
      </c>
      <c r="V59" s="4">
        <f t="shared" ca="1" si="4"/>
        <v>0</v>
      </c>
      <c r="W59" s="13">
        <f t="shared" ca="1" si="5"/>
        <v>10852.614422610615</v>
      </c>
      <c r="X59" s="4">
        <f t="shared" ca="1" si="6"/>
        <v>0</v>
      </c>
      <c r="AE59" s="4"/>
    </row>
    <row r="60" spans="1:31">
      <c r="A60">
        <v>0</v>
      </c>
      <c r="B60">
        <v>1</v>
      </c>
      <c r="C60">
        <f t="shared" si="16"/>
        <v>3</v>
      </c>
      <c r="D60">
        <f t="shared" si="7"/>
        <v>1</v>
      </c>
      <c r="E60">
        <f t="shared" si="8"/>
        <v>0</v>
      </c>
      <c r="F60" s="100">
        <f t="shared" ca="1" si="17"/>
        <v>0.18020274999999999</v>
      </c>
      <c r="G60">
        <v>1</v>
      </c>
      <c r="H60">
        <v>0</v>
      </c>
      <c r="I60">
        <v>5</v>
      </c>
      <c r="J60" s="1">
        <f t="shared" ca="1" si="9"/>
        <v>0</v>
      </c>
      <c r="K60" s="1">
        <f t="shared" ca="1" si="10"/>
        <v>0</v>
      </c>
      <c r="L60" s="13">
        <f t="shared" ca="1" si="11"/>
        <v>127</v>
      </c>
      <c r="M60" s="7">
        <f t="shared" ca="1" si="12"/>
        <v>873</v>
      </c>
      <c r="N60" s="44">
        <f t="shared" ca="1" si="13"/>
        <v>11</v>
      </c>
      <c r="O60" s="94">
        <f t="shared" ca="1" si="14"/>
        <v>2.8397004155948178</v>
      </c>
      <c r="P60" s="94">
        <f t="shared" ca="1" si="0"/>
        <v>28.397004155948181</v>
      </c>
      <c r="Q60" s="94">
        <f t="shared" ca="1" si="1"/>
        <v>28.397004155948181</v>
      </c>
      <c r="R60" s="94">
        <f t="shared" ca="1" si="2"/>
        <v>2.8397004155948182</v>
      </c>
      <c r="S60" s="94">
        <f t="shared" ca="1" si="18"/>
        <v>2.8397004155948178</v>
      </c>
      <c r="T60" s="4">
        <f t="shared" ca="1" si="3"/>
        <v>0</v>
      </c>
      <c r="U60" s="46">
        <f t="shared" ca="1" si="15"/>
        <v>1350.1639413314356</v>
      </c>
      <c r="V60" s="4">
        <f t="shared" ca="1" si="4"/>
        <v>0</v>
      </c>
      <c r="W60" s="13">
        <f t="shared" ca="1" si="5"/>
        <v>10017.797928563645</v>
      </c>
      <c r="X60" s="4">
        <f t="shared" ca="1" si="6"/>
        <v>0</v>
      </c>
      <c r="AE60" s="4"/>
    </row>
    <row r="61" spans="1:31">
      <c r="A61">
        <v>0</v>
      </c>
      <c r="B61">
        <v>1</v>
      </c>
      <c r="C61">
        <f t="shared" si="16"/>
        <v>3</v>
      </c>
      <c r="D61">
        <f t="shared" si="7"/>
        <v>1</v>
      </c>
      <c r="E61">
        <f t="shared" si="8"/>
        <v>0</v>
      </c>
      <c r="F61" s="100">
        <f t="shared" ca="1" si="17"/>
        <v>0.18020274999999999</v>
      </c>
      <c r="G61">
        <v>1</v>
      </c>
      <c r="H61">
        <v>0</v>
      </c>
      <c r="I61">
        <v>4</v>
      </c>
      <c r="J61" s="1">
        <f t="shared" ca="1" si="9"/>
        <v>0</v>
      </c>
      <c r="K61" s="1">
        <f t="shared" ca="1" si="10"/>
        <v>0</v>
      </c>
      <c r="L61" s="13">
        <f t="shared" ca="1" si="11"/>
        <v>114</v>
      </c>
      <c r="M61" s="7">
        <f t="shared" ca="1" si="12"/>
        <v>886</v>
      </c>
      <c r="N61" s="44">
        <f t="shared" ca="1" si="13"/>
        <v>12</v>
      </c>
      <c r="O61" s="94">
        <f t="shared" ca="1" si="14"/>
        <v>3.0624018806381534</v>
      </c>
      <c r="P61" s="94">
        <f t="shared" ca="1" si="0"/>
        <v>29.510511481164862</v>
      </c>
      <c r="Q61" s="94">
        <f t="shared" ca="1" si="1"/>
        <v>28.397004155948181</v>
      </c>
      <c r="R61" s="94">
        <f t="shared" ca="1" si="2"/>
        <v>2.8953757818556523</v>
      </c>
      <c r="S61" s="94">
        <f t="shared" ca="1" si="18"/>
        <v>3.0624018806381534</v>
      </c>
      <c r="T61" s="4">
        <f t="shared" ca="1" si="3"/>
        <v>0</v>
      </c>
      <c r="U61" s="46">
        <f t="shared" ca="1" si="15"/>
        <v>1418.7282638229713</v>
      </c>
      <c r="V61" s="4">
        <f t="shared" ca="1" si="4"/>
        <v>0</v>
      </c>
      <c r="W61" s="13">
        <f t="shared" ca="1" si="5"/>
        <v>9182.9814345166742</v>
      </c>
      <c r="X61" s="4">
        <f t="shared" ca="1" si="6"/>
        <v>0</v>
      </c>
      <c r="AE61" s="4"/>
    </row>
    <row r="62" spans="1:31">
      <c r="A62">
        <v>0</v>
      </c>
      <c r="B62">
        <v>1</v>
      </c>
      <c r="C62">
        <f t="shared" si="16"/>
        <v>3</v>
      </c>
      <c r="D62">
        <f t="shared" si="7"/>
        <v>1</v>
      </c>
      <c r="E62">
        <f t="shared" si="8"/>
        <v>0</v>
      </c>
      <c r="F62" s="100">
        <f t="shared" ca="1" si="17"/>
        <v>0.18020274999999999</v>
      </c>
      <c r="G62">
        <v>1</v>
      </c>
      <c r="H62">
        <v>0</v>
      </c>
      <c r="I62">
        <v>3</v>
      </c>
      <c r="J62" s="1">
        <f t="shared" ca="1" si="9"/>
        <v>0</v>
      </c>
      <c r="K62" s="1">
        <f t="shared" ca="1" si="10"/>
        <v>0</v>
      </c>
      <c r="L62" s="13">
        <f t="shared" ca="1" si="11"/>
        <v>101</v>
      </c>
      <c r="M62" s="7">
        <f t="shared" ca="1" si="12"/>
        <v>899</v>
      </c>
      <c r="N62" s="44">
        <f t="shared" ca="1" si="13"/>
        <v>12</v>
      </c>
      <c r="O62" s="94">
        <f t="shared" ca="1" si="14"/>
        <v>3.0624018806381534</v>
      </c>
      <c r="P62" s="94">
        <f t="shared" ca="1" si="0"/>
        <v>30.624018806381528</v>
      </c>
      <c r="Q62" s="94">
        <f t="shared" ca="1" si="1"/>
        <v>30.178615876294863</v>
      </c>
      <c r="R62" s="94">
        <f t="shared" ca="1" si="2"/>
        <v>3.0401317341338197</v>
      </c>
      <c r="S62" s="94">
        <f t="shared" ca="1" si="18"/>
        <v>3.0624018806381534</v>
      </c>
      <c r="T62" s="4">
        <f t="shared" ca="1" si="3"/>
        <v>0</v>
      </c>
      <c r="U62" s="46">
        <f t="shared" ca="1" si="15"/>
        <v>1405.7282638229713</v>
      </c>
      <c r="V62" s="4">
        <f t="shared" ca="1" si="4"/>
        <v>0</v>
      </c>
      <c r="W62" s="13">
        <f t="shared" ca="1" si="5"/>
        <v>8348.1649404697037</v>
      </c>
      <c r="X62" s="4">
        <f t="shared" ca="1" si="6"/>
        <v>0</v>
      </c>
      <c r="AE62" s="4"/>
    </row>
    <row r="63" spans="1:31">
      <c r="A63">
        <v>0</v>
      </c>
      <c r="B63">
        <v>1</v>
      </c>
      <c r="C63">
        <f t="shared" si="16"/>
        <v>3</v>
      </c>
      <c r="D63">
        <f t="shared" si="7"/>
        <v>1</v>
      </c>
      <c r="E63">
        <f t="shared" si="8"/>
        <v>0</v>
      </c>
      <c r="F63" s="100">
        <f t="shared" ca="1" si="17"/>
        <v>0.18020274999999999</v>
      </c>
      <c r="G63">
        <v>1</v>
      </c>
      <c r="H63">
        <v>0</v>
      </c>
      <c r="I63">
        <v>2</v>
      </c>
      <c r="J63" s="1">
        <f t="shared" ca="1" si="9"/>
        <v>0</v>
      </c>
      <c r="K63" s="1">
        <f t="shared" ca="1" si="10"/>
        <v>0</v>
      </c>
      <c r="L63" s="13">
        <f t="shared" ca="1" si="11"/>
        <v>88</v>
      </c>
      <c r="M63" s="7">
        <f t="shared" ca="1" si="12"/>
        <v>912</v>
      </c>
      <c r="N63" s="44">
        <f t="shared" ca="1" si="13"/>
        <v>12</v>
      </c>
      <c r="O63" s="94">
        <f t="shared" ca="1" si="14"/>
        <v>3.0624018806381534</v>
      </c>
      <c r="P63" s="94">
        <f t="shared" ca="1" si="0"/>
        <v>30.624018806381528</v>
      </c>
      <c r="Q63" s="94">
        <f t="shared" ca="1" si="1"/>
        <v>30.624018806381528</v>
      </c>
      <c r="R63" s="94">
        <f t="shared" ca="1" si="2"/>
        <v>3.062401880638153</v>
      </c>
      <c r="S63" s="94">
        <f t="shared" ca="1" si="18"/>
        <v>3.0624018806381534</v>
      </c>
      <c r="T63" s="4">
        <f t="shared" ca="1" si="3"/>
        <v>0</v>
      </c>
      <c r="U63" s="46">
        <f t="shared" ca="1" si="15"/>
        <v>1392.7282638229713</v>
      </c>
      <c r="V63" s="4">
        <f t="shared" ca="1" si="4"/>
        <v>0</v>
      </c>
      <c r="W63" s="13">
        <f t="shared" ca="1" si="5"/>
        <v>7513.3484464227331</v>
      </c>
      <c r="X63" s="4">
        <f t="shared" ca="1" si="6"/>
        <v>0</v>
      </c>
      <c r="AE63" s="4"/>
    </row>
    <row r="64" spans="1:31">
      <c r="A64">
        <v>0</v>
      </c>
      <c r="B64">
        <v>1</v>
      </c>
      <c r="C64">
        <f t="shared" si="16"/>
        <v>3</v>
      </c>
      <c r="D64">
        <f t="shared" si="7"/>
        <v>1</v>
      </c>
      <c r="E64">
        <f t="shared" si="8"/>
        <v>0</v>
      </c>
      <c r="F64" s="100">
        <f t="shared" ca="1" si="17"/>
        <v>0.18020274999999999</v>
      </c>
      <c r="G64">
        <v>1</v>
      </c>
      <c r="H64">
        <v>0</v>
      </c>
      <c r="I64">
        <v>1</v>
      </c>
      <c r="J64" s="1">
        <f t="shared" ca="1" si="9"/>
        <v>9.4050000000000088E-3</v>
      </c>
      <c r="K64" s="1">
        <f t="shared" ca="1" si="10"/>
        <v>1.6948068637500015E-3</v>
      </c>
      <c r="L64" s="13">
        <f t="shared" ca="1" si="11"/>
        <v>75</v>
      </c>
      <c r="M64" s="7">
        <f t="shared" ca="1" si="12"/>
        <v>925</v>
      </c>
      <c r="N64" s="44">
        <f t="shared" ca="1" si="13"/>
        <v>12</v>
      </c>
      <c r="O64" s="94">
        <f t="shared" ca="1" si="14"/>
        <v>3.0624018806381534</v>
      </c>
      <c r="P64" s="94">
        <f t="shared" ca="1" si="0"/>
        <v>30.624018806381528</v>
      </c>
      <c r="Q64" s="94">
        <f t="shared" ca="1" si="1"/>
        <v>30.624018806381528</v>
      </c>
      <c r="R64" s="94">
        <f t="shared" ca="1" si="2"/>
        <v>3.062401880638153</v>
      </c>
      <c r="S64" s="94">
        <f t="shared" ca="1" si="18"/>
        <v>3.0624018806381534</v>
      </c>
      <c r="T64" s="4">
        <f t="shared" ca="1" si="3"/>
        <v>5.1901797268664555E-3</v>
      </c>
      <c r="U64" s="46">
        <f t="shared" ca="1" si="15"/>
        <v>1379.7282638229713</v>
      </c>
      <c r="V64" s="4">
        <f t="shared" ca="1" si="4"/>
        <v>2.3383729316370445</v>
      </c>
      <c r="W64" s="13">
        <f t="shared" ca="1" si="5"/>
        <v>6678.5319523757635</v>
      </c>
      <c r="X64" s="4">
        <f t="shared" ca="1" si="6"/>
        <v>11.318821792660142</v>
      </c>
      <c r="AE64" s="4"/>
    </row>
    <row r="65" spans="1:31">
      <c r="A65">
        <v>0</v>
      </c>
      <c r="B65">
        <v>1</v>
      </c>
      <c r="C65">
        <f t="shared" si="16"/>
        <v>3</v>
      </c>
      <c r="D65">
        <f t="shared" si="7"/>
        <v>1</v>
      </c>
      <c r="E65">
        <f t="shared" si="8"/>
        <v>0</v>
      </c>
      <c r="F65" s="100">
        <f t="shared" ca="1" si="17"/>
        <v>0.18020274999999999</v>
      </c>
      <c r="G65">
        <v>1</v>
      </c>
      <c r="H65">
        <v>0</v>
      </c>
      <c r="I65">
        <v>0</v>
      </c>
      <c r="J65" s="1">
        <f t="shared" ca="1" si="9"/>
        <v>9.5000000000000168E-5</v>
      </c>
      <c r="K65" s="1">
        <f t="shared" ca="1" si="10"/>
        <v>1.711926125000003E-5</v>
      </c>
      <c r="L65" s="13">
        <f t="shared" ca="1" si="11"/>
        <v>62</v>
      </c>
      <c r="M65" s="7">
        <f t="shared" ca="1" si="12"/>
        <v>938</v>
      </c>
      <c r="N65" s="44">
        <f t="shared" ca="1" si="13"/>
        <v>12</v>
      </c>
      <c r="O65" s="94">
        <f t="shared" ca="1" si="14"/>
        <v>3.0624018806381534</v>
      </c>
      <c r="P65" s="94">
        <f t="shared" ca="1" si="0"/>
        <v>30.624018806381528</v>
      </c>
      <c r="Q65" s="94">
        <f t="shared" ca="1" si="1"/>
        <v>30.624018806381528</v>
      </c>
      <c r="R65" s="94">
        <f t="shared" ca="1" si="2"/>
        <v>3.062401880638153</v>
      </c>
      <c r="S65" s="94">
        <f t="shared" ca="1" si="18"/>
        <v>3.0624018806381534</v>
      </c>
      <c r="T65" s="4">
        <f t="shared" ca="1" si="3"/>
        <v>5.2426057847135958E-5</v>
      </c>
      <c r="U65" s="46">
        <f t="shared" ca="1" si="15"/>
        <v>1366.7282638229713</v>
      </c>
      <c r="V65" s="4">
        <f t="shared" ca="1" si="4"/>
        <v>2.339737820614441E-2</v>
      </c>
      <c r="W65" s="13">
        <f t="shared" ca="1" si="5"/>
        <v>5843.7154583287929</v>
      </c>
      <c r="X65" s="4">
        <f t="shared" ca="1" si="6"/>
        <v>0.10004009160179426</v>
      </c>
      <c r="AE65" s="4"/>
    </row>
    <row r="66" spans="1:31">
      <c r="A66">
        <v>0</v>
      </c>
      <c r="B66">
        <v>1</v>
      </c>
      <c r="C66">
        <f t="shared" si="16"/>
        <v>3</v>
      </c>
      <c r="D66">
        <f t="shared" si="7"/>
        <v>1</v>
      </c>
      <c r="E66">
        <f t="shared" si="8"/>
        <v>0</v>
      </c>
      <c r="F66" s="100">
        <f t="shared" ca="1" si="17"/>
        <v>0.18020274999999999</v>
      </c>
      <c r="G66">
        <v>0</v>
      </c>
      <c r="H66">
        <v>1</v>
      </c>
      <c r="I66">
        <v>7</v>
      </c>
      <c r="J66" s="1">
        <f t="shared" ca="1" si="9"/>
        <v>0</v>
      </c>
      <c r="K66" s="1">
        <f t="shared" ca="1" si="10"/>
        <v>0</v>
      </c>
      <c r="L66" s="13">
        <f t="shared" ca="1" si="11"/>
        <v>153</v>
      </c>
      <c r="M66" s="7">
        <f t="shared" ca="1" si="12"/>
        <v>847</v>
      </c>
      <c r="N66" s="44">
        <f t="shared" ca="1" si="13"/>
        <v>11</v>
      </c>
      <c r="O66" s="94">
        <f t="shared" ca="1" si="14"/>
        <v>2.8397004155948178</v>
      </c>
      <c r="P66" s="94">
        <f t="shared" ca="1" si="0"/>
        <v>28.397004155948181</v>
      </c>
      <c r="Q66" s="94">
        <f t="shared" ca="1" si="1"/>
        <v>28.397004155948181</v>
      </c>
      <c r="R66" s="94">
        <f t="shared" ca="1" si="2"/>
        <v>2.8397004155948182</v>
      </c>
      <c r="S66" s="94">
        <f t="shared" ca="1" si="18"/>
        <v>2.8397004155948178</v>
      </c>
      <c r="T66" s="4">
        <f t="shared" ca="1" si="3"/>
        <v>0</v>
      </c>
      <c r="U66" s="46">
        <f t="shared" ca="1" si="15"/>
        <v>1376.1639413314356</v>
      </c>
      <c r="V66" s="4">
        <f t="shared" ca="1" si="4"/>
        <v>0</v>
      </c>
      <c r="W66" s="13">
        <f t="shared" ca="1" si="5"/>
        <v>6469.4270995668039</v>
      </c>
      <c r="X66" s="4">
        <f t="shared" ca="1" si="6"/>
        <v>0</v>
      </c>
      <c r="AE66" s="4"/>
    </row>
    <row r="67" spans="1:31">
      <c r="A67">
        <v>0</v>
      </c>
      <c r="B67">
        <v>1</v>
      </c>
      <c r="C67">
        <f t="shared" si="16"/>
        <v>3</v>
      </c>
      <c r="D67">
        <f t="shared" si="7"/>
        <v>1</v>
      </c>
      <c r="E67">
        <f t="shared" si="8"/>
        <v>0</v>
      </c>
      <c r="F67" s="100">
        <f t="shared" ca="1" si="17"/>
        <v>0.18020274999999999</v>
      </c>
      <c r="G67">
        <v>0</v>
      </c>
      <c r="H67">
        <v>1</v>
      </c>
      <c r="I67">
        <v>6</v>
      </c>
      <c r="J67" s="1">
        <f t="shared" ca="1" si="9"/>
        <v>0</v>
      </c>
      <c r="K67" s="1">
        <f t="shared" ca="1" si="10"/>
        <v>0</v>
      </c>
      <c r="L67" s="13">
        <f t="shared" ca="1" si="11"/>
        <v>140</v>
      </c>
      <c r="M67" s="7">
        <f t="shared" ca="1" si="12"/>
        <v>860</v>
      </c>
      <c r="N67" s="44">
        <f t="shared" ca="1" si="13"/>
        <v>11</v>
      </c>
      <c r="O67" s="94">
        <f t="shared" ca="1" si="14"/>
        <v>2.8397004155948178</v>
      </c>
      <c r="P67" s="94">
        <f t="shared" ca="1" si="0"/>
        <v>28.397004155948181</v>
      </c>
      <c r="Q67" s="94">
        <f t="shared" ca="1" si="1"/>
        <v>28.397004155948181</v>
      </c>
      <c r="R67" s="94">
        <f t="shared" ca="1" si="2"/>
        <v>2.8397004155948182</v>
      </c>
      <c r="S67" s="94">
        <f t="shared" ca="1" si="18"/>
        <v>2.8397004155948178</v>
      </c>
      <c r="T67" s="4">
        <f t="shared" ca="1" si="3"/>
        <v>0</v>
      </c>
      <c r="U67" s="46">
        <f t="shared" ca="1" si="15"/>
        <v>1363.1639413314356</v>
      </c>
      <c r="V67" s="4">
        <f t="shared" ca="1" si="4"/>
        <v>0</v>
      </c>
      <c r="W67" s="13">
        <f t="shared" ca="1" si="5"/>
        <v>5634.6106055198334</v>
      </c>
      <c r="X67" s="4">
        <f t="shared" ca="1" si="6"/>
        <v>0</v>
      </c>
      <c r="AE67" s="4"/>
    </row>
    <row r="68" spans="1:31">
      <c r="A68">
        <v>0</v>
      </c>
      <c r="B68">
        <v>1</v>
      </c>
      <c r="C68">
        <f t="shared" si="16"/>
        <v>3</v>
      </c>
      <c r="D68">
        <f t="shared" si="7"/>
        <v>1</v>
      </c>
      <c r="E68">
        <f t="shared" si="8"/>
        <v>0</v>
      </c>
      <c r="F68" s="100">
        <f t="shared" ca="1" si="17"/>
        <v>0.18020274999999999</v>
      </c>
      <c r="G68">
        <v>0</v>
      </c>
      <c r="H68">
        <v>1</v>
      </c>
      <c r="I68">
        <v>5</v>
      </c>
      <c r="J68" s="1">
        <f t="shared" ca="1" si="9"/>
        <v>0</v>
      </c>
      <c r="K68" s="1">
        <f t="shared" ca="1" si="10"/>
        <v>0</v>
      </c>
      <c r="L68" s="13">
        <f t="shared" ca="1" si="11"/>
        <v>127</v>
      </c>
      <c r="M68" s="7">
        <f t="shared" ca="1" si="12"/>
        <v>873</v>
      </c>
      <c r="N68" s="44">
        <f t="shared" ca="1" si="13"/>
        <v>11</v>
      </c>
      <c r="O68" s="94">
        <f t="shared" ca="1" si="14"/>
        <v>2.8397004155948178</v>
      </c>
      <c r="P68" s="94">
        <f t="shared" ca="1" si="0"/>
        <v>28.397004155948181</v>
      </c>
      <c r="Q68" s="94">
        <f t="shared" ca="1" si="1"/>
        <v>28.397004155948181</v>
      </c>
      <c r="R68" s="94">
        <f t="shared" ca="1" si="2"/>
        <v>2.8397004155948182</v>
      </c>
      <c r="S68" s="94">
        <f t="shared" ca="1" si="18"/>
        <v>2.8397004155948178</v>
      </c>
      <c r="T68" s="4">
        <f t="shared" ca="1" si="3"/>
        <v>0</v>
      </c>
      <c r="U68" s="46">
        <f t="shared" ca="1" si="15"/>
        <v>1350.1639413314356</v>
      </c>
      <c r="V68" s="4">
        <f t="shared" ca="1" si="4"/>
        <v>0</v>
      </c>
      <c r="W68" s="13">
        <f t="shared" ca="1" si="5"/>
        <v>4799.7941114728637</v>
      </c>
      <c r="X68" s="4">
        <f t="shared" ca="1" si="6"/>
        <v>0</v>
      </c>
      <c r="AE68" s="4"/>
    </row>
    <row r="69" spans="1:31">
      <c r="A69">
        <v>0</v>
      </c>
      <c r="B69">
        <v>1</v>
      </c>
      <c r="C69">
        <f t="shared" si="16"/>
        <v>3</v>
      </c>
      <c r="D69">
        <f t="shared" si="7"/>
        <v>1</v>
      </c>
      <c r="E69">
        <f t="shared" si="8"/>
        <v>0</v>
      </c>
      <c r="F69" s="100">
        <f t="shared" ca="1" si="17"/>
        <v>0.18020274999999999</v>
      </c>
      <c r="G69">
        <v>0</v>
      </c>
      <c r="H69">
        <v>1</v>
      </c>
      <c r="I69">
        <v>4</v>
      </c>
      <c r="J69" s="1">
        <f t="shared" ca="1" si="9"/>
        <v>0</v>
      </c>
      <c r="K69" s="1">
        <f t="shared" ca="1" si="10"/>
        <v>0</v>
      </c>
      <c r="L69" s="13">
        <f t="shared" ca="1" si="11"/>
        <v>114</v>
      </c>
      <c r="M69" s="7">
        <f t="shared" ca="1" si="12"/>
        <v>886</v>
      </c>
      <c r="N69" s="44">
        <f t="shared" ca="1" si="13"/>
        <v>12</v>
      </c>
      <c r="O69" s="94">
        <f t="shared" ca="1" si="14"/>
        <v>3.0624018806381534</v>
      </c>
      <c r="P69" s="94">
        <f t="shared" ca="1" si="0"/>
        <v>29.510511481164862</v>
      </c>
      <c r="Q69" s="94">
        <f t="shared" ca="1" si="1"/>
        <v>28.397004155948181</v>
      </c>
      <c r="R69" s="94">
        <f t="shared" ca="1" si="2"/>
        <v>2.8953757818556523</v>
      </c>
      <c r="S69" s="94">
        <f t="shared" ca="1" si="18"/>
        <v>3.0624018806381534</v>
      </c>
      <c r="T69" s="4">
        <f t="shared" ca="1" si="3"/>
        <v>0</v>
      </c>
      <c r="U69" s="46">
        <f t="shared" ca="1" si="15"/>
        <v>1418.7282638229713</v>
      </c>
      <c r="V69" s="4">
        <f t="shared" ca="1" si="4"/>
        <v>0</v>
      </c>
      <c r="W69" s="13">
        <f t="shared" ca="1" si="5"/>
        <v>3964.9776174258936</v>
      </c>
      <c r="X69" s="4">
        <f t="shared" ca="1" si="6"/>
        <v>0</v>
      </c>
      <c r="AE69" s="4"/>
    </row>
    <row r="70" spans="1:31">
      <c r="A70">
        <v>0</v>
      </c>
      <c r="B70">
        <v>1</v>
      </c>
      <c r="C70">
        <f t="shared" si="16"/>
        <v>3</v>
      </c>
      <c r="D70">
        <f t="shared" si="7"/>
        <v>1</v>
      </c>
      <c r="E70">
        <f t="shared" si="8"/>
        <v>0</v>
      </c>
      <c r="F70" s="100">
        <f t="shared" ca="1" si="17"/>
        <v>0.18020274999999999</v>
      </c>
      <c r="G70">
        <v>0</v>
      </c>
      <c r="H70">
        <v>1</v>
      </c>
      <c r="I70">
        <v>3</v>
      </c>
      <c r="J70" s="1">
        <f t="shared" ca="1" si="9"/>
        <v>0</v>
      </c>
      <c r="K70" s="1">
        <f t="shared" ca="1" si="10"/>
        <v>0</v>
      </c>
      <c r="L70" s="13">
        <f t="shared" ca="1" si="11"/>
        <v>101</v>
      </c>
      <c r="M70" s="7">
        <f t="shared" ca="1" si="12"/>
        <v>899</v>
      </c>
      <c r="N70" s="44">
        <f t="shared" ca="1" si="13"/>
        <v>12</v>
      </c>
      <c r="O70" s="94">
        <f t="shared" ca="1" si="14"/>
        <v>3.0624018806381534</v>
      </c>
      <c r="P70" s="94">
        <f t="shared" ca="1" si="0"/>
        <v>30.624018806381528</v>
      </c>
      <c r="Q70" s="94">
        <f t="shared" ca="1" si="1"/>
        <v>30.178615876294863</v>
      </c>
      <c r="R70" s="94">
        <f t="shared" ca="1" si="2"/>
        <v>3.0401317341338197</v>
      </c>
      <c r="S70" s="94">
        <f t="shared" ca="1" si="18"/>
        <v>3.0624018806381534</v>
      </c>
      <c r="T70" s="4">
        <f t="shared" ca="1" si="3"/>
        <v>0</v>
      </c>
      <c r="U70" s="46">
        <f t="shared" ca="1" si="15"/>
        <v>1405.7282638229713</v>
      </c>
      <c r="V70" s="4">
        <f t="shared" ca="1" si="4"/>
        <v>0</v>
      </c>
      <c r="W70" s="13">
        <f t="shared" ca="1" si="5"/>
        <v>3130.1611233789231</v>
      </c>
      <c r="X70" s="4">
        <f t="shared" ca="1" si="6"/>
        <v>0</v>
      </c>
      <c r="AE70" s="4"/>
    </row>
    <row r="71" spans="1:31">
      <c r="A71">
        <v>0</v>
      </c>
      <c r="B71">
        <v>1</v>
      </c>
      <c r="C71">
        <f t="shared" si="16"/>
        <v>3</v>
      </c>
      <c r="D71">
        <f t="shared" si="7"/>
        <v>1</v>
      </c>
      <c r="E71">
        <f t="shared" si="8"/>
        <v>0</v>
      </c>
      <c r="F71" s="100">
        <f t="shared" ca="1" si="17"/>
        <v>0.18020274999999999</v>
      </c>
      <c r="G71">
        <v>0</v>
      </c>
      <c r="H71">
        <v>1</v>
      </c>
      <c r="I71">
        <v>2</v>
      </c>
      <c r="J71" s="1">
        <f t="shared" ca="1" si="9"/>
        <v>0</v>
      </c>
      <c r="K71" s="1">
        <f t="shared" ca="1" si="10"/>
        <v>0</v>
      </c>
      <c r="L71" s="13">
        <f t="shared" ca="1" si="11"/>
        <v>88</v>
      </c>
      <c r="M71" s="7">
        <f t="shared" ca="1" si="12"/>
        <v>912</v>
      </c>
      <c r="N71" s="44">
        <f t="shared" ca="1" si="13"/>
        <v>12</v>
      </c>
      <c r="O71" s="94">
        <f t="shared" ca="1" si="14"/>
        <v>3.0624018806381534</v>
      </c>
      <c r="P71" s="94">
        <f t="shared" ca="1" si="0"/>
        <v>30.624018806381528</v>
      </c>
      <c r="Q71" s="94">
        <f t="shared" ca="1" si="1"/>
        <v>30.624018806381528</v>
      </c>
      <c r="R71" s="94">
        <f t="shared" ca="1" si="2"/>
        <v>3.062401880638153</v>
      </c>
      <c r="S71" s="94">
        <f t="shared" ca="1" si="18"/>
        <v>3.0624018806381534</v>
      </c>
      <c r="T71" s="4">
        <f t="shared" ca="1" si="3"/>
        <v>0</v>
      </c>
      <c r="U71" s="46">
        <f t="shared" ca="1" si="15"/>
        <v>1392.7282638229713</v>
      </c>
      <c r="V71" s="4">
        <f t="shared" ca="1" si="4"/>
        <v>0</v>
      </c>
      <c r="W71" s="13">
        <f t="shared" ca="1" si="5"/>
        <v>2295.344629331953</v>
      </c>
      <c r="X71" s="4">
        <f t="shared" ca="1" si="6"/>
        <v>0</v>
      </c>
      <c r="AE71" s="4"/>
    </row>
    <row r="72" spans="1:31">
      <c r="A72">
        <v>0</v>
      </c>
      <c r="B72">
        <v>1</v>
      </c>
      <c r="C72">
        <f t="shared" si="16"/>
        <v>3</v>
      </c>
      <c r="D72">
        <f t="shared" si="7"/>
        <v>1</v>
      </c>
      <c r="E72">
        <f t="shared" si="8"/>
        <v>0</v>
      </c>
      <c r="F72" s="100">
        <f t="shared" ca="1" si="17"/>
        <v>0.18020274999999999</v>
      </c>
      <c r="G72">
        <v>0</v>
      </c>
      <c r="H72">
        <v>1</v>
      </c>
      <c r="I72">
        <v>1</v>
      </c>
      <c r="J72" s="1">
        <f t="shared" ca="1" si="9"/>
        <v>4.9005E-2</v>
      </c>
      <c r="K72" s="1">
        <f t="shared" ca="1" si="10"/>
        <v>8.8308357637499994E-3</v>
      </c>
      <c r="L72" s="13">
        <f t="shared" ca="1" si="11"/>
        <v>75</v>
      </c>
      <c r="M72" s="7">
        <f t="shared" ca="1" si="12"/>
        <v>925</v>
      </c>
      <c r="N72" s="44">
        <f t="shared" ca="1" si="13"/>
        <v>12</v>
      </c>
      <c r="O72" s="94">
        <f t="shared" ca="1" si="14"/>
        <v>3.0624018806381534</v>
      </c>
      <c r="P72" s="94">
        <f t="shared" ca="1" si="0"/>
        <v>30.624018806381528</v>
      </c>
      <c r="Q72" s="94">
        <f t="shared" ca="1" si="1"/>
        <v>30.624018806381528</v>
      </c>
      <c r="R72" s="94">
        <f t="shared" ca="1" si="2"/>
        <v>3.062401880638153</v>
      </c>
      <c r="S72" s="94">
        <f t="shared" ca="1" si="18"/>
        <v>3.0624018806381534</v>
      </c>
      <c r="T72" s="4">
        <f t="shared" ca="1" si="3"/>
        <v>2.7043568050514662E-2</v>
      </c>
      <c r="U72" s="46">
        <f t="shared" ca="1" si="15"/>
        <v>1379.7282638229713</v>
      </c>
      <c r="V72" s="4">
        <f t="shared" ca="1" si="4"/>
        <v>12.184153696424589</v>
      </c>
      <c r="W72" s="13">
        <f t="shared" ca="1" si="5"/>
        <v>1460.5281352849825</v>
      </c>
      <c r="X72" s="4">
        <f t="shared" ca="1" si="6"/>
        <v>12.897684091037721</v>
      </c>
      <c r="AE72" s="4"/>
    </row>
    <row r="73" spans="1:31">
      <c r="A73">
        <v>0</v>
      </c>
      <c r="B73">
        <v>1</v>
      </c>
      <c r="C73">
        <f t="shared" si="16"/>
        <v>3</v>
      </c>
      <c r="D73">
        <f t="shared" si="7"/>
        <v>1</v>
      </c>
      <c r="E73">
        <f t="shared" si="8"/>
        <v>0</v>
      </c>
      <c r="F73" s="100">
        <f t="shared" ca="1" si="17"/>
        <v>0.18020274999999999</v>
      </c>
      <c r="G73">
        <v>0</v>
      </c>
      <c r="H73">
        <v>1</v>
      </c>
      <c r="I73">
        <v>0</v>
      </c>
      <c r="J73" s="1">
        <f t="shared" ca="1" si="9"/>
        <v>4.9500000000000043E-4</v>
      </c>
      <c r="K73" s="1">
        <f t="shared" ca="1" si="10"/>
        <v>8.9200361250000074E-5</v>
      </c>
      <c r="L73" s="13">
        <f t="shared" ca="1" si="11"/>
        <v>62</v>
      </c>
      <c r="M73" s="7">
        <f t="shared" ca="1" si="12"/>
        <v>938</v>
      </c>
      <c r="N73" s="44">
        <f t="shared" ca="1" si="13"/>
        <v>12</v>
      </c>
      <c r="O73" s="94">
        <f t="shared" ca="1" si="14"/>
        <v>3.0624018806381534</v>
      </c>
      <c r="P73" s="94">
        <f t="shared" ca="1" si="0"/>
        <v>30.624018806381528</v>
      </c>
      <c r="Q73" s="94">
        <f t="shared" ca="1" si="1"/>
        <v>30.624018806381528</v>
      </c>
      <c r="R73" s="94">
        <f t="shared" ca="1" si="2"/>
        <v>3.062401880638153</v>
      </c>
      <c r="S73" s="94">
        <f t="shared" ca="1" si="18"/>
        <v>3.0624018806381534</v>
      </c>
      <c r="T73" s="4">
        <f t="shared" ca="1" si="3"/>
        <v>2.7316735404560289E-4</v>
      </c>
      <c r="U73" s="46">
        <f t="shared" ca="1" si="15"/>
        <v>1366.7282638229713</v>
      </c>
      <c r="V73" s="4">
        <f t="shared" ca="1" si="4"/>
        <v>0.12191265486359444</v>
      </c>
      <c r="W73" s="13">
        <f t="shared" ca="1" si="5"/>
        <v>625.71164123801225</v>
      </c>
      <c r="X73" s="4">
        <f t="shared" ca="1" si="6"/>
        <v>5.5813704436761133E-2</v>
      </c>
      <c r="AE73" s="4"/>
    </row>
    <row r="74" spans="1:31">
      <c r="A74">
        <v>0</v>
      </c>
      <c r="B74">
        <v>1</v>
      </c>
      <c r="C74">
        <f t="shared" si="16"/>
        <v>3</v>
      </c>
      <c r="D74">
        <f t="shared" si="7"/>
        <v>1</v>
      </c>
      <c r="E74">
        <f t="shared" si="8"/>
        <v>0</v>
      </c>
      <c r="F74" s="100">
        <f t="shared" ca="1" si="17"/>
        <v>0.18020274999999999</v>
      </c>
      <c r="G74">
        <v>0</v>
      </c>
      <c r="H74">
        <v>0</v>
      </c>
      <c r="I74">
        <v>7</v>
      </c>
      <c r="J74" s="1">
        <f t="shared" ca="1" si="9"/>
        <v>0</v>
      </c>
      <c r="K74" s="1">
        <f t="shared" ca="1" si="10"/>
        <v>0</v>
      </c>
      <c r="L74" s="13">
        <f t="shared" ca="1" si="11"/>
        <v>91</v>
      </c>
      <c r="M74" s="7">
        <f t="shared" ca="1" si="12"/>
        <v>909</v>
      </c>
      <c r="N74" s="44">
        <f t="shared" ca="1" si="13"/>
        <v>12</v>
      </c>
      <c r="O74" s="94">
        <f t="shared" ca="1" si="14"/>
        <v>3.0624018806381534</v>
      </c>
      <c r="P74" s="94">
        <f t="shared" ca="1" si="0"/>
        <v>30.624018806381528</v>
      </c>
      <c r="Q74" s="94">
        <f t="shared" ca="1" si="1"/>
        <v>30.624018806381528</v>
      </c>
      <c r="R74" s="94">
        <f t="shared" ca="1" si="2"/>
        <v>3.062401880638153</v>
      </c>
      <c r="S74" s="94">
        <f t="shared" ca="1" si="18"/>
        <v>3.0624018806381534</v>
      </c>
      <c r="T74" s="4">
        <f t="shared" ca="1" si="3"/>
        <v>0</v>
      </c>
      <c r="U74" s="46">
        <f t="shared" ca="1" si="15"/>
        <v>1395.7282638229713</v>
      </c>
      <c r="V74" s="4">
        <f t="shared" ca="1" si="4"/>
        <v>0</v>
      </c>
      <c r="W74" s="13">
        <f t="shared" ca="1" si="5"/>
        <v>5843.715458328792</v>
      </c>
      <c r="X74" s="4">
        <f t="shared" ca="1" si="6"/>
        <v>0</v>
      </c>
      <c r="AE74" s="4"/>
    </row>
    <row r="75" spans="1:31">
      <c r="A75">
        <v>0</v>
      </c>
      <c r="B75">
        <v>1</v>
      </c>
      <c r="C75">
        <f t="shared" si="16"/>
        <v>3</v>
      </c>
      <c r="D75">
        <f t="shared" si="7"/>
        <v>1</v>
      </c>
      <c r="E75">
        <f t="shared" si="8"/>
        <v>0</v>
      </c>
      <c r="F75" s="100">
        <f t="shared" ca="1" si="17"/>
        <v>0.18020274999999999</v>
      </c>
      <c r="G75">
        <v>0</v>
      </c>
      <c r="H75">
        <v>0</v>
      </c>
      <c r="I75">
        <v>6</v>
      </c>
      <c r="J75" s="1">
        <f t="shared" ca="1" si="9"/>
        <v>0</v>
      </c>
      <c r="K75" s="1">
        <f t="shared" ca="1" si="10"/>
        <v>0</v>
      </c>
      <c r="L75" s="13">
        <f t="shared" ca="1" si="11"/>
        <v>78</v>
      </c>
      <c r="M75" s="7">
        <f t="shared" ca="1" si="12"/>
        <v>922</v>
      </c>
      <c r="N75" s="44">
        <f t="shared" ca="1" si="13"/>
        <v>12</v>
      </c>
      <c r="O75" s="94">
        <f t="shared" ca="1" si="14"/>
        <v>3.0624018806381534</v>
      </c>
      <c r="P75" s="94">
        <f t="shared" ca="1" si="0"/>
        <v>30.624018806381528</v>
      </c>
      <c r="Q75" s="94">
        <f t="shared" ca="1" si="1"/>
        <v>30.624018806381528</v>
      </c>
      <c r="R75" s="94">
        <f t="shared" ca="1" si="2"/>
        <v>3.062401880638153</v>
      </c>
      <c r="S75" s="94">
        <f t="shared" ca="1" si="18"/>
        <v>3.0624018806381534</v>
      </c>
      <c r="T75" s="4">
        <f t="shared" ca="1" si="3"/>
        <v>0</v>
      </c>
      <c r="U75" s="46">
        <f t="shared" ca="1" si="15"/>
        <v>1382.7282638229713</v>
      </c>
      <c r="V75" s="4">
        <f t="shared" ca="1" si="4"/>
        <v>0</v>
      </c>
      <c r="W75" s="13">
        <f t="shared" ca="1" si="5"/>
        <v>5008.8989642818215</v>
      </c>
      <c r="X75" s="4">
        <f t="shared" ca="1" si="6"/>
        <v>0</v>
      </c>
      <c r="AE75" s="4"/>
    </row>
    <row r="76" spans="1:31">
      <c r="A76">
        <v>0</v>
      </c>
      <c r="B76">
        <v>1</v>
      </c>
      <c r="C76">
        <f t="shared" si="16"/>
        <v>3</v>
      </c>
      <c r="D76">
        <f t="shared" si="7"/>
        <v>1</v>
      </c>
      <c r="E76">
        <f t="shared" si="8"/>
        <v>0</v>
      </c>
      <c r="F76" s="100">
        <f t="shared" ca="1" si="17"/>
        <v>0.18020274999999999</v>
      </c>
      <c r="G76">
        <v>0</v>
      </c>
      <c r="H76">
        <v>0</v>
      </c>
      <c r="I76">
        <v>5</v>
      </c>
      <c r="J76" s="1">
        <f t="shared" ca="1" si="9"/>
        <v>0</v>
      </c>
      <c r="K76" s="1">
        <f t="shared" ca="1" si="10"/>
        <v>0</v>
      </c>
      <c r="L76" s="13">
        <f t="shared" ca="1" si="11"/>
        <v>65</v>
      </c>
      <c r="M76" s="7">
        <f t="shared" ca="1" si="12"/>
        <v>935</v>
      </c>
      <c r="N76" s="44">
        <f t="shared" ca="1" si="13"/>
        <v>12</v>
      </c>
      <c r="O76" s="94">
        <f t="shared" ca="1" si="14"/>
        <v>3.0624018806381534</v>
      </c>
      <c r="P76" s="94">
        <f t="shared" ca="1" si="0"/>
        <v>30.624018806381528</v>
      </c>
      <c r="Q76" s="94">
        <f t="shared" ca="1" si="1"/>
        <v>30.624018806381528</v>
      </c>
      <c r="R76" s="94">
        <f t="shared" ca="1" si="2"/>
        <v>3.062401880638153</v>
      </c>
      <c r="S76" s="94">
        <f t="shared" ca="1" si="18"/>
        <v>3.0624018806381534</v>
      </c>
      <c r="T76" s="4">
        <f t="shared" ca="1" si="3"/>
        <v>0</v>
      </c>
      <c r="U76" s="46">
        <f t="shared" ca="1" si="15"/>
        <v>1369.7282638229713</v>
      </c>
      <c r="V76" s="4">
        <f t="shared" ca="1" si="4"/>
        <v>0</v>
      </c>
      <c r="W76" s="13">
        <f t="shared" ca="1" si="5"/>
        <v>4174.0824702348518</v>
      </c>
      <c r="X76" s="4">
        <f t="shared" ca="1" si="6"/>
        <v>0</v>
      </c>
      <c r="AE76" s="4"/>
    </row>
    <row r="77" spans="1:31">
      <c r="A77">
        <v>0</v>
      </c>
      <c r="B77">
        <v>1</v>
      </c>
      <c r="C77">
        <f t="shared" si="16"/>
        <v>3</v>
      </c>
      <c r="D77">
        <f t="shared" si="7"/>
        <v>1</v>
      </c>
      <c r="E77">
        <f t="shared" si="8"/>
        <v>0</v>
      </c>
      <c r="F77" s="100">
        <f t="shared" ca="1" si="17"/>
        <v>0.18020274999999999</v>
      </c>
      <c r="G77">
        <v>0</v>
      </c>
      <c r="H77">
        <v>0</v>
      </c>
      <c r="I77">
        <v>4</v>
      </c>
      <c r="J77" s="1">
        <f t="shared" ca="1" si="9"/>
        <v>0</v>
      </c>
      <c r="K77" s="1">
        <f t="shared" ca="1" si="10"/>
        <v>0</v>
      </c>
      <c r="L77" s="13">
        <f t="shared" ca="1" si="11"/>
        <v>52</v>
      </c>
      <c r="M77" s="7">
        <f t="shared" ca="1" si="12"/>
        <v>948</v>
      </c>
      <c r="N77" s="44">
        <f t="shared" ca="1" si="13"/>
        <v>12</v>
      </c>
      <c r="O77" s="94">
        <f t="shared" ca="1" si="14"/>
        <v>3.0624018806381534</v>
      </c>
      <c r="P77" s="94">
        <f t="shared" ca="1" si="0"/>
        <v>30.624018806381528</v>
      </c>
      <c r="Q77" s="94">
        <f t="shared" ca="1" si="1"/>
        <v>30.624018806381528</v>
      </c>
      <c r="R77" s="94">
        <f t="shared" ca="1" si="2"/>
        <v>3.062401880638153</v>
      </c>
      <c r="S77" s="94">
        <f t="shared" ca="1" si="18"/>
        <v>3.0624018806381534</v>
      </c>
      <c r="T77" s="4">
        <f t="shared" ca="1" si="3"/>
        <v>0</v>
      </c>
      <c r="U77" s="46">
        <f t="shared" ca="1" si="15"/>
        <v>1356.7282638229713</v>
      </c>
      <c r="V77" s="4">
        <f t="shared" ca="1" si="4"/>
        <v>0</v>
      </c>
      <c r="W77" s="13">
        <f t="shared" ca="1" si="5"/>
        <v>3339.2659761878813</v>
      </c>
      <c r="X77" s="4">
        <f t="shared" ca="1" si="6"/>
        <v>0</v>
      </c>
      <c r="AE77" s="4"/>
    </row>
    <row r="78" spans="1:31">
      <c r="A78">
        <v>0</v>
      </c>
      <c r="B78">
        <v>1</v>
      </c>
      <c r="C78">
        <f t="shared" si="16"/>
        <v>3</v>
      </c>
      <c r="D78">
        <f t="shared" si="7"/>
        <v>1</v>
      </c>
      <c r="E78">
        <f t="shared" si="8"/>
        <v>0</v>
      </c>
      <c r="F78" s="100">
        <f t="shared" ca="1" si="17"/>
        <v>0.18020274999999999</v>
      </c>
      <c r="G78">
        <v>0</v>
      </c>
      <c r="H78">
        <v>0</v>
      </c>
      <c r="I78">
        <v>3</v>
      </c>
      <c r="J78" s="1">
        <f t="shared" ca="1" si="9"/>
        <v>0</v>
      </c>
      <c r="K78" s="1">
        <f t="shared" ca="1" si="10"/>
        <v>0</v>
      </c>
      <c r="L78" s="13">
        <f t="shared" ca="1" si="11"/>
        <v>39</v>
      </c>
      <c r="M78" s="7">
        <f t="shared" ca="1" si="12"/>
        <v>961</v>
      </c>
      <c r="N78" s="44">
        <f t="shared" ca="1" si="13"/>
        <v>13</v>
      </c>
      <c r="O78" s="94">
        <f t="shared" ca="1" si="14"/>
        <v>3.2733204919050856</v>
      </c>
      <c r="P78" s="94">
        <f t="shared" ca="1" si="0"/>
        <v>30.624018806381528</v>
      </c>
      <c r="Q78" s="94">
        <f t="shared" ca="1" si="1"/>
        <v>30.624018806381528</v>
      </c>
      <c r="R78" s="94">
        <f t="shared" ca="1" si="2"/>
        <v>3.062401880638153</v>
      </c>
      <c r="S78" s="94">
        <f t="shared" ca="1" si="18"/>
        <v>3.2733204919050856</v>
      </c>
      <c r="T78" s="4">
        <f t="shared" ca="1" si="3"/>
        <v>0</v>
      </c>
      <c r="U78" s="46">
        <f t="shared" ca="1" si="15"/>
        <v>1420.9771208320408</v>
      </c>
      <c r="V78" s="4">
        <f t="shared" ca="1" si="4"/>
        <v>0</v>
      </c>
      <c r="W78" s="13">
        <f t="shared" ca="1" si="5"/>
        <v>2504.4494821409107</v>
      </c>
      <c r="X78" s="4">
        <f t="shared" ca="1" si="6"/>
        <v>0</v>
      </c>
      <c r="AE78" s="4"/>
    </row>
    <row r="79" spans="1:31">
      <c r="A79">
        <v>0</v>
      </c>
      <c r="B79">
        <v>1</v>
      </c>
      <c r="C79">
        <f t="shared" si="16"/>
        <v>3</v>
      </c>
      <c r="D79">
        <f t="shared" si="7"/>
        <v>1</v>
      </c>
      <c r="E79">
        <f t="shared" si="8"/>
        <v>0</v>
      </c>
      <c r="F79" s="100">
        <f t="shared" ca="1" si="17"/>
        <v>0.18020274999999999</v>
      </c>
      <c r="G79">
        <v>0</v>
      </c>
      <c r="H79">
        <v>0</v>
      </c>
      <c r="I79">
        <v>2</v>
      </c>
      <c r="J79" s="1">
        <f t="shared" ca="1" si="9"/>
        <v>0</v>
      </c>
      <c r="K79" s="1">
        <f t="shared" ca="1" si="10"/>
        <v>0</v>
      </c>
      <c r="L79" s="13">
        <f t="shared" ca="1" si="11"/>
        <v>26</v>
      </c>
      <c r="M79" s="7">
        <f t="shared" ca="1" si="12"/>
        <v>974</v>
      </c>
      <c r="N79" s="44">
        <f t="shared" ca="1" si="13"/>
        <v>13</v>
      </c>
      <c r="O79" s="94">
        <f t="shared" ca="1" si="14"/>
        <v>3.2733204919050856</v>
      </c>
      <c r="P79" s="94">
        <f t="shared" ca="1" si="0"/>
        <v>32.733204919050856</v>
      </c>
      <c r="Q79" s="94">
        <f t="shared" ca="1" si="1"/>
        <v>31.256774640182325</v>
      </c>
      <c r="R79" s="94">
        <f t="shared" ca="1" si="2"/>
        <v>3.1994989779616589</v>
      </c>
      <c r="S79" s="94">
        <f t="shared" ca="1" si="18"/>
        <v>3.2733204919050856</v>
      </c>
      <c r="T79" s="4">
        <f t="shared" ca="1" si="3"/>
        <v>0</v>
      </c>
      <c r="U79" s="46">
        <f t="shared" ca="1" si="15"/>
        <v>1407.9771208320408</v>
      </c>
      <c r="V79" s="4">
        <f t="shared" ca="1" si="4"/>
        <v>0</v>
      </c>
      <c r="W79" s="13">
        <f t="shared" ca="1" si="5"/>
        <v>1669.6329880939406</v>
      </c>
      <c r="X79" s="4">
        <f t="shared" ca="1" si="6"/>
        <v>0</v>
      </c>
      <c r="AE79" s="4"/>
    </row>
    <row r="80" spans="1:31">
      <c r="A80">
        <v>0</v>
      </c>
      <c r="B80">
        <v>1</v>
      </c>
      <c r="C80">
        <f t="shared" si="16"/>
        <v>3</v>
      </c>
      <c r="D80">
        <f t="shared" si="7"/>
        <v>1</v>
      </c>
      <c r="E80">
        <f t="shared" si="8"/>
        <v>0</v>
      </c>
      <c r="F80" s="100">
        <f t="shared" ca="1" si="17"/>
        <v>0.18020274999999999</v>
      </c>
      <c r="G80">
        <v>0</v>
      </c>
      <c r="H80">
        <v>0</v>
      </c>
      <c r="I80">
        <v>1</v>
      </c>
      <c r="J80" s="1">
        <f t="shared" ca="1" si="9"/>
        <v>4.9500000000000043E-4</v>
      </c>
      <c r="K80" s="1">
        <f t="shared" ca="1" si="10"/>
        <v>8.9200361250000074E-5</v>
      </c>
      <c r="L80" s="13">
        <f t="shared" ca="1" si="11"/>
        <v>13</v>
      </c>
      <c r="M80" s="7">
        <f t="shared" ca="1" si="12"/>
        <v>987</v>
      </c>
      <c r="N80" s="44">
        <f t="shared" ca="1" si="13"/>
        <v>13</v>
      </c>
      <c r="O80" s="94">
        <f t="shared" ca="1" si="14"/>
        <v>3.2733204919050856</v>
      </c>
      <c r="P80" s="94">
        <f t="shared" ca="1" si="0"/>
        <v>32.733204919050856</v>
      </c>
      <c r="Q80" s="94">
        <f t="shared" ca="1" si="1"/>
        <v>32.733204919050856</v>
      </c>
      <c r="R80" s="94">
        <f t="shared" ca="1" si="2"/>
        <v>3.2733204919050856</v>
      </c>
      <c r="S80" s="94">
        <f t="shared" ca="1" si="18"/>
        <v>3.2733204919050856</v>
      </c>
      <c r="T80" s="4">
        <f t="shared" ca="1" si="3"/>
        <v>2.9198137036496159E-4</v>
      </c>
      <c r="U80" s="46">
        <f t="shared" ca="1" si="15"/>
        <v>1394.9771208320408</v>
      </c>
      <c r="V80" s="4">
        <f t="shared" ca="1" si="4"/>
        <v>0.12443246311370304</v>
      </c>
      <c r="W80" s="13">
        <f t="shared" ca="1" si="5"/>
        <v>834.81649404697032</v>
      </c>
      <c r="X80" s="4">
        <f t="shared" ca="1" si="6"/>
        <v>7.4465932846448285E-2</v>
      </c>
      <c r="AE80" s="4"/>
    </row>
    <row r="81" spans="1:31">
      <c r="A81">
        <v>0</v>
      </c>
      <c r="B81">
        <v>1</v>
      </c>
      <c r="C81">
        <f t="shared" si="16"/>
        <v>3</v>
      </c>
      <c r="D81">
        <f t="shared" si="7"/>
        <v>1</v>
      </c>
      <c r="E81">
        <f t="shared" si="8"/>
        <v>0</v>
      </c>
      <c r="F81" s="100">
        <f t="shared" ca="1" si="17"/>
        <v>0.18020274999999999</v>
      </c>
      <c r="G81">
        <v>0</v>
      </c>
      <c r="H81">
        <v>0</v>
      </c>
      <c r="I81">
        <v>0</v>
      </c>
      <c r="J81" s="1">
        <f t="shared" ca="1" si="9"/>
        <v>5.0000000000000089E-6</v>
      </c>
      <c r="K81" s="1">
        <f t="shared" ca="1" si="10"/>
        <v>9.0101375000000153E-7</v>
      </c>
      <c r="L81" s="13">
        <f t="shared" ca="1" si="11"/>
        <v>0</v>
      </c>
      <c r="M81" s="7">
        <f t="shared" ca="1" si="12"/>
        <v>1000</v>
      </c>
      <c r="N81" s="44">
        <f t="shared" ca="1" si="13"/>
        <v>13</v>
      </c>
      <c r="O81" s="94">
        <f t="shared" ca="1" si="14"/>
        <v>3.2733204919050856</v>
      </c>
      <c r="P81" s="94">
        <f t="shared" ca="1" si="0"/>
        <v>32.733204919050856</v>
      </c>
      <c r="Q81" s="94">
        <f t="shared" ca="1" si="1"/>
        <v>32.733204919050856</v>
      </c>
      <c r="R81" s="94">
        <f t="shared" ca="1" si="2"/>
        <v>3.2733204919050856</v>
      </c>
      <c r="S81" s="94">
        <f t="shared" ca="1" si="18"/>
        <v>3.2733204919050856</v>
      </c>
      <c r="T81" s="4">
        <f t="shared" ca="1" si="3"/>
        <v>2.9493067713632509E-6</v>
      </c>
      <c r="U81" s="46">
        <f t="shared" ca="1" si="15"/>
        <v>1381.9771208320408</v>
      </c>
      <c r="V81" s="4">
        <f t="shared" ca="1" si="4"/>
        <v>1.2451803880550822E-3</v>
      </c>
      <c r="W81" s="13">
        <f t="shared" ca="1" si="5"/>
        <v>0</v>
      </c>
      <c r="X81" s="4">
        <f t="shared" ca="1" si="6"/>
        <v>0</v>
      </c>
      <c r="AE81" s="4"/>
    </row>
    <row r="82" spans="1:31">
      <c r="A82">
        <v>0</v>
      </c>
      <c r="B82">
        <v>2</v>
      </c>
      <c r="C82">
        <f t="shared" ref="C82:C145" si="19">MIN(8, 1+$B$10+$B$9+A82+B82)</f>
        <v>4</v>
      </c>
      <c r="D82">
        <f t="shared" ref="D82:D145" si="20">C82-(1+$B$10)</f>
        <v>2</v>
      </c>
      <c r="E82">
        <f t="shared" ref="E82:E145" si="21">MIN(A82, C82-(1+$B$10+$B$9))</f>
        <v>0</v>
      </c>
      <c r="F82" s="100">
        <f t="shared" ref="F82:F145" ca="1" si="22">IF(A82=3, Set1QA, IF(A82=2, (1-Set1QA)*Set1TA + (1-Set1QA)*(1-Set1TA)*(1-Set1DA)*Set1AM3*Set1AM33, IF(A82=1, (1-Set1QA)*(1-Set1TA)*Set1DA + (1-Set1QA)*(1-Set1TA)*(1-Set1DA)*Set1AM3*Set1AM32, (1-Set1QA)*(1-Set1TA)*(1-Set1DA)*(1-Set1AM3)))) * IF($B$9+$B$10&gt;0, IF(B82=3, Set1QA, IF(B82=2, (1-Set1QA)*Set1TA, IF(B82=1, (1-Set1QA)*(1-Set1TA)*Set1DA, (1-Set1QA)*(1-Set1TA)*(1-Set1DA)))), IF(B82=0, 1, 0))</f>
        <v>6.3634999999999997E-2</v>
      </c>
      <c r="G82">
        <v>1</v>
      </c>
      <c r="H82">
        <v>1</v>
      </c>
      <c r="I82">
        <v>7</v>
      </c>
      <c r="J82" s="1">
        <f t="shared" ref="J82:J145" ca="1" si="23">POWER(95%,G82)*POWER(5%, 1-G82) * IF($B$10=0, IF(H82=0, 1, 0), POWER(Set1WSHitRate,H82)*POWER(1-Set1WSHitRate, 1-H82)) * IF(I82&lt;=D82, POWER(Set1WSHitRate, I82)*POWER(1-Set1WSHitRate, D82-I82)*COMBIN(D82,I82), 0)</f>
        <v>0</v>
      </c>
      <c r="K82" s="1">
        <f t="shared" ref="K82:K145" ca="1" si="24">F82*J82</f>
        <v>0</v>
      </c>
      <c r="L82" s="13">
        <f t="shared" ref="L82:L145" ca="1" si="25">MAX((G82+H82)*Set1WSTP + I82*$B$6, Set1SaveTP)</f>
        <v>215</v>
      </c>
      <c r="M82" s="7">
        <f t="shared" ref="M82:M145" ca="1" si="26">MAX(Set1MinTP-(L82+Set1Regain), 0)</f>
        <v>785</v>
      </c>
      <c r="N82" s="44">
        <f t="shared" ref="N82:N145" ca="1" si="27">CEILING(M82/Set1MeleeTP, 1)</f>
        <v>10</v>
      </c>
      <c r="O82" s="94">
        <f t="shared" ref="O82:O145" ca="1" si="28">VLOOKUP(N82,AvgRoundsSet1,2)</f>
        <v>2.5999636871582168</v>
      </c>
      <c r="P82" s="94">
        <f t="shared" ref="P82:P145" ca="1" si="29">VLOOKUP(CEILING(MAX(M82-1, 0)/Set1MeleeTP, 1), AvgRoundsSet1, 2) + VLOOKUP(CEILING(MAX(M82-2, 0)/Set1MeleeTP, 1), AvgRoundsSet1, 2) + VLOOKUP(CEILING(MAX(M82-3, 0)/Set1MeleeTP, 1), AvgRoundsSet1, 2) + VLOOKUP(CEILING(MAX(M82-4, 0)/Set1MeleeTP, 1), AvgRoundsSet1, 2) + VLOOKUP(CEILING(MAX(M82-5, 0)/Set1MeleeTP, 1), AvgRoundsSet1, 2) + VLOOKUP(CEILING(MAX(M82-6, 0)/Set1MeleeTP, 1), AvgRoundsSet1, 2) + VLOOKUP(CEILING(MAX(M82-7, 0)/Set1MeleeTP, 1), AvgRoundsSet1, 2) + VLOOKUP(CEILING(MAX(M82-8, 0)/Set1MeleeTP, 1), AvgRoundsSet1, 2) + VLOOKUP(CEILING(MAX(M82-9, 0)/Set1MeleeTP, 1), AvgRoundsSet1, 2) + VLOOKUP(CEILING(MAX(M82-10, 0)/Set1MeleeTP, 1), AvgRoundsSet1, 2)</f>
        <v>25.999636871582165</v>
      </c>
      <c r="Q82" s="94">
        <f t="shared" ref="Q82:Q145" ca="1" si="30">VLOOKUP(CEILING(MAX(M82-11, 0)/Set1MeleeTP, 1), AvgRoundsSet1, 2) + VLOOKUP(CEILING(MAX(M82-12, 0)/Set1MeleeTP, 1), AvgRoundsSet1, 2) + VLOOKUP(CEILING(MAX(M82-13, 0)/Set1MeleeTP, 1), AvgRoundsSet1, 2) + VLOOKUP(CEILING(MAX(M82-14, 0)/Set1MeleeTP, 1), AvgRoundsSet1, 2) + VLOOKUP(CEILING(MAX(M82-15, 0)/Set1MeleeTP, 1), AvgRoundsSet1, 2) + VLOOKUP(CEILING(MAX(M82-16, 0)/Set1MeleeTP, 1), AvgRoundsSet1, 2) + VLOOKUP(CEILING(MAX(M82-17, 0)/Set1MeleeTP, 1), AvgRoundsSet1, 2) + VLOOKUP(CEILING(MAX(M82-18, 0)/Set1MeleeTP, 1), AvgRoundsSet1, 2) + VLOOKUP(CEILING(MAX(M82-19, 0)/Set1MeleeTP, 1), AvgRoundsSet1, 2) + VLOOKUP(CEILING(MAX(M82-20, 0)/Set1MeleeTP, 1), AvgRoundsSet1, 2)</f>
        <v>25.999636871582165</v>
      </c>
      <c r="R82" s="94">
        <f t="shared" ref="R82:R145" ca="1" si="31">(P82+Q82)/20</f>
        <v>2.5999636871582164</v>
      </c>
      <c r="S82" s="94">
        <f t="shared" ref="S82:S145" ca="1" si="32">R82*Set1ConserveTP + O82*(1-Set1ConserveTP)</f>
        <v>2.5999636871582168</v>
      </c>
      <c r="T82" s="4">
        <f t="shared" ref="T82:T145" ca="1" si="33">K82*S82</f>
        <v>0</v>
      </c>
      <c r="U82" s="46">
        <f t="shared" ref="U82:U145" ca="1" si="34">MIN(L82+(S82+Set1OverTP)*AvgHitsPerRound1*Set1MeleeTP + Set1Regain + 10.5*Set1ConserveTP, 3000)</f>
        <v>1350.360460436222</v>
      </c>
      <c r="V82" s="4">
        <f t="shared" ref="V82:V145" ca="1" si="35">U82*K82</f>
        <v>0</v>
      </c>
      <c r="W82" s="13">
        <f t="shared" ref="W82:W145" ca="1" si="36">G82*$K$10*((1-$L$10)*$L$14 + $L$10*$M$14*$M$10)*Set1WSDmg + H82*$K$13*((1-$L$13)*$L$15 + $L$13*$M$15*$M$11) + I82*$K$11*((1-$L$11)*$L$14 + $L$11*$M$14*$M$11) + E82*$K$12*$L$12*$M$10</f>
        <v>12313.142557895597</v>
      </c>
      <c r="X82" s="4">
        <f t="shared" ref="X82:X145" ca="1" si="37">K82*W82</f>
        <v>0</v>
      </c>
      <c r="AE82" s="4"/>
    </row>
    <row r="83" spans="1:31">
      <c r="A83">
        <v>0</v>
      </c>
      <c r="B83">
        <v>2</v>
      </c>
      <c r="C83">
        <f t="shared" si="19"/>
        <v>4</v>
      </c>
      <c r="D83">
        <f t="shared" si="20"/>
        <v>2</v>
      </c>
      <c r="E83">
        <f t="shared" si="21"/>
        <v>0</v>
      </c>
      <c r="F83" s="100">
        <f t="shared" ca="1" si="22"/>
        <v>6.3634999999999997E-2</v>
      </c>
      <c r="G83">
        <v>1</v>
      </c>
      <c r="H83">
        <v>1</v>
      </c>
      <c r="I83">
        <v>6</v>
      </c>
      <c r="J83" s="1">
        <f t="shared" ca="1" si="23"/>
        <v>0</v>
      </c>
      <c r="K83" s="1">
        <f t="shared" ca="1" si="24"/>
        <v>0</v>
      </c>
      <c r="L83" s="13">
        <f t="shared" ca="1" si="25"/>
        <v>202</v>
      </c>
      <c r="M83" s="7">
        <f t="shared" ca="1" si="26"/>
        <v>798</v>
      </c>
      <c r="N83" s="44">
        <f t="shared" ca="1" si="27"/>
        <v>10</v>
      </c>
      <c r="O83" s="94">
        <f t="shared" ca="1" si="28"/>
        <v>2.5999636871582168</v>
      </c>
      <c r="P83" s="94">
        <f t="shared" ca="1" si="29"/>
        <v>25.999636871582165</v>
      </c>
      <c r="Q83" s="94">
        <f t="shared" ca="1" si="30"/>
        <v>25.999636871582165</v>
      </c>
      <c r="R83" s="94">
        <f t="shared" ca="1" si="31"/>
        <v>2.5999636871582164</v>
      </c>
      <c r="S83" s="94">
        <f t="shared" ca="1" si="32"/>
        <v>2.5999636871582168</v>
      </c>
      <c r="T83" s="4">
        <f t="shared" ca="1" si="33"/>
        <v>0</v>
      </c>
      <c r="U83" s="46">
        <f t="shared" ca="1" si="34"/>
        <v>1337.360460436222</v>
      </c>
      <c r="V83" s="4">
        <f t="shared" ca="1" si="35"/>
        <v>0</v>
      </c>
      <c r="W83" s="13">
        <f t="shared" ca="1" si="36"/>
        <v>11478.326063848626</v>
      </c>
      <c r="X83" s="4">
        <f t="shared" ca="1" si="37"/>
        <v>0</v>
      </c>
      <c r="AE83" s="4"/>
    </row>
    <row r="84" spans="1:31">
      <c r="A84">
        <v>0</v>
      </c>
      <c r="B84">
        <v>2</v>
      </c>
      <c r="C84">
        <f t="shared" si="19"/>
        <v>4</v>
      </c>
      <c r="D84">
        <f t="shared" si="20"/>
        <v>2</v>
      </c>
      <c r="E84">
        <f t="shared" si="21"/>
        <v>0</v>
      </c>
      <c r="F84" s="100">
        <f t="shared" ca="1" si="22"/>
        <v>6.3634999999999997E-2</v>
      </c>
      <c r="G84">
        <v>1</v>
      </c>
      <c r="H84">
        <v>1</v>
      </c>
      <c r="I84">
        <v>5</v>
      </c>
      <c r="J84" s="1">
        <f t="shared" ca="1" si="23"/>
        <v>0</v>
      </c>
      <c r="K84" s="1">
        <f t="shared" ca="1" si="24"/>
        <v>0</v>
      </c>
      <c r="L84" s="13">
        <f t="shared" ca="1" si="25"/>
        <v>189</v>
      </c>
      <c r="M84" s="7">
        <f t="shared" ca="1" si="26"/>
        <v>811</v>
      </c>
      <c r="N84" s="44">
        <f t="shared" ca="1" si="27"/>
        <v>11</v>
      </c>
      <c r="O84" s="94">
        <f t="shared" ca="1" si="28"/>
        <v>2.8397004155948178</v>
      </c>
      <c r="P84" s="94">
        <f t="shared" ca="1" si="29"/>
        <v>28.397004155948181</v>
      </c>
      <c r="Q84" s="94">
        <f t="shared" ca="1" si="30"/>
        <v>25.999636871582165</v>
      </c>
      <c r="R84" s="94">
        <f t="shared" ca="1" si="31"/>
        <v>2.7198320513765175</v>
      </c>
      <c r="S84" s="94">
        <f t="shared" ca="1" si="32"/>
        <v>2.8397004155948178</v>
      </c>
      <c r="T84" s="4">
        <f t="shared" ca="1" si="33"/>
        <v>0</v>
      </c>
      <c r="U84" s="46">
        <f t="shared" ca="1" si="34"/>
        <v>1412.1639413314356</v>
      </c>
      <c r="V84" s="4">
        <f t="shared" ca="1" si="35"/>
        <v>0</v>
      </c>
      <c r="W84" s="13">
        <f t="shared" ca="1" si="36"/>
        <v>10643.509569801656</v>
      </c>
      <c r="X84" s="4">
        <f t="shared" ca="1" si="37"/>
        <v>0</v>
      </c>
      <c r="AE84" s="4"/>
    </row>
    <row r="85" spans="1:31">
      <c r="A85">
        <v>0</v>
      </c>
      <c r="B85">
        <v>2</v>
      </c>
      <c r="C85">
        <f t="shared" si="19"/>
        <v>4</v>
      </c>
      <c r="D85">
        <f t="shared" si="20"/>
        <v>2</v>
      </c>
      <c r="E85">
        <f t="shared" si="21"/>
        <v>0</v>
      </c>
      <c r="F85" s="100">
        <f t="shared" ca="1" si="22"/>
        <v>6.3634999999999997E-2</v>
      </c>
      <c r="G85">
        <v>1</v>
      </c>
      <c r="H85">
        <v>1</v>
      </c>
      <c r="I85">
        <v>4</v>
      </c>
      <c r="J85" s="1">
        <f t="shared" ca="1" si="23"/>
        <v>0</v>
      </c>
      <c r="K85" s="1">
        <f t="shared" ca="1" si="24"/>
        <v>0</v>
      </c>
      <c r="L85" s="13">
        <f t="shared" ca="1" si="25"/>
        <v>176</v>
      </c>
      <c r="M85" s="7">
        <f t="shared" ca="1" si="26"/>
        <v>824</v>
      </c>
      <c r="N85" s="44">
        <f t="shared" ca="1" si="27"/>
        <v>11</v>
      </c>
      <c r="O85" s="94">
        <f t="shared" ca="1" si="28"/>
        <v>2.8397004155948178</v>
      </c>
      <c r="P85" s="94">
        <f t="shared" ca="1" si="29"/>
        <v>28.397004155948181</v>
      </c>
      <c r="Q85" s="94">
        <f t="shared" ca="1" si="30"/>
        <v>28.397004155948181</v>
      </c>
      <c r="R85" s="94">
        <f t="shared" ca="1" si="31"/>
        <v>2.8397004155948182</v>
      </c>
      <c r="S85" s="94">
        <f t="shared" ca="1" si="32"/>
        <v>2.8397004155948178</v>
      </c>
      <c r="T85" s="4">
        <f t="shared" ca="1" si="33"/>
        <v>0</v>
      </c>
      <c r="U85" s="46">
        <f t="shared" ca="1" si="34"/>
        <v>1399.1639413314356</v>
      </c>
      <c r="V85" s="4">
        <f t="shared" ca="1" si="35"/>
        <v>0</v>
      </c>
      <c r="W85" s="13">
        <f t="shared" ca="1" si="36"/>
        <v>9808.693075754687</v>
      </c>
      <c r="X85" s="4">
        <f t="shared" ca="1" si="37"/>
        <v>0</v>
      </c>
      <c r="AE85" s="4"/>
    </row>
    <row r="86" spans="1:31">
      <c r="A86">
        <v>0</v>
      </c>
      <c r="B86">
        <v>2</v>
      </c>
      <c r="C86">
        <f t="shared" si="19"/>
        <v>4</v>
      </c>
      <c r="D86">
        <f t="shared" si="20"/>
        <v>2</v>
      </c>
      <c r="E86">
        <f t="shared" si="21"/>
        <v>0</v>
      </c>
      <c r="F86" s="100">
        <f t="shared" ca="1" si="22"/>
        <v>6.3634999999999997E-2</v>
      </c>
      <c r="G86">
        <v>1</v>
      </c>
      <c r="H86">
        <v>1</v>
      </c>
      <c r="I86">
        <v>3</v>
      </c>
      <c r="J86" s="1">
        <f t="shared" ca="1" si="23"/>
        <v>0</v>
      </c>
      <c r="K86" s="1">
        <f t="shared" ca="1" si="24"/>
        <v>0</v>
      </c>
      <c r="L86" s="13">
        <f t="shared" ca="1" si="25"/>
        <v>163</v>
      </c>
      <c r="M86" s="7">
        <f t="shared" ca="1" si="26"/>
        <v>837</v>
      </c>
      <c r="N86" s="44">
        <f t="shared" ca="1" si="27"/>
        <v>11</v>
      </c>
      <c r="O86" s="94">
        <f t="shared" ca="1" si="28"/>
        <v>2.8397004155948178</v>
      </c>
      <c r="P86" s="94">
        <f t="shared" ca="1" si="29"/>
        <v>28.397004155948181</v>
      </c>
      <c r="Q86" s="94">
        <f t="shared" ca="1" si="30"/>
        <v>28.397004155948181</v>
      </c>
      <c r="R86" s="94">
        <f t="shared" ca="1" si="31"/>
        <v>2.8397004155948182</v>
      </c>
      <c r="S86" s="94">
        <f t="shared" ca="1" si="32"/>
        <v>2.8397004155948178</v>
      </c>
      <c r="T86" s="4">
        <f t="shared" ca="1" si="33"/>
        <v>0</v>
      </c>
      <c r="U86" s="46">
        <f t="shared" ca="1" si="34"/>
        <v>1386.1639413314356</v>
      </c>
      <c r="V86" s="4">
        <f t="shared" ca="1" si="35"/>
        <v>0</v>
      </c>
      <c r="W86" s="13">
        <f t="shared" ca="1" si="36"/>
        <v>8973.8765817077146</v>
      </c>
      <c r="X86" s="4">
        <f t="shared" ca="1" si="37"/>
        <v>0</v>
      </c>
      <c r="AE86" s="4"/>
    </row>
    <row r="87" spans="1:31">
      <c r="A87">
        <v>0</v>
      </c>
      <c r="B87">
        <v>2</v>
      </c>
      <c r="C87">
        <f t="shared" si="19"/>
        <v>4</v>
      </c>
      <c r="D87">
        <f t="shared" si="20"/>
        <v>2</v>
      </c>
      <c r="E87">
        <f t="shared" si="21"/>
        <v>0</v>
      </c>
      <c r="F87" s="100">
        <f t="shared" ca="1" si="22"/>
        <v>6.3634999999999997E-2</v>
      </c>
      <c r="G87">
        <v>1</v>
      </c>
      <c r="H87">
        <v>1</v>
      </c>
      <c r="I87">
        <v>2</v>
      </c>
      <c r="J87" s="1">
        <f t="shared" ca="1" si="23"/>
        <v>0.92178404999999997</v>
      </c>
      <c r="K87" s="1">
        <f t="shared" ca="1" si="24"/>
        <v>5.8657728021749997E-2</v>
      </c>
      <c r="L87" s="13">
        <f t="shared" ca="1" si="25"/>
        <v>150</v>
      </c>
      <c r="M87" s="7">
        <f t="shared" ca="1" si="26"/>
        <v>850</v>
      </c>
      <c r="N87" s="44">
        <f t="shared" ca="1" si="27"/>
        <v>11</v>
      </c>
      <c r="O87" s="94">
        <f t="shared" ca="1" si="28"/>
        <v>2.8397004155948178</v>
      </c>
      <c r="P87" s="94">
        <f t="shared" ca="1" si="29"/>
        <v>28.397004155948181</v>
      </c>
      <c r="Q87" s="94">
        <f t="shared" ca="1" si="30"/>
        <v>28.397004155948181</v>
      </c>
      <c r="R87" s="94">
        <f t="shared" ca="1" si="31"/>
        <v>2.8397004155948182</v>
      </c>
      <c r="S87" s="94">
        <f t="shared" ca="1" si="32"/>
        <v>2.8397004155948178</v>
      </c>
      <c r="T87" s="4">
        <f t="shared" ca="1" si="33"/>
        <v>0.16657037464121124</v>
      </c>
      <c r="U87" s="46">
        <f t="shared" ca="1" si="34"/>
        <v>1373.1639413314356</v>
      </c>
      <c r="V87" s="4">
        <f t="shared" ca="1" si="35"/>
        <v>80.54667699989362</v>
      </c>
      <c r="W87" s="13">
        <f t="shared" ca="1" si="36"/>
        <v>8139.0600876607459</v>
      </c>
      <c r="X87" s="4">
        <f t="shared" ca="1" si="37"/>
        <v>477.41877297468471</v>
      </c>
      <c r="AE87" s="4"/>
    </row>
    <row r="88" spans="1:31">
      <c r="A88">
        <v>0</v>
      </c>
      <c r="B88">
        <v>2</v>
      </c>
      <c r="C88">
        <f t="shared" si="19"/>
        <v>4</v>
      </c>
      <c r="D88">
        <f t="shared" si="20"/>
        <v>2</v>
      </c>
      <c r="E88">
        <f t="shared" si="21"/>
        <v>0</v>
      </c>
      <c r="F88" s="100">
        <f t="shared" ca="1" si="22"/>
        <v>6.3634999999999997E-2</v>
      </c>
      <c r="G88">
        <v>1</v>
      </c>
      <c r="H88">
        <v>1</v>
      </c>
      <c r="I88">
        <v>1</v>
      </c>
      <c r="J88" s="1">
        <f t="shared" ca="1" si="23"/>
        <v>1.8621900000000018E-2</v>
      </c>
      <c r="K88" s="1">
        <f t="shared" ca="1" si="24"/>
        <v>1.185004606500001E-3</v>
      </c>
      <c r="L88" s="13">
        <f t="shared" ca="1" si="25"/>
        <v>137</v>
      </c>
      <c r="M88" s="7">
        <f t="shared" ca="1" si="26"/>
        <v>863</v>
      </c>
      <c r="N88" s="44">
        <f t="shared" ca="1" si="27"/>
        <v>11</v>
      </c>
      <c r="O88" s="94">
        <f t="shared" ca="1" si="28"/>
        <v>2.8397004155948178</v>
      </c>
      <c r="P88" s="94">
        <f t="shared" ca="1" si="29"/>
        <v>28.397004155948181</v>
      </c>
      <c r="Q88" s="94">
        <f t="shared" ca="1" si="30"/>
        <v>28.397004155948181</v>
      </c>
      <c r="R88" s="94">
        <f t="shared" ca="1" si="31"/>
        <v>2.8397004155948182</v>
      </c>
      <c r="S88" s="94">
        <f t="shared" ca="1" si="32"/>
        <v>2.8397004155948178</v>
      </c>
      <c r="T88" s="4">
        <f t="shared" ca="1" si="33"/>
        <v>3.3650580735598264E-3</v>
      </c>
      <c r="U88" s="46">
        <f t="shared" ca="1" si="34"/>
        <v>1360.1639413314356</v>
      </c>
      <c r="V88" s="4">
        <f t="shared" ca="1" si="35"/>
        <v>1.6118005360729482</v>
      </c>
      <c r="W88" s="13">
        <f t="shared" ca="1" si="36"/>
        <v>7304.2435936137754</v>
      </c>
      <c r="X88" s="4">
        <f t="shared" ca="1" si="37"/>
        <v>8.6555623054304451</v>
      </c>
      <c r="AE88" s="4"/>
    </row>
    <row r="89" spans="1:31">
      <c r="A89">
        <v>0</v>
      </c>
      <c r="B89">
        <v>2</v>
      </c>
      <c r="C89">
        <f t="shared" si="19"/>
        <v>4</v>
      </c>
      <c r="D89">
        <f t="shared" si="20"/>
        <v>2</v>
      </c>
      <c r="E89">
        <f t="shared" si="21"/>
        <v>0</v>
      </c>
      <c r="F89" s="100">
        <f t="shared" ca="1" si="22"/>
        <v>6.3634999999999997E-2</v>
      </c>
      <c r="G89">
        <v>1</v>
      </c>
      <c r="H89">
        <v>1</v>
      </c>
      <c r="I89">
        <v>0</v>
      </c>
      <c r="J89" s="1">
        <f t="shared" ca="1" si="23"/>
        <v>9.4050000000000172E-5</v>
      </c>
      <c r="K89" s="1">
        <f t="shared" ca="1" si="24"/>
        <v>5.9848717500000105E-6</v>
      </c>
      <c r="L89" s="13">
        <f t="shared" ca="1" si="25"/>
        <v>124</v>
      </c>
      <c r="M89" s="7">
        <f t="shared" ca="1" si="26"/>
        <v>876</v>
      </c>
      <c r="N89" s="44">
        <f t="shared" ca="1" si="27"/>
        <v>11</v>
      </c>
      <c r="O89" s="94">
        <f t="shared" ca="1" si="28"/>
        <v>2.8397004155948178</v>
      </c>
      <c r="P89" s="94">
        <f t="shared" ca="1" si="29"/>
        <v>28.397004155948181</v>
      </c>
      <c r="Q89" s="94">
        <f t="shared" ca="1" si="30"/>
        <v>28.397004155948181</v>
      </c>
      <c r="R89" s="94">
        <f t="shared" ca="1" si="31"/>
        <v>2.8397004155948182</v>
      </c>
      <c r="S89" s="94">
        <f t="shared" ca="1" si="32"/>
        <v>2.8397004155948178</v>
      </c>
      <c r="T89" s="4">
        <f t="shared" ca="1" si="33"/>
        <v>1.6995242795756715E-5</v>
      </c>
      <c r="U89" s="46">
        <f t="shared" ca="1" si="34"/>
        <v>1347.1639413314356</v>
      </c>
      <c r="V89" s="4">
        <f t="shared" ca="1" si="35"/>
        <v>8.0626034150931801E-3</v>
      </c>
      <c r="W89" s="13">
        <f t="shared" ca="1" si="36"/>
        <v>6469.4270995668048</v>
      </c>
      <c r="X89" s="4">
        <f t="shared" ca="1" si="37"/>
        <v>3.8718691486881875E-2</v>
      </c>
      <c r="AE89" s="4"/>
    </row>
    <row r="90" spans="1:31">
      <c r="A90">
        <v>0</v>
      </c>
      <c r="B90">
        <v>2</v>
      </c>
      <c r="C90">
        <f t="shared" si="19"/>
        <v>4</v>
      </c>
      <c r="D90">
        <f t="shared" si="20"/>
        <v>2</v>
      </c>
      <c r="E90">
        <f t="shared" si="21"/>
        <v>0</v>
      </c>
      <c r="F90" s="100">
        <f t="shared" ca="1" si="22"/>
        <v>6.3634999999999997E-2</v>
      </c>
      <c r="G90">
        <v>1</v>
      </c>
      <c r="H90">
        <v>0</v>
      </c>
      <c r="I90">
        <v>7</v>
      </c>
      <c r="J90" s="1">
        <f t="shared" ca="1" si="23"/>
        <v>0</v>
      </c>
      <c r="K90" s="1">
        <f t="shared" ca="1" si="24"/>
        <v>0</v>
      </c>
      <c r="L90" s="13">
        <f t="shared" ca="1" si="25"/>
        <v>153</v>
      </c>
      <c r="M90" s="7">
        <f t="shared" ca="1" si="26"/>
        <v>847</v>
      </c>
      <c r="N90" s="44">
        <f t="shared" ca="1" si="27"/>
        <v>11</v>
      </c>
      <c r="O90" s="94">
        <f t="shared" ca="1" si="28"/>
        <v>2.8397004155948178</v>
      </c>
      <c r="P90" s="94">
        <f t="shared" ca="1" si="29"/>
        <v>28.397004155948181</v>
      </c>
      <c r="Q90" s="94">
        <f t="shared" ca="1" si="30"/>
        <v>28.397004155948181</v>
      </c>
      <c r="R90" s="94">
        <f t="shared" ca="1" si="31"/>
        <v>2.8397004155948182</v>
      </c>
      <c r="S90" s="94">
        <f t="shared" ca="1" si="32"/>
        <v>2.8397004155948178</v>
      </c>
      <c r="T90" s="4">
        <f t="shared" ca="1" si="33"/>
        <v>0</v>
      </c>
      <c r="U90" s="46">
        <f t="shared" ca="1" si="34"/>
        <v>1376.1639413314356</v>
      </c>
      <c r="V90" s="4">
        <f t="shared" ca="1" si="35"/>
        <v>0</v>
      </c>
      <c r="W90" s="13">
        <f t="shared" ca="1" si="36"/>
        <v>11687.430916657584</v>
      </c>
      <c r="X90" s="4">
        <f t="shared" ca="1" si="37"/>
        <v>0</v>
      </c>
      <c r="AE90" s="4"/>
    </row>
    <row r="91" spans="1:31">
      <c r="A91">
        <v>0</v>
      </c>
      <c r="B91">
        <v>2</v>
      </c>
      <c r="C91">
        <f t="shared" si="19"/>
        <v>4</v>
      </c>
      <c r="D91">
        <f t="shared" si="20"/>
        <v>2</v>
      </c>
      <c r="E91">
        <f t="shared" si="21"/>
        <v>0</v>
      </c>
      <c r="F91" s="100">
        <f t="shared" ca="1" si="22"/>
        <v>6.3634999999999997E-2</v>
      </c>
      <c r="G91">
        <v>1</v>
      </c>
      <c r="H91">
        <v>0</v>
      </c>
      <c r="I91">
        <v>6</v>
      </c>
      <c r="J91" s="1">
        <f t="shared" ca="1" si="23"/>
        <v>0</v>
      </c>
      <c r="K91" s="1">
        <f t="shared" ca="1" si="24"/>
        <v>0</v>
      </c>
      <c r="L91" s="13">
        <f t="shared" ca="1" si="25"/>
        <v>140</v>
      </c>
      <c r="M91" s="7">
        <f t="shared" ca="1" si="26"/>
        <v>860</v>
      </c>
      <c r="N91" s="44">
        <f t="shared" ca="1" si="27"/>
        <v>11</v>
      </c>
      <c r="O91" s="94">
        <f t="shared" ca="1" si="28"/>
        <v>2.8397004155948178</v>
      </c>
      <c r="P91" s="94">
        <f t="shared" ca="1" si="29"/>
        <v>28.397004155948181</v>
      </c>
      <c r="Q91" s="94">
        <f t="shared" ca="1" si="30"/>
        <v>28.397004155948181</v>
      </c>
      <c r="R91" s="94">
        <f t="shared" ca="1" si="31"/>
        <v>2.8397004155948182</v>
      </c>
      <c r="S91" s="94">
        <f t="shared" ca="1" si="32"/>
        <v>2.8397004155948178</v>
      </c>
      <c r="T91" s="4">
        <f t="shared" ca="1" si="33"/>
        <v>0</v>
      </c>
      <c r="U91" s="46">
        <f t="shared" ca="1" si="34"/>
        <v>1363.1639413314356</v>
      </c>
      <c r="V91" s="4">
        <f t="shared" ca="1" si="35"/>
        <v>0</v>
      </c>
      <c r="W91" s="13">
        <f t="shared" ca="1" si="36"/>
        <v>10852.614422610615</v>
      </c>
      <c r="X91" s="4">
        <f t="shared" ca="1" si="37"/>
        <v>0</v>
      </c>
      <c r="AE91" s="4"/>
    </row>
    <row r="92" spans="1:31">
      <c r="A92">
        <v>0</v>
      </c>
      <c r="B92">
        <v>2</v>
      </c>
      <c r="C92">
        <f t="shared" si="19"/>
        <v>4</v>
      </c>
      <c r="D92">
        <f t="shared" si="20"/>
        <v>2</v>
      </c>
      <c r="E92">
        <f t="shared" si="21"/>
        <v>0</v>
      </c>
      <c r="F92" s="100">
        <f t="shared" ca="1" si="22"/>
        <v>6.3634999999999997E-2</v>
      </c>
      <c r="G92">
        <v>1</v>
      </c>
      <c r="H92">
        <v>0</v>
      </c>
      <c r="I92">
        <v>5</v>
      </c>
      <c r="J92" s="1">
        <f t="shared" ca="1" si="23"/>
        <v>0</v>
      </c>
      <c r="K92" s="1">
        <f t="shared" ca="1" si="24"/>
        <v>0</v>
      </c>
      <c r="L92" s="13">
        <f t="shared" ca="1" si="25"/>
        <v>127</v>
      </c>
      <c r="M92" s="7">
        <f t="shared" ca="1" si="26"/>
        <v>873</v>
      </c>
      <c r="N92" s="44">
        <f t="shared" ca="1" si="27"/>
        <v>11</v>
      </c>
      <c r="O92" s="94">
        <f t="shared" ca="1" si="28"/>
        <v>2.8397004155948178</v>
      </c>
      <c r="P92" s="94">
        <f t="shared" ca="1" si="29"/>
        <v>28.397004155948181</v>
      </c>
      <c r="Q92" s="94">
        <f t="shared" ca="1" si="30"/>
        <v>28.397004155948181</v>
      </c>
      <c r="R92" s="94">
        <f t="shared" ca="1" si="31"/>
        <v>2.8397004155948182</v>
      </c>
      <c r="S92" s="94">
        <f t="shared" ca="1" si="32"/>
        <v>2.8397004155948178</v>
      </c>
      <c r="T92" s="4">
        <f t="shared" ca="1" si="33"/>
        <v>0</v>
      </c>
      <c r="U92" s="46">
        <f t="shared" ca="1" si="34"/>
        <v>1350.1639413314356</v>
      </c>
      <c r="V92" s="4">
        <f t="shared" ca="1" si="35"/>
        <v>0</v>
      </c>
      <c r="W92" s="13">
        <f t="shared" ca="1" si="36"/>
        <v>10017.797928563645</v>
      </c>
      <c r="X92" s="4">
        <f t="shared" ca="1" si="37"/>
        <v>0</v>
      </c>
      <c r="AE92" s="4"/>
    </row>
    <row r="93" spans="1:31">
      <c r="A93">
        <v>0</v>
      </c>
      <c r="B93">
        <v>2</v>
      </c>
      <c r="C93">
        <f t="shared" si="19"/>
        <v>4</v>
      </c>
      <c r="D93">
        <f t="shared" si="20"/>
        <v>2</v>
      </c>
      <c r="E93">
        <f t="shared" si="21"/>
        <v>0</v>
      </c>
      <c r="F93" s="100">
        <f t="shared" ca="1" si="22"/>
        <v>6.3634999999999997E-2</v>
      </c>
      <c r="G93">
        <v>1</v>
      </c>
      <c r="H93">
        <v>0</v>
      </c>
      <c r="I93">
        <v>4</v>
      </c>
      <c r="J93" s="1">
        <f t="shared" ca="1" si="23"/>
        <v>0</v>
      </c>
      <c r="K93" s="1">
        <f t="shared" ca="1" si="24"/>
        <v>0</v>
      </c>
      <c r="L93" s="13">
        <f t="shared" ca="1" si="25"/>
        <v>114</v>
      </c>
      <c r="M93" s="7">
        <f t="shared" ca="1" si="26"/>
        <v>886</v>
      </c>
      <c r="N93" s="44">
        <f t="shared" ca="1" si="27"/>
        <v>12</v>
      </c>
      <c r="O93" s="94">
        <f t="shared" ca="1" si="28"/>
        <v>3.0624018806381534</v>
      </c>
      <c r="P93" s="94">
        <f t="shared" ca="1" si="29"/>
        <v>29.510511481164862</v>
      </c>
      <c r="Q93" s="94">
        <f t="shared" ca="1" si="30"/>
        <v>28.397004155948181</v>
      </c>
      <c r="R93" s="94">
        <f t="shared" ca="1" si="31"/>
        <v>2.8953757818556523</v>
      </c>
      <c r="S93" s="94">
        <f t="shared" ca="1" si="32"/>
        <v>3.0624018806381534</v>
      </c>
      <c r="T93" s="4">
        <f t="shared" ca="1" si="33"/>
        <v>0</v>
      </c>
      <c r="U93" s="46">
        <f t="shared" ca="1" si="34"/>
        <v>1418.7282638229713</v>
      </c>
      <c r="V93" s="4">
        <f t="shared" ca="1" si="35"/>
        <v>0</v>
      </c>
      <c r="W93" s="13">
        <f t="shared" ca="1" si="36"/>
        <v>9182.9814345166742</v>
      </c>
      <c r="X93" s="4">
        <f t="shared" ca="1" si="37"/>
        <v>0</v>
      </c>
      <c r="AE93" s="4"/>
    </row>
    <row r="94" spans="1:31">
      <c r="A94">
        <v>0</v>
      </c>
      <c r="B94">
        <v>2</v>
      </c>
      <c r="C94">
        <f t="shared" si="19"/>
        <v>4</v>
      </c>
      <c r="D94">
        <f t="shared" si="20"/>
        <v>2</v>
      </c>
      <c r="E94">
        <f t="shared" si="21"/>
        <v>0</v>
      </c>
      <c r="F94" s="100">
        <f t="shared" ca="1" si="22"/>
        <v>6.3634999999999997E-2</v>
      </c>
      <c r="G94">
        <v>1</v>
      </c>
      <c r="H94">
        <v>0</v>
      </c>
      <c r="I94">
        <v>3</v>
      </c>
      <c r="J94" s="1">
        <f t="shared" ca="1" si="23"/>
        <v>0</v>
      </c>
      <c r="K94" s="1">
        <f t="shared" ca="1" si="24"/>
        <v>0</v>
      </c>
      <c r="L94" s="13">
        <f t="shared" ca="1" si="25"/>
        <v>101</v>
      </c>
      <c r="M94" s="7">
        <f t="shared" ca="1" si="26"/>
        <v>899</v>
      </c>
      <c r="N94" s="44">
        <f t="shared" ca="1" si="27"/>
        <v>12</v>
      </c>
      <c r="O94" s="94">
        <f t="shared" ca="1" si="28"/>
        <v>3.0624018806381534</v>
      </c>
      <c r="P94" s="94">
        <f t="shared" ca="1" si="29"/>
        <v>30.624018806381528</v>
      </c>
      <c r="Q94" s="94">
        <f t="shared" ca="1" si="30"/>
        <v>30.178615876294863</v>
      </c>
      <c r="R94" s="94">
        <f t="shared" ca="1" si="31"/>
        <v>3.0401317341338197</v>
      </c>
      <c r="S94" s="94">
        <f t="shared" ca="1" si="32"/>
        <v>3.0624018806381534</v>
      </c>
      <c r="T94" s="4">
        <f t="shared" ca="1" si="33"/>
        <v>0</v>
      </c>
      <c r="U94" s="46">
        <f t="shared" ca="1" si="34"/>
        <v>1405.7282638229713</v>
      </c>
      <c r="V94" s="4">
        <f t="shared" ca="1" si="35"/>
        <v>0</v>
      </c>
      <c r="W94" s="13">
        <f t="shared" ca="1" si="36"/>
        <v>8348.1649404697037</v>
      </c>
      <c r="X94" s="4">
        <f t="shared" ca="1" si="37"/>
        <v>0</v>
      </c>
      <c r="AE94" s="4"/>
    </row>
    <row r="95" spans="1:31">
      <c r="A95">
        <v>0</v>
      </c>
      <c r="B95">
        <v>2</v>
      </c>
      <c r="C95">
        <f t="shared" si="19"/>
        <v>4</v>
      </c>
      <c r="D95">
        <f t="shared" si="20"/>
        <v>2</v>
      </c>
      <c r="E95">
        <f t="shared" si="21"/>
        <v>0</v>
      </c>
      <c r="F95" s="100">
        <f t="shared" ca="1" si="22"/>
        <v>6.3634999999999997E-2</v>
      </c>
      <c r="G95">
        <v>1</v>
      </c>
      <c r="H95">
        <v>0</v>
      </c>
      <c r="I95">
        <v>2</v>
      </c>
      <c r="J95" s="1">
        <f t="shared" ca="1" si="23"/>
        <v>9.3109500000000088E-3</v>
      </c>
      <c r="K95" s="1">
        <f t="shared" ca="1" si="24"/>
        <v>5.9250230325000048E-4</v>
      </c>
      <c r="L95" s="13">
        <f t="shared" ca="1" si="25"/>
        <v>88</v>
      </c>
      <c r="M95" s="7">
        <f t="shared" ca="1" si="26"/>
        <v>912</v>
      </c>
      <c r="N95" s="44">
        <f t="shared" ca="1" si="27"/>
        <v>12</v>
      </c>
      <c r="O95" s="94">
        <f t="shared" ca="1" si="28"/>
        <v>3.0624018806381534</v>
      </c>
      <c r="P95" s="94">
        <f t="shared" ca="1" si="29"/>
        <v>30.624018806381528</v>
      </c>
      <c r="Q95" s="94">
        <f t="shared" ca="1" si="30"/>
        <v>30.624018806381528</v>
      </c>
      <c r="R95" s="94">
        <f t="shared" ca="1" si="31"/>
        <v>3.062401880638153</v>
      </c>
      <c r="S95" s="94">
        <f t="shared" ca="1" si="32"/>
        <v>3.0624018806381534</v>
      </c>
      <c r="T95" s="4">
        <f t="shared" ca="1" si="33"/>
        <v>1.814480167755239E-3</v>
      </c>
      <c r="U95" s="46">
        <f t="shared" ca="1" si="34"/>
        <v>1392.7282638229713</v>
      </c>
      <c r="V95" s="4">
        <f t="shared" ca="1" si="35"/>
        <v>0.82519470411648477</v>
      </c>
      <c r="W95" s="13">
        <f t="shared" ca="1" si="36"/>
        <v>7513.3484464227331</v>
      </c>
      <c r="X95" s="4">
        <f t="shared" ca="1" si="37"/>
        <v>4.4516762596252821</v>
      </c>
      <c r="AE95" s="4"/>
    </row>
    <row r="96" spans="1:31">
      <c r="A96">
        <v>0</v>
      </c>
      <c r="B96">
        <v>2</v>
      </c>
      <c r="C96">
        <f t="shared" si="19"/>
        <v>4</v>
      </c>
      <c r="D96">
        <f t="shared" si="20"/>
        <v>2</v>
      </c>
      <c r="E96">
        <f t="shared" si="21"/>
        <v>0</v>
      </c>
      <c r="F96" s="100">
        <f t="shared" ca="1" si="22"/>
        <v>6.3634999999999997E-2</v>
      </c>
      <c r="G96">
        <v>1</v>
      </c>
      <c r="H96">
        <v>0</v>
      </c>
      <c r="I96">
        <v>1</v>
      </c>
      <c r="J96" s="1">
        <f t="shared" ca="1" si="23"/>
        <v>1.8810000000000034E-4</v>
      </c>
      <c r="K96" s="1">
        <f t="shared" ca="1" si="24"/>
        <v>1.1969743500000021E-5</v>
      </c>
      <c r="L96" s="13">
        <f t="shared" ca="1" si="25"/>
        <v>75</v>
      </c>
      <c r="M96" s="7">
        <f t="shared" ca="1" si="26"/>
        <v>925</v>
      </c>
      <c r="N96" s="44">
        <f t="shared" ca="1" si="27"/>
        <v>12</v>
      </c>
      <c r="O96" s="94">
        <f t="shared" ca="1" si="28"/>
        <v>3.0624018806381534</v>
      </c>
      <c r="P96" s="94">
        <f t="shared" ca="1" si="29"/>
        <v>30.624018806381528</v>
      </c>
      <c r="Q96" s="94">
        <f t="shared" ca="1" si="30"/>
        <v>30.624018806381528</v>
      </c>
      <c r="R96" s="94">
        <f t="shared" ca="1" si="31"/>
        <v>3.062401880638153</v>
      </c>
      <c r="S96" s="94">
        <f t="shared" ca="1" si="32"/>
        <v>3.0624018806381534</v>
      </c>
      <c r="T96" s="4">
        <f t="shared" ca="1" si="33"/>
        <v>3.6656165005156378E-5</v>
      </c>
      <c r="U96" s="46">
        <f t="shared" ca="1" si="34"/>
        <v>1379.7282638229713</v>
      </c>
      <c r="V96" s="4">
        <f t="shared" ca="1" si="35"/>
        <v>1.6514993417661324E-2</v>
      </c>
      <c r="W96" s="13">
        <f t="shared" ca="1" si="36"/>
        <v>6678.5319523757635</v>
      </c>
      <c r="X96" s="4">
        <f t="shared" ca="1" si="37"/>
        <v>7.9940314426492243E-2</v>
      </c>
      <c r="AE96" s="4"/>
    </row>
    <row r="97" spans="1:31">
      <c r="A97">
        <v>0</v>
      </c>
      <c r="B97">
        <v>2</v>
      </c>
      <c r="C97">
        <f t="shared" si="19"/>
        <v>4</v>
      </c>
      <c r="D97">
        <f t="shared" si="20"/>
        <v>2</v>
      </c>
      <c r="E97">
        <f t="shared" si="21"/>
        <v>0</v>
      </c>
      <c r="F97" s="100">
        <f t="shared" ca="1" si="22"/>
        <v>6.3634999999999997E-2</v>
      </c>
      <c r="G97">
        <v>1</v>
      </c>
      <c r="H97">
        <v>0</v>
      </c>
      <c r="I97">
        <v>0</v>
      </c>
      <c r="J97" s="1">
        <f t="shared" ca="1" si="23"/>
        <v>9.5000000000000255E-7</v>
      </c>
      <c r="K97" s="1">
        <f t="shared" ca="1" si="24"/>
        <v>6.0453250000000158E-8</v>
      </c>
      <c r="L97" s="13">
        <f t="shared" ca="1" si="25"/>
        <v>62</v>
      </c>
      <c r="M97" s="7">
        <f t="shared" ca="1" si="26"/>
        <v>938</v>
      </c>
      <c r="N97" s="44">
        <f t="shared" ca="1" si="27"/>
        <v>12</v>
      </c>
      <c r="O97" s="94">
        <f t="shared" ca="1" si="28"/>
        <v>3.0624018806381534</v>
      </c>
      <c r="P97" s="94">
        <f t="shared" ca="1" si="29"/>
        <v>30.624018806381528</v>
      </c>
      <c r="Q97" s="94">
        <f t="shared" ca="1" si="30"/>
        <v>30.624018806381528</v>
      </c>
      <c r="R97" s="94">
        <f t="shared" ca="1" si="31"/>
        <v>3.062401880638153</v>
      </c>
      <c r="S97" s="94">
        <f t="shared" ca="1" si="32"/>
        <v>3.0624018806381534</v>
      </c>
      <c r="T97" s="4">
        <f t="shared" ca="1" si="33"/>
        <v>1.8513214649068893E-7</v>
      </c>
      <c r="U97" s="46">
        <f t="shared" ca="1" si="34"/>
        <v>1366.7282638229713</v>
      </c>
      <c r="V97" s="4">
        <f t="shared" ca="1" si="35"/>
        <v>8.2623165414956253E-5</v>
      </c>
      <c r="W97" s="13">
        <f t="shared" ca="1" si="36"/>
        <v>5843.7154583287929</v>
      </c>
      <c r="X97" s="4">
        <f t="shared" ca="1" si="37"/>
        <v>3.5327159153121604E-4</v>
      </c>
      <c r="AE97" s="4"/>
    </row>
    <row r="98" spans="1:31">
      <c r="A98">
        <v>0</v>
      </c>
      <c r="B98">
        <v>2</v>
      </c>
      <c r="C98">
        <f t="shared" si="19"/>
        <v>4</v>
      </c>
      <c r="D98">
        <f t="shared" si="20"/>
        <v>2</v>
      </c>
      <c r="E98">
        <f t="shared" si="21"/>
        <v>0</v>
      </c>
      <c r="F98" s="100">
        <f t="shared" ca="1" si="22"/>
        <v>6.3634999999999997E-2</v>
      </c>
      <c r="G98">
        <v>0</v>
      </c>
      <c r="H98">
        <v>1</v>
      </c>
      <c r="I98">
        <v>7</v>
      </c>
      <c r="J98" s="1">
        <f t="shared" ca="1" si="23"/>
        <v>0</v>
      </c>
      <c r="K98" s="1">
        <f t="shared" ca="1" si="24"/>
        <v>0</v>
      </c>
      <c r="L98" s="13">
        <f t="shared" ca="1" si="25"/>
        <v>153</v>
      </c>
      <c r="M98" s="7">
        <f t="shared" ca="1" si="26"/>
        <v>847</v>
      </c>
      <c r="N98" s="44">
        <f t="shared" ca="1" si="27"/>
        <v>11</v>
      </c>
      <c r="O98" s="94">
        <f t="shared" ca="1" si="28"/>
        <v>2.8397004155948178</v>
      </c>
      <c r="P98" s="94">
        <f t="shared" ca="1" si="29"/>
        <v>28.397004155948181</v>
      </c>
      <c r="Q98" s="94">
        <f t="shared" ca="1" si="30"/>
        <v>28.397004155948181</v>
      </c>
      <c r="R98" s="94">
        <f t="shared" ca="1" si="31"/>
        <v>2.8397004155948182</v>
      </c>
      <c r="S98" s="94">
        <f t="shared" ca="1" si="32"/>
        <v>2.8397004155948178</v>
      </c>
      <c r="T98" s="4">
        <f t="shared" ca="1" si="33"/>
        <v>0</v>
      </c>
      <c r="U98" s="46">
        <f t="shared" ca="1" si="34"/>
        <v>1376.1639413314356</v>
      </c>
      <c r="V98" s="4">
        <f t="shared" ca="1" si="35"/>
        <v>0</v>
      </c>
      <c r="W98" s="13">
        <f t="shared" ca="1" si="36"/>
        <v>6469.4270995668039</v>
      </c>
      <c r="X98" s="4">
        <f t="shared" ca="1" si="37"/>
        <v>0</v>
      </c>
      <c r="AE98" s="4"/>
    </row>
    <row r="99" spans="1:31">
      <c r="A99">
        <v>0</v>
      </c>
      <c r="B99">
        <v>2</v>
      </c>
      <c r="C99">
        <f t="shared" si="19"/>
        <v>4</v>
      </c>
      <c r="D99">
        <f t="shared" si="20"/>
        <v>2</v>
      </c>
      <c r="E99">
        <f t="shared" si="21"/>
        <v>0</v>
      </c>
      <c r="F99" s="100">
        <f t="shared" ca="1" si="22"/>
        <v>6.3634999999999997E-2</v>
      </c>
      <c r="G99">
        <v>0</v>
      </c>
      <c r="H99">
        <v>1</v>
      </c>
      <c r="I99">
        <v>6</v>
      </c>
      <c r="J99" s="1">
        <f t="shared" ca="1" si="23"/>
        <v>0</v>
      </c>
      <c r="K99" s="1">
        <f t="shared" ca="1" si="24"/>
        <v>0</v>
      </c>
      <c r="L99" s="13">
        <f t="shared" ca="1" si="25"/>
        <v>140</v>
      </c>
      <c r="M99" s="7">
        <f t="shared" ca="1" si="26"/>
        <v>860</v>
      </c>
      <c r="N99" s="44">
        <f t="shared" ca="1" si="27"/>
        <v>11</v>
      </c>
      <c r="O99" s="94">
        <f t="shared" ca="1" si="28"/>
        <v>2.8397004155948178</v>
      </c>
      <c r="P99" s="94">
        <f t="shared" ca="1" si="29"/>
        <v>28.397004155948181</v>
      </c>
      <c r="Q99" s="94">
        <f t="shared" ca="1" si="30"/>
        <v>28.397004155948181</v>
      </c>
      <c r="R99" s="94">
        <f t="shared" ca="1" si="31"/>
        <v>2.8397004155948182</v>
      </c>
      <c r="S99" s="94">
        <f t="shared" ca="1" si="32"/>
        <v>2.8397004155948178</v>
      </c>
      <c r="T99" s="4">
        <f t="shared" ca="1" si="33"/>
        <v>0</v>
      </c>
      <c r="U99" s="46">
        <f t="shared" ca="1" si="34"/>
        <v>1363.1639413314356</v>
      </c>
      <c r="V99" s="4">
        <f t="shared" ca="1" si="35"/>
        <v>0</v>
      </c>
      <c r="W99" s="13">
        <f t="shared" ca="1" si="36"/>
        <v>5634.6106055198334</v>
      </c>
      <c r="X99" s="4">
        <f t="shared" ca="1" si="37"/>
        <v>0</v>
      </c>
      <c r="AE99" s="4"/>
    </row>
    <row r="100" spans="1:31">
      <c r="A100">
        <v>0</v>
      </c>
      <c r="B100">
        <v>2</v>
      </c>
      <c r="C100">
        <f t="shared" si="19"/>
        <v>4</v>
      </c>
      <c r="D100">
        <f t="shared" si="20"/>
        <v>2</v>
      </c>
      <c r="E100">
        <f t="shared" si="21"/>
        <v>0</v>
      </c>
      <c r="F100" s="100">
        <f t="shared" ca="1" si="22"/>
        <v>6.3634999999999997E-2</v>
      </c>
      <c r="G100">
        <v>0</v>
      </c>
      <c r="H100">
        <v>1</v>
      </c>
      <c r="I100">
        <v>5</v>
      </c>
      <c r="J100" s="1">
        <f t="shared" ca="1" si="23"/>
        <v>0</v>
      </c>
      <c r="K100" s="1">
        <f t="shared" ca="1" si="24"/>
        <v>0</v>
      </c>
      <c r="L100" s="13">
        <f t="shared" ca="1" si="25"/>
        <v>127</v>
      </c>
      <c r="M100" s="7">
        <f t="shared" ca="1" si="26"/>
        <v>873</v>
      </c>
      <c r="N100" s="44">
        <f t="shared" ca="1" si="27"/>
        <v>11</v>
      </c>
      <c r="O100" s="94">
        <f t="shared" ca="1" si="28"/>
        <v>2.8397004155948178</v>
      </c>
      <c r="P100" s="94">
        <f t="shared" ca="1" si="29"/>
        <v>28.397004155948181</v>
      </c>
      <c r="Q100" s="94">
        <f t="shared" ca="1" si="30"/>
        <v>28.397004155948181</v>
      </c>
      <c r="R100" s="94">
        <f t="shared" ca="1" si="31"/>
        <v>2.8397004155948182</v>
      </c>
      <c r="S100" s="94">
        <f t="shared" ca="1" si="32"/>
        <v>2.8397004155948178</v>
      </c>
      <c r="T100" s="4">
        <f t="shared" ca="1" si="33"/>
        <v>0</v>
      </c>
      <c r="U100" s="46">
        <f t="shared" ca="1" si="34"/>
        <v>1350.1639413314356</v>
      </c>
      <c r="V100" s="4">
        <f t="shared" ca="1" si="35"/>
        <v>0</v>
      </c>
      <c r="W100" s="13">
        <f t="shared" ca="1" si="36"/>
        <v>4799.7941114728637</v>
      </c>
      <c r="X100" s="4">
        <f t="shared" ca="1" si="37"/>
        <v>0</v>
      </c>
      <c r="AE100" s="4"/>
    </row>
    <row r="101" spans="1:31">
      <c r="A101">
        <v>0</v>
      </c>
      <c r="B101">
        <v>2</v>
      </c>
      <c r="C101">
        <f t="shared" si="19"/>
        <v>4</v>
      </c>
      <c r="D101">
        <f t="shared" si="20"/>
        <v>2</v>
      </c>
      <c r="E101">
        <f t="shared" si="21"/>
        <v>0</v>
      </c>
      <c r="F101" s="100">
        <f t="shared" ca="1" si="22"/>
        <v>6.3634999999999997E-2</v>
      </c>
      <c r="G101">
        <v>0</v>
      </c>
      <c r="H101">
        <v>1</v>
      </c>
      <c r="I101">
        <v>4</v>
      </c>
      <c r="J101" s="1">
        <f t="shared" ca="1" si="23"/>
        <v>0</v>
      </c>
      <c r="K101" s="1">
        <f t="shared" ca="1" si="24"/>
        <v>0</v>
      </c>
      <c r="L101" s="13">
        <f t="shared" ca="1" si="25"/>
        <v>114</v>
      </c>
      <c r="M101" s="7">
        <f t="shared" ca="1" si="26"/>
        <v>886</v>
      </c>
      <c r="N101" s="44">
        <f t="shared" ca="1" si="27"/>
        <v>12</v>
      </c>
      <c r="O101" s="94">
        <f t="shared" ca="1" si="28"/>
        <v>3.0624018806381534</v>
      </c>
      <c r="P101" s="94">
        <f t="shared" ca="1" si="29"/>
        <v>29.510511481164862</v>
      </c>
      <c r="Q101" s="94">
        <f t="shared" ca="1" si="30"/>
        <v>28.397004155948181</v>
      </c>
      <c r="R101" s="94">
        <f t="shared" ca="1" si="31"/>
        <v>2.8953757818556523</v>
      </c>
      <c r="S101" s="94">
        <f t="shared" ca="1" si="32"/>
        <v>3.0624018806381534</v>
      </c>
      <c r="T101" s="4">
        <f t="shared" ca="1" si="33"/>
        <v>0</v>
      </c>
      <c r="U101" s="46">
        <f t="shared" ca="1" si="34"/>
        <v>1418.7282638229713</v>
      </c>
      <c r="V101" s="4">
        <f t="shared" ca="1" si="35"/>
        <v>0</v>
      </c>
      <c r="W101" s="13">
        <f t="shared" ca="1" si="36"/>
        <v>3964.9776174258936</v>
      </c>
      <c r="X101" s="4">
        <f t="shared" ca="1" si="37"/>
        <v>0</v>
      </c>
      <c r="AE101" s="4"/>
    </row>
    <row r="102" spans="1:31">
      <c r="A102">
        <v>0</v>
      </c>
      <c r="B102">
        <v>2</v>
      </c>
      <c r="C102">
        <f t="shared" si="19"/>
        <v>4</v>
      </c>
      <c r="D102">
        <f t="shared" si="20"/>
        <v>2</v>
      </c>
      <c r="E102">
        <f t="shared" si="21"/>
        <v>0</v>
      </c>
      <c r="F102" s="100">
        <f t="shared" ca="1" si="22"/>
        <v>6.3634999999999997E-2</v>
      </c>
      <c r="G102">
        <v>0</v>
      </c>
      <c r="H102">
        <v>1</v>
      </c>
      <c r="I102">
        <v>3</v>
      </c>
      <c r="J102" s="1">
        <f t="shared" ca="1" si="23"/>
        <v>0</v>
      </c>
      <c r="K102" s="1">
        <f t="shared" ca="1" si="24"/>
        <v>0</v>
      </c>
      <c r="L102" s="13">
        <f t="shared" ca="1" si="25"/>
        <v>101</v>
      </c>
      <c r="M102" s="7">
        <f t="shared" ca="1" si="26"/>
        <v>899</v>
      </c>
      <c r="N102" s="44">
        <f t="shared" ca="1" si="27"/>
        <v>12</v>
      </c>
      <c r="O102" s="94">
        <f t="shared" ca="1" si="28"/>
        <v>3.0624018806381534</v>
      </c>
      <c r="P102" s="94">
        <f t="shared" ca="1" si="29"/>
        <v>30.624018806381528</v>
      </c>
      <c r="Q102" s="94">
        <f t="shared" ca="1" si="30"/>
        <v>30.178615876294863</v>
      </c>
      <c r="R102" s="94">
        <f t="shared" ca="1" si="31"/>
        <v>3.0401317341338197</v>
      </c>
      <c r="S102" s="94">
        <f t="shared" ca="1" si="32"/>
        <v>3.0624018806381534</v>
      </c>
      <c r="T102" s="4">
        <f t="shared" ca="1" si="33"/>
        <v>0</v>
      </c>
      <c r="U102" s="46">
        <f t="shared" ca="1" si="34"/>
        <v>1405.7282638229713</v>
      </c>
      <c r="V102" s="4">
        <f t="shared" ca="1" si="35"/>
        <v>0</v>
      </c>
      <c r="W102" s="13">
        <f t="shared" ca="1" si="36"/>
        <v>3130.1611233789231</v>
      </c>
      <c r="X102" s="4">
        <f t="shared" ca="1" si="37"/>
        <v>0</v>
      </c>
      <c r="AE102" s="4"/>
    </row>
    <row r="103" spans="1:31">
      <c r="A103">
        <v>0</v>
      </c>
      <c r="B103">
        <v>2</v>
      </c>
      <c r="C103">
        <f t="shared" si="19"/>
        <v>4</v>
      </c>
      <c r="D103">
        <f t="shared" si="20"/>
        <v>2</v>
      </c>
      <c r="E103">
        <f t="shared" si="21"/>
        <v>0</v>
      </c>
      <c r="F103" s="100">
        <f t="shared" ca="1" si="22"/>
        <v>6.3634999999999997E-2</v>
      </c>
      <c r="G103">
        <v>0</v>
      </c>
      <c r="H103">
        <v>1</v>
      </c>
      <c r="I103">
        <v>2</v>
      </c>
      <c r="J103" s="1">
        <f t="shared" ca="1" si="23"/>
        <v>4.8514950000000001E-2</v>
      </c>
      <c r="K103" s="1">
        <f t="shared" ca="1" si="24"/>
        <v>3.0872488432500001E-3</v>
      </c>
      <c r="L103" s="13">
        <f t="shared" ca="1" si="25"/>
        <v>88</v>
      </c>
      <c r="M103" s="7">
        <f t="shared" ca="1" si="26"/>
        <v>912</v>
      </c>
      <c r="N103" s="44">
        <f t="shared" ca="1" si="27"/>
        <v>12</v>
      </c>
      <c r="O103" s="94">
        <f t="shared" ca="1" si="28"/>
        <v>3.0624018806381534</v>
      </c>
      <c r="P103" s="94">
        <f t="shared" ca="1" si="29"/>
        <v>30.624018806381528</v>
      </c>
      <c r="Q103" s="94">
        <f t="shared" ca="1" si="30"/>
        <v>30.624018806381528</v>
      </c>
      <c r="R103" s="94">
        <f t="shared" ca="1" si="31"/>
        <v>3.062401880638153</v>
      </c>
      <c r="S103" s="94">
        <f t="shared" ca="1" si="32"/>
        <v>3.0624018806381534</v>
      </c>
      <c r="T103" s="4">
        <f t="shared" ca="1" si="33"/>
        <v>9.4543966635667644E-3</v>
      </c>
      <c r="U103" s="46">
        <f t="shared" ca="1" si="34"/>
        <v>1392.7282638229713</v>
      </c>
      <c r="V103" s="4">
        <f t="shared" ca="1" si="35"/>
        <v>4.2996987214490492</v>
      </c>
      <c r="W103" s="13">
        <f t="shared" ca="1" si="36"/>
        <v>2295.344629331953</v>
      </c>
      <c r="X103" s="4">
        <f t="shared" ca="1" si="37"/>
        <v>7.0863000517651722</v>
      </c>
      <c r="AE103" s="4"/>
    </row>
    <row r="104" spans="1:31">
      <c r="A104">
        <v>0</v>
      </c>
      <c r="B104">
        <v>2</v>
      </c>
      <c r="C104">
        <f t="shared" si="19"/>
        <v>4</v>
      </c>
      <c r="D104">
        <f t="shared" si="20"/>
        <v>2</v>
      </c>
      <c r="E104">
        <f t="shared" si="21"/>
        <v>0</v>
      </c>
      <c r="F104" s="100">
        <f t="shared" ca="1" si="22"/>
        <v>6.3634999999999997E-2</v>
      </c>
      <c r="G104">
        <v>0</v>
      </c>
      <c r="H104">
        <v>1</v>
      </c>
      <c r="I104">
        <v>1</v>
      </c>
      <c r="J104" s="1">
        <f t="shared" ca="1" si="23"/>
        <v>9.8010000000000089E-4</v>
      </c>
      <c r="K104" s="1">
        <f t="shared" ca="1" si="24"/>
        <v>6.2368663500000056E-5</v>
      </c>
      <c r="L104" s="13">
        <f t="shared" ca="1" si="25"/>
        <v>75</v>
      </c>
      <c r="M104" s="7">
        <f t="shared" ca="1" si="26"/>
        <v>925</v>
      </c>
      <c r="N104" s="44">
        <f t="shared" ca="1" si="27"/>
        <v>12</v>
      </c>
      <c r="O104" s="94">
        <f t="shared" ca="1" si="28"/>
        <v>3.0624018806381534</v>
      </c>
      <c r="P104" s="94">
        <f t="shared" ca="1" si="29"/>
        <v>30.624018806381528</v>
      </c>
      <c r="Q104" s="94">
        <f t="shared" ca="1" si="30"/>
        <v>30.624018806381528</v>
      </c>
      <c r="R104" s="94">
        <f t="shared" ca="1" si="31"/>
        <v>3.062401880638153</v>
      </c>
      <c r="S104" s="94">
        <f t="shared" ca="1" si="32"/>
        <v>3.0624018806381534</v>
      </c>
      <c r="T104" s="4">
        <f t="shared" ca="1" si="33"/>
        <v>1.9099791239528832E-4</v>
      </c>
      <c r="U104" s="46">
        <f t="shared" ca="1" si="34"/>
        <v>1379.7282638229713</v>
      </c>
      <c r="V104" s="4">
        <f t="shared" ca="1" si="35"/>
        <v>8.6051807807814198E-2</v>
      </c>
      <c r="W104" s="13">
        <f t="shared" ca="1" si="36"/>
        <v>1460.5281352849825</v>
      </c>
      <c r="X104" s="4">
        <f t="shared" ca="1" si="37"/>
        <v>9.1091187801871629E-2</v>
      </c>
      <c r="AE104" s="4"/>
    </row>
    <row r="105" spans="1:31">
      <c r="A105">
        <v>0</v>
      </c>
      <c r="B105">
        <v>2</v>
      </c>
      <c r="C105">
        <f t="shared" si="19"/>
        <v>4</v>
      </c>
      <c r="D105">
        <f t="shared" si="20"/>
        <v>2</v>
      </c>
      <c r="E105">
        <f t="shared" si="21"/>
        <v>0</v>
      </c>
      <c r="F105" s="100">
        <f t="shared" ca="1" si="22"/>
        <v>6.3634999999999997E-2</v>
      </c>
      <c r="G105">
        <v>0</v>
      </c>
      <c r="H105">
        <v>1</v>
      </c>
      <c r="I105">
        <v>0</v>
      </c>
      <c r="J105" s="1">
        <f t="shared" ca="1" si="23"/>
        <v>4.9500000000000094E-6</v>
      </c>
      <c r="K105" s="1">
        <f t="shared" ca="1" si="24"/>
        <v>3.1499325000000056E-7</v>
      </c>
      <c r="L105" s="13">
        <f t="shared" ca="1" si="25"/>
        <v>62</v>
      </c>
      <c r="M105" s="7">
        <f t="shared" ca="1" si="26"/>
        <v>938</v>
      </c>
      <c r="N105" s="44">
        <f t="shared" ca="1" si="27"/>
        <v>12</v>
      </c>
      <c r="O105" s="94">
        <f t="shared" ca="1" si="28"/>
        <v>3.0624018806381534</v>
      </c>
      <c r="P105" s="94">
        <f t="shared" ca="1" si="29"/>
        <v>30.624018806381528</v>
      </c>
      <c r="Q105" s="94">
        <f t="shared" ca="1" si="30"/>
        <v>30.624018806381528</v>
      </c>
      <c r="R105" s="94">
        <f t="shared" ca="1" si="31"/>
        <v>3.062401880638153</v>
      </c>
      <c r="S105" s="94">
        <f t="shared" ca="1" si="32"/>
        <v>3.0624018806381534</v>
      </c>
      <c r="T105" s="4">
        <f t="shared" ca="1" si="33"/>
        <v>9.6463592118832572E-7</v>
      </c>
      <c r="U105" s="46">
        <f t="shared" ca="1" si="34"/>
        <v>1366.7282638229713</v>
      </c>
      <c r="V105" s="4">
        <f t="shared" ca="1" si="35"/>
        <v>4.3051017768845591E-4</v>
      </c>
      <c r="W105" s="13">
        <f t="shared" ca="1" si="36"/>
        <v>625.71164123801225</v>
      </c>
      <c r="X105" s="4">
        <f t="shared" ca="1" si="37"/>
        <v>1.9709494343639585E-4</v>
      </c>
      <c r="AE105" s="4"/>
    </row>
    <row r="106" spans="1:31">
      <c r="A106">
        <v>0</v>
      </c>
      <c r="B106">
        <v>2</v>
      </c>
      <c r="C106">
        <f t="shared" si="19"/>
        <v>4</v>
      </c>
      <c r="D106">
        <f t="shared" si="20"/>
        <v>2</v>
      </c>
      <c r="E106">
        <f t="shared" si="21"/>
        <v>0</v>
      </c>
      <c r="F106" s="100">
        <f t="shared" ca="1" si="22"/>
        <v>6.3634999999999997E-2</v>
      </c>
      <c r="G106">
        <v>0</v>
      </c>
      <c r="H106">
        <v>0</v>
      </c>
      <c r="I106">
        <v>7</v>
      </c>
      <c r="J106" s="1">
        <f t="shared" ca="1" si="23"/>
        <v>0</v>
      </c>
      <c r="K106" s="1">
        <f t="shared" ca="1" si="24"/>
        <v>0</v>
      </c>
      <c r="L106" s="13">
        <f t="shared" ca="1" si="25"/>
        <v>91</v>
      </c>
      <c r="M106" s="7">
        <f t="shared" ca="1" si="26"/>
        <v>909</v>
      </c>
      <c r="N106" s="44">
        <f t="shared" ca="1" si="27"/>
        <v>12</v>
      </c>
      <c r="O106" s="94">
        <f t="shared" ca="1" si="28"/>
        <v>3.0624018806381534</v>
      </c>
      <c r="P106" s="94">
        <f t="shared" ca="1" si="29"/>
        <v>30.624018806381528</v>
      </c>
      <c r="Q106" s="94">
        <f t="shared" ca="1" si="30"/>
        <v>30.624018806381528</v>
      </c>
      <c r="R106" s="94">
        <f t="shared" ca="1" si="31"/>
        <v>3.062401880638153</v>
      </c>
      <c r="S106" s="94">
        <f t="shared" ca="1" si="32"/>
        <v>3.0624018806381534</v>
      </c>
      <c r="T106" s="4">
        <f t="shared" ca="1" si="33"/>
        <v>0</v>
      </c>
      <c r="U106" s="46">
        <f t="shared" ca="1" si="34"/>
        <v>1395.7282638229713</v>
      </c>
      <c r="V106" s="4">
        <f t="shared" ca="1" si="35"/>
        <v>0</v>
      </c>
      <c r="W106" s="13">
        <f t="shared" ca="1" si="36"/>
        <v>5843.715458328792</v>
      </c>
      <c r="X106" s="4">
        <f t="shared" ca="1" si="37"/>
        <v>0</v>
      </c>
      <c r="AE106" s="4"/>
    </row>
    <row r="107" spans="1:31">
      <c r="A107">
        <v>0</v>
      </c>
      <c r="B107">
        <v>2</v>
      </c>
      <c r="C107">
        <f t="shared" si="19"/>
        <v>4</v>
      </c>
      <c r="D107">
        <f t="shared" si="20"/>
        <v>2</v>
      </c>
      <c r="E107">
        <f t="shared" si="21"/>
        <v>0</v>
      </c>
      <c r="F107" s="100">
        <f t="shared" ca="1" si="22"/>
        <v>6.3634999999999997E-2</v>
      </c>
      <c r="G107">
        <v>0</v>
      </c>
      <c r="H107">
        <v>0</v>
      </c>
      <c r="I107">
        <v>6</v>
      </c>
      <c r="J107" s="1">
        <f t="shared" ca="1" si="23"/>
        <v>0</v>
      </c>
      <c r="K107" s="1">
        <f t="shared" ca="1" si="24"/>
        <v>0</v>
      </c>
      <c r="L107" s="13">
        <f t="shared" ca="1" si="25"/>
        <v>78</v>
      </c>
      <c r="M107" s="7">
        <f t="shared" ca="1" si="26"/>
        <v>922</v>
      </c>
      <c r="N107" s="44">
        <f t="shared" ca="1" si="27"/>
        <v>12</v>
      </c>
      <c r="O107" s="94">
        <f t="shared" ca="1" si="28"/>
        <v>3.0624018806381534</v>
      </c>
      <c r="P107" s="94">
        <f t="shared" ca="1" si="29"/>
        <v>30.624018806381528</v>
      </c>
      <c r="Q107" s="94">
        <f t="shared" ca="1" si="30"/>
        <v>30.624018806381528</v>
      </c>
      <c r="R107" s="94">
        <f t="shared" ca="1" si="31"/>
        <v>3.062401880638153</v>
      </c>
      <c r="S107" s="94">
        <f t="shared" ca="1" si="32"/>
        <v>3.0624018806381534</v>
      </c>
      <c r="T107" s="4">
        <f t="shared" ca="1" si="33"/>
        <v>0</v>
      </c>
      <c r="U107" s="46">
        <f t="shared" ca="1" si="34"/>
        <v>1382.7282638229713</v>
      </c>
      <c r="V107" s="4">
        <f t="shared" ca="1" si="35"/>
        <v>0</v>
      </c>
      <c r="W107" s="13">
        <f t="shared" ca="1" si="36"/>
        <v>5008.8989642818215</v>
      </c>
      <c r="X107" s="4">
        <f t="shared" ca="1" si="37"/>
        <v>0</v>
      </c>
      <c r="AE107" s="4"/>
    </row>
    <row r="108" spans="1:31">
      <c r="A108">
        <v>0</v>
      </c>
      <c r="B108">
        <v>2</v>
      </c>
      <c r="C108">
        <f t="shared" si="19"/>
        <v>4</v>
      </c>
      <c r="D108">
        <f t="shared" si="20"/>
        <v>2</v>
      </c>
      <c r="E108">
        <f t="shared" si="21"/>
        <v>0</v>
      </c>
      <c r="F108" s="100">
        <f t="shared" ca="1" si="22"/>
        <v>6.3634999999999997E-2</v>
      </c>
      <c r="G108">
        <v>0</v>
      </c>
      <c r="H108">
        <v>0</v>
      </c>
      <c r="I108">
        <v>5</v>
      </c>
      <c r="J108" s="1">
        <f t="shared" ca="1" si="23"/>
        <v>0</v>
      </c>
      <c r="K108" s="1">
        <f t="shared" ca="1" si="24"/>
        <v>0</v>
      </c>
      <c r="L108" s="13">
        <f t="shared" ca="1" si="25"/>
        <v>65</v>
      </c>
      <c r="M108" s="7">
        <f t="shared" ca="1" si="26"/>
        <v>935</v>
      </c>
      <c r="N108" s="44">
        <f t="shared" ca="1" si="27"/>
        <v>12</v>
      </c>
      <c r="O108" s="94">
        <f t="shared" ca="1" si="28"/>
        <v>3.0624018806381534</v>
      </c>
      <c r="P108" s="94">
        <f t="shared" ca="1" si="29"/>
        <v>30.624018806381528</v>
      </c>
      <c r="Q108" s="94">
        <f t="shared" ca="1" si="30"/>
        <v>30.624018806381528</v>
      </c>
      <c r="R108" s="94">
        <f t="shared" ca="1" si="31"/>
        <v>3.062401880638153</v>
      </c>
      <c r="S108" s="94">
        <f t="shared" ca="1" si="32"/>
        <v>3.0624018806381534</v>
      </c>
      <c r="T108" s="4">
        <f t="shared" ca="1" si="33"/>
        <v>0</v>
      </c>
      <c r="U108" s="46">
        <f t="shared" ca="1" si="34"/>
        <v>1369.7282638229713</v>
      </c>
      <c r="V108" s="4">
        <f t="shared" ca="1" si="35"/>
        <v>0</v>
      </c>
      <c r="W108" s="13">
        <f t="shared" ca="1" si="36"/>
        <v>4174.0824702348518</v>
      </c>
      <c r="X108" s="4">
        <f t="shared" ca="1" si="37"/>
        <v>0</v>
      </c>
      <c r="AE108" s="4"/>
    </row>
    <row r="109" spans="1:31">
      <c r="A109">
        <v>0</v>
      </c>
      <c r="B109">
        <v>2</v>
      </c>
      <c r="C109">
        <f t="shared" si="19"/>
        <v>4</v>
      </c>
      <c r="D109">
        <f t="shared" si="20"/>
        <v>2</v>
      </c>
      <c r="E109">
        <f t="shared" si="21"/>
        <v>0</v>
      </c>
      <c r="F109" s="100">
        <f t="shared" ca="1" si="22"/>
        <v>6.3634999999999997E-2</v>
      </c>
      <c r="G109">
        <v>0</v>
      </c>
      <c r="H109">
        <v>0</v>
      </c>
      <c r="I109">
        <v>4</v>
      </c>
      <c r="J109" s="1">
        <f t="shared" ca="1" si="23"/>
        <v>0</v>
      </c>
      <c r="K109" s="1">
        <f t="shared" ca="1" si="24"/>
        <v>0</v>
      </c>
      <c r="L109" s="13">
        <f t="shared" ca="1" si="25"/>
        <v>52</v>
      </c>
      <c r="M109" s="7">
        <f t="shared" ca="1" si="26"/>
        <v>948</v>
      </c>
      <c r="N109" s="44">
        <f t="shared" ca="1" si="27"/>
        <v>12</v>
      </c>
      <c r="O109" s="94">
        <f t="shared" ca="1" si="28"/>
        <v>3.0624018806381534</v>
      </c>
      <c r="P109" s="94">
        <f t="shared" ca="1" si="29"/>
        <v>30.624018806381528</v>
      </c>
      <c r="Q109" s="94">
        <f t="shared" ca="1" si="30"/>
        <v>30.624018806381528</v>
      </c>
      <c r="R109" s="94">
        <f t="shared" ca="1" si="31"/>
        <v>3.062401880638153</v>
      </c>
      <c r="S109" s="94">
        <f t="shared" ca="1" si="32"/>
        <v>3.0624018806381534</v>
      </c>
      <c r="T109" s="4">
        <f t="shared" ca="1" si="33"/>
        <v>0</v>
      </c>
      <c r="U109" s="46">
        <f t="shared" ca="1" si="34"/>
        <v>1356.7282638229713</v>
      </c>
      <c r="V109" s="4">
        <f t="shared" ca="1" si="35"/>
        <v>0</v>
      </c>
      <c r="W109" s="13">
        <f t="shared" ca="1" si="36"/>
        <v>3339.2659761878813</v>
      </c>
      <c r="X109" s="4">
        <f t="shared" ca="1" si="37"/>
        <v>0</v>
      </c>
      <c r="AE109" s="4"/>
    </row>
    <row r="110" spans="1:31">
      <c r="A110">
        <v>0</v>
      </c>
      <c r="B110">
        <v>2</v>
      </c>
      <c r="C110">
        <f t="shared" si="19"/>
        <v>4</v>
      </c>
      <c r="D110">
        <f t="shared" si="20"/>
        <v>2</v>
      </c>
      <c r="E110">
        <f t="shared" si="21"/>
        <v>0</v>
      </c>
      <c r="F110" s="100">
        <f t="shared" ca="1" si="22"/>
        <v>6.3634999999999997E-2</v>
      </c>
      <c r="G110">
        <v>0</v>
      </c>
      <c r="H110">
        <v>0</v>
      </c>
      <c r="I110">
        <v>3</v>
      </c>
      <c r="J110" s="1">
        <f t="shared" ca="1" si="23"/>
        <v>0</v>
      </c>
      <c r="K110" s="1">
        <f t="shared" ca="1" si="24"/>
        <v>0</v>
      </c>
      <c r="L110" s="13">
        <f t="shared" ca="1" si="25"/>
        <v>39</v>
      </c>
      <c r="M110" s="7">
        <f t="shared" ca="1" si="26"/>
        <v>961</v>
      </c>
      <c r="N110" s="44">
        <f t="shared" ca="1" si="27"/>
        <v>13</v>
      </c>
      <c r="O110" s="94">
        <f t="shared" ca="1" si="28"/>
        <v>3.2733204919050856</v>
      </c>
      <c r="P110" s="94">
        <f t="shared" ca="1" si="29"/>
        <v>30.624018806381528</v>
      </c>
      <c r="Q110" s="94">
        <f t="shared" ca="1" si="30"/>
        <v>30.624018806381528</v>
      </c>
      <c r="R110" s="94">
        <f t="shared" ca="1" si="31"/>
        <v>3.062401880638153</v>
      </c>
      <c r="S110" s="94">
        <f t="shared" ca="1" si="32"/>
        <v>3.2733204919050856</v>
      </c>
      <c r="T110" s="4">
        <f t="shared" ca="1" si="33"/>
        <v>0</v>
      </c>
      <c r="U110" s="46">
        <f t="shared" ca="1" si="34"/>
        <v>1420.9771208320408</v>
      </c>
      <c r="V110" s="4">
        <f t="shared" ca="1" si="35"/>
        <v>0</v>
      </c>
      <c r="W110" s="13">
        <f t="shared" ca="1" si="36"/>
        <v>2504.4494821409107</v>
      </c>
      <c r="X110" s="4">
        <f t="shared" ca="1" si="37"/>
        <v>0</v>
      </c>
      <c r="AE110" s="4"/>
    </row>
    <row r="111" spans="1:31">
      <c r="A111">
        <v>0</v>
      </c>
      <c r="B111">
        <v>2</v>
      </c>
      <c r="C111">
        <f t="shared" si="19"/>
        <v>4</v>
      </c>
      <c r="D111">
        <f t="shared" si="20"/>
        <v>2</v>
      </c>
      <c r="E111">
        <f t="shared" si="21"/>
        <v>0</v>
      </c>
      <c r="F111" s="100">
        <f t="shared" ca="1" si="22"/>
        <v>6.3634999999999997E-2</v>
      </c>
      <c r="G111">
        <v>0</v>
      </c>
      <c r="H111">
        <v>0</v>
      </c>
      <c r="I111">
        <v>2</v>
      </c>
      <c r="J111" s="1">
        <f t="shared" ca="1" si="23"/>
        <v>4.9005000000000045E-4</v>
      </c>
      <c r="K111" s="1">
        <f t="shared" ca="1" si="24"/>
        <v>3.1184331750000028E-5</v>
      </c>
      <c r="L111" s="13">
        <f t="shared" ca="1" si="25"/>
        <v>26</v>
      </c>
      <c r="M111" s="7">
        <f t="shared" ca="1" si="26"/>
        <v>974</v>
      </c>
      <c r="N111" s="44">
        <f t="shared" ca="1" si="27"/>
        <v>13</v>
      </c>
      <c r="O111" s="94">
        <f t="shared" ca="1" si="28"/>
        <v>3.2733204919050856</v>
      </c>
      <c r="P111" s="94">
        <f t="shared" ca="1" si="29"/>
        <v>32.733204919050856</v>
      </c>
      <c r="Q111" s="94">
        <f t="shared" ca="1" si="30"/>
        <v>31.256774640182325</v>
      </c>
      <c r="R111" s="94">
        <f t="shared" ca="1" si="31"/>
        <v>3.1994989779616589</v>
      </c>
      <c r="S111" s="94">
        <f t="shared" ca="1" si="32"/>
        <v>3.2733204919050856</v>
      </c>
      <c r="T111" s="4">
        <f t="shared" ca="1" si="33"/>
        <v>1.0207631214364146E-4</v>
      </c>
      <c r="U111" s="46">
        <f t="shared" ca="1" si="34"/>
        <v>1407.9771208320408</v>
      </c>
      <c r="V111" s="4">
        <f t="shared" ca="1" si="35"/>
        <v>4.3906825632436232E-2</v>
      </c>
      <c r="W111" s="13">
        <f t="shared" ca="1" si="36"/>
        <v>1669.6329880939406</v>
      </c>
      <c r="X111" s="4">
        <f t="shared" ca="1" si="37"/>
        <v>5.2066389001465291E-2</v>
      </c>
      <c r="AE111" s="4"/>
    </row>
    <row r="112" spans="1:31">
      <c r="A112">
        <v>0</v>
      </c>
      <c r="B112">
        <v>2</v>
      </c>
      <c r="C112">
        <f t="shared" si="19"/>
        <v>4</v>
      </c>
      <c r="D112">
        <f t="shared" si="20"/>
        <v>2</v>
      </c>
      <c r="E112">
        <f t="shared" si="21"/>
        <v>0</v>
      </c>
      <c r="F112" s="100">
        <f t="shared" ca="1" si="22"/>
        <v>6.3634999999999997E-2</v>
      </c>
      <c r="G112">
        <v>0</v>
      </c>
      <c r="H112">
        <v>0</v>
      </c>
      <c r="I112">
        <v>1</v>
      </c>
      <c r="J112" s="1">
        <f t="shared" ca="1" si="23"/>
        <v>9.9000000000000187E-6</v>
      </c>
      <c r="K112" s="1">
        <f t="shared" ca="1" si="24"/>
        <v>6.2998650000000111E-7</v>
      </c>
      <c r="L112" s="13">
        <f t="shared" ca="1" si="25"/>
        <v>13</v>
      </c>
      <c r="M112" s="7">
        <f t="shared" ca="1" si="26"/>
        <v>987</v>
      </c>
      <c r="N112" s="44">
        <f t="shared" ca="1" si="27"/>
        <v>13</v>
      </c>
      <c r="O112" s="94">
        <f t="shared" ca="1" si="28"/>
        <v>3.2733204919050856</v>
      </c>
      <c r="P112" s="94">
        <f t="shared" ca="1" si="29"/>
        <v>32.733204919050856</v>
      </c>
      <c r="Q112" s="94">
        <f t="shared" ca="1" si="30"/>
        <v>32.733204919050856</v>
      </c>
      <c r="R112" s="94">
        <f t="shared" ca="1" si="31"/>
        <v>3.2733204919050856</v>
      </c>
      <c r="S112" s="94">
        <f t="shared" ca="1" si="32"/>
        <v>3.2733204919050856</v>
      </c>
      <c r="T112" s="4">
        <f t="shared" ca="1" si="33"/>
        <v>2.0621477200735669E-6</v>
      </c>
      <c r="U112" s="46">
        <f t="shared" ca="1" si="34"/>
        <v>1394.9771208320408</v>
      </c>
      <c r="V112" s="4">
        <f t="shared" ca="1" si="35"/>
        <v>8.78816753933056E-4</v>
      </c>
      <c r="W112" s="13">
        <f t="shared" ca="1" si="36"/>
        <v>834.81649404697032</v>
      </c>
      <c r="X112" s="4">
        <f t="shared" ca="1" si="37"/>
        <v>5.2592312122692257E-4</v>
      </c>
      <c r="AE112" s="4"/>
    </row>
    <row r="113" spans="1:31">
      <c r="A113">
        <v>0</v>
      </c>
      <c r="B113">
        <v>2</v>
      </c>
      <c r="C113">
        <f t="shared" si="19"/>
        <v>4</v>
      </c>
      <c r="D113">
        <f t="shared" si="20"/>
        <v>2</v>
      </c>
      <c r="E113">
        <f t="shared" si="21"/>
        <v>0</v>
      </c>
      <c r="F113" s="100">
        <f t="shared" ca="1" si="22"/>
        <v>6.3634999999999997E-2</v>
      </c>
      <c r="G113">
        <v>0</v>
      </c>
      <c r="H113">
        <v>0</v>
      </c>
      <c r="I113">
        <v>0</v>
      </c>
      <c r="J113" s="1">
        <f t="shared" ca="1" si="23"/>
        <v>5.0000000000000137E-8</v>
      </c>
      <c r="K113" s="1">
        <f t="shared" ca="1" si="24"/>
        <v>3.1817500000000084E-9</v>
      </c>
      <c r="L113" s="13">
        <f t="shared" ca="1" si="25"/>
        <v>0</v>
      </c>
      <c r="M113" s="7">
        <f t="shared" ca="1" si="26"/>
        <v>1000</v>
      </c>
      <c r="N113" s="44">
        <f t="shared" ca="1" si="27"/>
        <v>13</v>
      </c>
      <c r="O113" s="94">
        <f t="shared" ca="1" si="28"/>
        <v>3.2733204919050856</v>
      </c>
      <c r="P113" s="94">
        <f t="shared" ca="1" si="29"/>
        <v>32.733204919050856</v>
      </c>
      <c r="Q113" s="94">
        <f t="shared" ca="1" si="30"/>
        <v>32.733204919050856</v>
      </c>
      <c r="R113" s="94">
        <f t="shared" ca="1" si="31"/>
        <v>3.2733204919050856</v>
      </c>
      <c r="S113" s="94">
        <f t="shared" ca="1" si="32"/>
        <v>3.2733204919050856</v>
      </c>
      <c r="T113" s="4">
        <f t="shared" ca="1" si="33"/>
        <v>1.0414887475119034E-8</v>
      </c>
      <c r="U113" s="46">
        <f t="shared" ca="1" si="34"/>
        <v>1381.9771208320408</v>
      </c>
      <c r="V113" s="4">
        <f t="shared" ca="1" si="35"/>
        <v>4.3971057042073572E-6</v>
      </c>
      <c r="W113" s="13">
        <f t="shared" ca="1" si="36"/>
        <v>0</v>
      </c>
      <c r="X113" s="4">
        <f t="shared" ca="1" si="37"/>
        <v>0</v>
      </c>
      <c r="AE113" s="4"/>
    </row>
    <row r="114" spans="1:31">
      <c r="A114">
        <v>0</v>
      </c>
      <c r="B114">
        <v>3</v>
      </c>
      <c r="C114">
        <f t="shared" si="19"/>
        <v>5</v>
      </c>
      <c r="D114">
        <f t="shared" si="20"/>
        <v>3</v>
      </c>
      <c r="E114">
        <f t="shared" si="21"/>
        <v>0</v>
      </c>
      <c r="F114" s="100">
        <f t="shared" ca="1" si="22"/>
        <v>0</v>
      </c>
      <c r="G114">
        <v>1</v>
      </c>
      <c r="H114">
        <v>1</v>
      </c>
      <c r="I114">
        <v>7</v>
      </c>
      <c r="J114" s="1">
        <f t="shared" ca="1" si="23"/>
        <v>0</v>
      </c>
      <c r="K114" s="1">
        <f t="shared" ca="1" si="24"/>
        <v>0</v>
      </c>
      <c r="L114" s="13">
        <f t="shared" ca="1" si="25"/>
        <v>215</v>
      </c>
      <c r="M114" s="7">
        <f t="shared" ca="1" si="26"/>
        <v>785</v>
      </c>
      <c r="N114" s="44">
        <f t="shared" ca="1" si="27"/>
        <v>10</v>
      </c>
      <c r="O114" s="94">
        <f t="shared" ca="1" si="28"/>
        <v>2.5999636871582168</v>
      </c>
      <c r="P114" s="94">
        <f t="shared" ca="1" si="29"/>
        <v>25.999636871582165</v>
      </c>
      <c r="Q114" s="94">
        <f t="shared" ca="1" si="30"/>
        <v>25.999636871582165</v>
      </c>
      <c r="R114" s="94">
        <f t="shared" ca="1" si="31"/>
        <v>2.5999636871582164</v>
      </c>
      <c r="S114" s="94">
        <f t="shared" ca="1" si="32"/>
        <v>2.5999636871582168</v>
      </c>
      <c r="T114" s="4">
        <f t="shared" ca="1" si="33"/>
        <v>0</v>
      </c>
      <c r="U114" s="46">
        <f t="shared" ca="1" si="34"/>
        <v>1350.360460436222</v>
      </c>
      <c r="V114" s="4">
        <f t="shared" ca="1" si="35"/>
        <v>0</v>
      </c>
      <c r="W114" s="13">
        <f t="shared" ca="1" si="36"/>
        <v>12313.142557895597</v>
      </c>
      <c r="X114" s="4">
        <f t="shared" ca="1" si="37"/>
        <v>0</v>
      </c>
      <c r="AE114" s="4"/>
    </row>
    <row r="115" spans="1:31">
      <c r="A115">
        <v>0</v>
      </c>
      <c r="B115">
        <v>3</v>
      </c>
      <c r="C115">
        <f t="shared" si="19"/>
        <v>5</v>
      </c>
      <c r="D115">
        <f t="shared" si="20"/>
        <v>3</v>
      </c>
      <c r="E115">
        <f t="shared" si="21"/>
        <v>0</v>
      </c>
      <c r="F115" s="100">
        <f t="shared" ca="1" si="22"/>
        <v>0</v>
      </c>
      <c r="G115">
        <v>1</v>
      </c>
      <c r="H115">
        <v>1</v>
      </c>
      <c r="I115">
        <v>6</v>
      </c>
      <c r="J115" s="1">
        <f t="shared" ca="1" si="23"/>
        <v>0</v>
      </c>
      <c r="K115" s="1">
        <f t="shared" ca="1" si="24"/>
        <v>0</v>
      </c>
      <c r="L115" s="13">
        <f t="shared" ca="1" si="25"/>
        <v>202</v>
      </c>
      <c r="M115" s="7">
        <f t="shared" ca="1" si="26"/>
        <v>798</v>
      </c>
      <c r="N115" s="44">
        <f t="shared" ca="1" si="27"/>
        <v>10</v>
      </c>
      <c r="O115" s="94">
        <f t="shared" ca="1" si="28"/>
        <v>2.5999636871582168</v>
      </c>
      <c r="P115" s="94">
        <f t="shared" ca="1" si="29"/>
        <v>25.999636871582165</v>
      </c>
      <c r="Q115" s="94">
        <f t="shared" ca="1" si="30"/>
        <v>25.999636871582165</v>
      </c>
      <c r="R115" s="94">
        <f t="shared" ca="1" si="31"/>
        <v>2.5999636871582164</v>
      </c>
      <c r="S115" s="94">
        <f t="shared" ca="1" si="32"/>
        <v>2.5999636871582168</v>
      </c>
      <c r="T115" s="4">
        <f t="shared" ca="1" si="33"/>
        <v>0</v>
      </c>
      <c r="U115" s="46">
        <f t="shared" ca="1" si="34"/>
        <v>1337.360460436222</v>
      </c>
      <c r="V115" s="4">
        <f t="shared" ca="1" si="35"/>
        <v>0</v>
      </c>
      <c r="W115" s="13">
        <f t="shared" ca="1" si="36"/>
        <v>11478.326063848626</v>
      </c>
      <c r="X115" s="4">
        <f t="shared" ca="1" si="37"/>
        <v>0</v>
      </c>
      <c r="AE115" s="4"/>
    </row>
    <row r="116" spans="1:31">
      <c r="A116">
        <v>0</v>
      </c>
      <c r="B116">
        <v>3</v>
      </c>
      <c r="C116">
        <f t="shared" si="19"/>
        <v>5</v>
      </c>
      <c r="D116">
        <f t="shared" si="20"/>
        <v>3</v>
      </c>
      <c r="E116">
        <f t="shared" si="21"/>
        <v>0</v>
      </c>
      <c r="F116" s="100">
        <f t="shared" ca="1" si="22"/>
        <v>0</v>
      </c>
      <c r="G116">
        <v>1</v>
      </c>
      <c r="H116">
        <v>1</v>
      </c>
      <c r="I116">
        <v>5</v>
      </c>
      <c r="J116" s="1">
        <f t="shared" ca="1" si="23"/>
        <v>0</v>
      </c>
      <c r="K116" s="1">
        <f t="shared" ca="1" si="24"/>
        <v>0</v>
      </c>
      <c r="L116" s="13">
        <f t="shared" ca="1" si="25"/>
        <v>189</v>
      </c>
      <c r="M116" s="7">
        <f t="shared" ca="1" si="26"/>
        <v>811</v>
      </c>
      <c r="N116" s="44">
        <f t="shared" ca="1" si="27"/>
        <v>11</v>
      </c>
      <c r="O116" s="94">
        <f t="shared" ca="1" si="28"/>
        <v>2.8397004155948178</v>
      </c>
      <c r="P116" s="94">
        <f t="shared" ca="1" si="29"/>
        <v>28.397004155948181</v>
      </c>
      <c r="Q116" s="94">
        <f t="shared" ca="1" si="30"/>
        <v>25.999636871582165</v>
      </c>
      <c r="R116" s="94">
        <f t="shared" ca="1" si="31"/>
        <v>2.7198320513765175</v>
      </c>
      <c r="S116" s="94">
        <f t="shared" ca="1" si="32"/>
        <v>2.8397004155948178</v>
      </c>
      <c r="T116" s="4">
        <f t="shared" ca="1" si="33"/>
        <v>0</v>
      </c>
      <c r="U116" s="46">
        <f t="shared" ca="1" si="34"/>
        <v>1412.1639413314356</v>
      </c>
      <c r="V116" s="4">
        <f t="shared" ca="1" si="35"/>
        <v>0</v>
      </c>
      <c r="W116" s="13">
        <f t="shared" ca="1" si="36"/>
        <v>10643.509569801656</v>
      </c>
      <c r="X116" s="4">
        <f t="shared" ca="1" si="37"/>
        <v>0</v>
      </c>
      <c r="AE116" s="4"/>
    </row>
    <row r="117" spans="1:31">
      <c r="A117">
        <v>0</v>
      </c>
      <c r="B117">
        <v>3</v>
      </c>
      <c r="C117">
        <f t="shared" si="19"/>
        <v>5</v>
      </c>
      <c r="D117">
        <f t="shared" si="20"/>
        <v>3</v>
      </c>
      <c r="E117">
        <f t="shared" si="21"/>
        <v>0</v>
      </c>
      <c r="F117" s="100">
        <f t="shared" ca="1" si="22"/>
        <v>0</v>
      </c>
      <c r="G117">
        <v>1</v>
      </c>
      <c r="H117">
        <v>1</v>
      </c>
      <c r="I117">
        <v>4</v>
      </c>
      <c r="J117" s="1">
        <f t="shared" ca="1" si="23"/>
        <v>0</v>
      </c>
      <c r="K117" s="1">
        <f t="shared" ca="1" si="24"/>
        <v>0</v>
      </c>
      <c r="L117" s="13">
        <f t="shared" ca="1" si="25"/>
        <v>176</v>
      </c>
      <c r="M117" s="7">
        <f t="shared" ca="1" si="26"/>
        <v>824</v>
      </c>
      <c r="N117" s="44">
        <f t="shared" ca="1" si="27"/>
        <v>11</v>
      </c>
      <c r="O117" s="94">
        <f t="shared" ca="1" si="28"/>
        <v>2.8397004155948178</v>
      </c>
      <c r="P117" s="94">
        <f t="shared" ca="1" si="29"/>
        <v>28.397004155948181</v>
      </c>
      <c r="Q117" s="94">
        <f t="shared" ca="1" si="30"/>
        <v>28.397004155948181</v>
      </c>
      <c r="R117" s="94">
        <f t="shared" ca="1" si="31"/>
        <v>2.8397004155948182</v>
      </c>
      <c r="S117" s="94">
        <f t="shared" ca="1" si="32"/>
        <v>2.8397004155948178</v>
      </c>
      <c r="T117" s="4">
        <f t="shared" ca="1" si="33"/>
        <v>0</v>
      </c>
      <c r="U117" s="46">
        <f t="shared" ca="1" si="34"/>
        <v>1399.1639413314356</v>
      </c>
      <c r="V117" s="4">
        <f t="shared" ca="1" si="35"/>
        <v>0</v>
      </c>
      <c r="W117" s="13">
        <f t="shared" ca="1" si="36"/>
        <v>9808.693075754687</v>
      </c>
      <c r="X117" s="4">
        <f t="shared" ca="1" si="37"/>
        <v>0</v>
      </c>
      <c r="AE117" s="4"/>
    </row>
    <row r="118" spans="1:31">
      <c r="A118">
        <v>0</v>
      </c>
      <c r="B118">
        <v>3</v>
      </c>
      <c r="C118">
        <f t="shared" si="19"/>
        <v>5</v>
      </c>
      <c r="D118">
        <f t="shared" si="20"/>
        <v>3</v>
      </c>
      <c r="E118">
        <f t="shared" si="21"/>
        <v>0</v>
      </c>
      <c r="F118" s="100">
        <f t="shared" ca="1" si="22"/>
        <v>0</v>
      </c>
      <c r="G118">
        <v>1</v>
      </c>
      <c r="H118">
        <v>1</v>
      </c>
      <c r="I118">
        <v>3</v>
      </c>
      <c r="J118" s="1">
        <f t="shared" ca="1" si="23"/>
        <v>0.91256620949999989</v>
      </c>
      <c r="K118" s="1">
        <f t="shared" ca="1" si="24"/>
        <v>0</v>
      </c>
      <c r="L118" s="13">
        <f t="shared" ca="1" si="25"/>
        <v>163</v>
      </c>
      <c r="M118" s="7">
        <f t="shared" ca="1" si="26"/>
        <v>837</v>
      </c>
      <c r="N118" s="44">
        <f t="shared" ca="1" si="27"/>
        <v>11</v>
      </c>
      <c r="O118" s="94">
        <f t="shared" ca="1" si="28"/>
        <v>2.8397004155948178</v>
      </c>
      <c r="P118" s="94">
        <f t="shared" ca="1" si="29"/>
        <v>28.397004155948181</v>
      </c>
      <c r="Q118" s="94">
        <f t="shared" ca="1" si="30"/>
        <v>28.397004155948181</v>
      </c>
      <c r="R118" s="94">
        <f t="shared" ca="1" si="31"/>
        <v>2.8397004155948182</v>
      </c>
      <c r="S118" s="94">
        <f t="shared" ca="1" si="32"/>
        <v>2.8397004155948178</v>
      </c>
      <c r="T118" s="4">
        <f t="shared" ca="1" si="33"/>
        <v>0</v>
      </c>
      <c r="U118" s="46">
        <f t="shared" ca="1" si="34"/>
        <v>1386.1639413314356</v>
      </c>
      <c r="V118" s="4">
        <f t="shared" ca="1" si="35"/>
        <v>0</v>
      </c>
      <c r="W118" s="13">
        <f t="shared" ca="1" si="36"/>
        <v>8973.8765817077146</v>
      </c>
      <c r="X118" s="4">
        <f t="shared" ca="1" si="37"/>
        <v>0</v>
      </c>
      <c r="AE118" s="4"/>
    </row>
    <row r="119" spans="1:31">
      <c r="A119">
        <v>0</v>
      </c>
      <c r="B119">
        <v>3</v>
      </c>
      <c r="C119">
        <f t="shared" si="19"/>
        <v>5</v>
      </c>
      <c r="D119">
        <f t="shared" si="20"/>
        <v>3</v>
      </c>
      <c r="E119">
        <f t="shared" si="21"/>
        <v>0</v>
      </c>
      <c r="F119" s="100">
        <f t="shared" ca="1" si="22"/>
        <v>0</v>
      </c>
      <c r="G119">
        <v>1</v>
      </c>
      <c r="H119">
        <v>1</v>
      </c>
      <c r="I119">
        <v>2</v>
      </c>
      <c r="J119" s="1">
        <f t="shared" ca="1" si="23"/>
        <v>2.7653521500000021E-2</v>
      </c>
      <c r="K119" s="1">
        <f t="shared" ca="1" si="24"/>
        <v>0</v>
      </c>
      <c r="L119" s="13">
        <f t="shared" ca="1" si="25"/>
        <v>150</v>
      </c>
      <c r="M119" s="7">
        <f t="shared" ca="1" si="26"/>
        <v>850</v>
      </c>
      <c r="N119" s="44">
        <f t="shared" ca="1" si="27"/>
        <v>11</v>
      </c>
      <c r="O119" s="94">
        <f t="shared" ca="1" si="28"/>
        <v>2.8397004155948178</v>
      </c>
      <c r="P119" s="94">
        <f t="shared" ca="1" si="29"/>
        <v>28.397004155948181</v>
      </c>
      <c r="Q119" s="94">
        <f t="shared" ca="1" si="30"/>
        <v>28.397004155948181</v>
      </c>
      <c r="R119" s="94">
        <f t="shared" ca="1" si="31"/>
        <v>2.8397004155948182</v>
      </c>
      <c r="S119" s="94">
        <f t="shared" ca="1" si="32"/>
        <v>2.8397004155948178</v>
      </c>
      <c r="T119" s="4">
        <f t="shared" ca="1" si="33"/>
        <v>0</v>
      </c>
      <c r="U119" s="46">
        <f t="shared" ca="1" si="34"/>
        <v>1373.1639413314356</v>
      </c>
      <c r="V119" s="4">
        <f t="shared" ca="1" si="35"/>
        <v>0</v>
      </c>
      <c r="W119" s="13">
        <f t="shared" ca="1" si="36"/>
        <v>8139.0600876607459</v>
      </c>
      <c r="X119" s="4">
        <f t="shared" ca="1" si="37"/>
        <v>0</v>
      </c>
      <c r="AE119" s="4"/>
    </row>
    <row r="120" spans="1:31">
      <c r="A120">
        <v>0</v>
      </c>
      <c r="B120">
        <v>3</v>
      </c>
      <c r="C120">
        <f t="shared" si="19"/>
        <v>5</v>
      </c>
      <c r="D120">
        <f t="shared" si="20"/>
        <v>3</v>
      </c>
      <c r="E120">
        <f t="shared" si="21"/>
        <v>0</v>
      </c>
      <c r="F120" s="100">
        <f t="shared" ca="1" si="22"/>
        <v>0</v>
      </c>
      <c r="G120">
        <v>1</v>
      </c>
      <c r="H120">
        <v>1</v>
      </c>
      <c r="I120">
        <v>1</v>
      </c>
      <c r="J120" s="1">
        <f t="shared" ca="1" si="23"/>
        <v>2.7932850000000052E-4</v>
      </c>
      <c r="K120" s="1">
        <f t="shared" ca="1" si="24"/>
        <v>0</v>
      </c>
      <c r="L120" s="13">
        <f t="shared" ca="1" si="25"/>
        <v>137</v>
      </c>
      <c r="M120" s="7">
        <f t="shared" ca="1" si="26"/>
        <v>863</v>
      </c>
      <c r="N120" s="44">
        <f t="shared" ca="1" si="27"/>
        <v>11</v>
      </c>
      <c r="O120" s="94">
        <f t="shared" ca="1" si="28"/>
        <v>2.8397004155948178</v>
      </c>
      <c r="P120" s="94">
        <f t="shared" ca="1" si="29"/>
        <v>28.397004155948181</v>
      </c>
      <c r="Q120" s="94">
        <f t="shared" ca="1" si="30"/>
        <v>28.397004155948181</v>
      </c>
      <c r="R120" s="94">
        <f t="shared" ca="1" si="31"/>
        <v>2.8397004155948182</v>
      </c>
      <c r="S120" s="94">
        <f t="shared" ca="1" si="32"/>
        <v>2.8397004155948178</v>
      </c>
      <c r="T120" s="4">
        <f t="shared" ca="1" si="33"/>
        <v>0</v>
      </c>
      <c r="U120" s="46">
        <f t="shared" ca="1" si="34"/>
        <v>1360.1639413314356</v>
      </c>
      <c r="V120" s="4">
        <f t="shared" ca="1" si="35"/>
        <v>0</v>
      </c>
      <c r="W120" s="13">
        <f t="shared" ca="1" si="36"/>
        <v>7304.2435936137754</v>
      </c>
      <c r="X120" s="4">
        <f t="shared" ca="1" si="37"/>
        <v>0</v>
      </c>
      <c r="AE120" s="4"/>
    </row>
    <row r="121" spans="1:31">
      <c r="A121">
        <v>0</v>
      </c>
      <c r="B121">
        <v>3</v>
      </c>
      <c r="C121">
        <f t="shared" si="19"/>
        <v>5</v>
      </c>
      <c r="D121">
        <f t="shared" si="20"/>
        <v>3</v>
      </c>
      <c r="E121">
        <f t="shared" si="21"/>
        <v>0</v>
      </c>
      <c r="F121" s="100">
        <f t="shared" ca="1" si="22"/>
        <v>0</v>
      </c>
      <c r="G121">
        <v>1</v>
      </c>
      <c r="H121">
        <v>1</v>
      </c>
      <c r="I121">
        <v>0</v>
      </c>
      <c r="J121" s="1">
        <f t="shared" ca="1" si="23"/>
        <v>9.4050000000000258E-7</v>
      </c>
      <c r="K121" s="1">
        <f t="shared" ca="1" si="24"/>
        <v>0</v>
      </c>
      <c r="L121" s="13">
        <f t="shared" ca="1" si="25"/>
        <v>124</v>
      </c>
      <c r="M121" s="7">
        <f t="shared" ca="1" si="26"/>
        <v>876</v>
      </c>
      <c r="N121" s="44">
        <f t="shared" ca="1" si="27"/>
        <v>11</v>
      </c>
      <c r="O121" s="94">
        <f t="shared" ca="1" si="28"/>
        <v>2.8397004155948178</v>
      </c>
      <c r="P121" s="94">
        <f t="shared" ca="1" si="29"/>
        <v>28.397004155948181</v>
      </c>
      <c r="Q121" s="94">
        <f t="shared" ca="1" si="30"/>
        <v>28.397004155948181</v>
      </c>
      <c r="R121" s="94">
        <f t="shared" ca="1" si="31"/>
        <v>2.8397004155948182</v>
      </c>
      <c r="S121" s="94">
        <f t="shared" ca="1" si="32"/>
        <v>2.8397004155948178</v>
      </c>
      <c r="T121" s="4">
        <f t="shared" ca="1" si="33"/>
        <v>0</v>
      </c>
      <c r="U121" s="46">
        <f t="shared" ca="1" si="34"/>
        <v>1347.1639413314356</v>
      </c>
      <c r="V121" s="4">
        <f t="shared" ca="1" si="35"/>
        <v>0</v>
      </c>
      <c r="W121" s="13">
        <f t="shared" ca="1" si="36"/>
        <v>6469.4270995668048</v>
      </c>
      <c r="X121" s="4">
        <f t="shared" ca="1" si="37"/>
        <v>0</v>
      </c>
      <c r="AE121" s="4"/>
    </row>
    <row r="122" spans="1:31">
      <c r="A122">
        <v>0</v>
      </c>
      <c r="B122">
        <v>3</v>
      </c>
      <c r="C122">
        <f t="shared" si="19"/>
        <v>5</v>
      </c>
      <c r="D122">
        <f t="shared" si="20"/>
        <v>3</v>
      </c>
      <c r="E122">
        <f t="shared" si="21"/>
        <v>0</v>
      </c>
      <c r="F122" s="100">
        <f t="shared" ca="1" si="22"/>
        <v>0</v>
      </c>
      <c r="G122">
        <v>1</v>
      </c>
      <c r="H122">
        <v>0</v>
      </c>
      <c r="I122">
        <v>7</v>
      </c>
      <c r="J122" s="1">
        <f t="shared" ca="1" si="23"/>
        <v>0</v>
      </c>
      <c r="K122" s="1">
        <f t="shared" ca="1" si="24"/>
        <v>0</v>
      </c>
      <c r="L122" s="13">
        <f t="shared" ca="1" si="25"/>
        <v>153</v>
      </c>
      <c r="M122" s="7">
        <f t="shared" ca="1" si="26"/>
        <v>847</v>
      </c>
      <c r="N122" s="44">
        <f t="shared" ca="1" si="27"/>
        <v>11</v>
      </c>
      <c r="O122" s="94">
        <f t="shared" ca="1" si="28"/>
        <v>2.8397004155948178</v>
      </c>
      <c r="P122" s="94">
        <f t="shared" ca="1" si="29"/>
        <v>28.397004155948181</v>
      </c>
      <c r="Q122" s="94">
        <f t="shared" ca="1" si="30"/>
        <v>28.397004155948181</v>
      </c>
      <c r="R122" s="94">
        <f t="shared" ca="1" si="31"/>
        <v>2.8397004155948182</v>
      </c>
      <c r="S122" s="94">
        <f t="shared" ca="1" si="32"/>
        <v>2.8397004155948178</v>
      </c>
      <c r="T122" s="4">
        <f t="shared" ca="1" si="33"/>
        <v>0</v>
      </c>
      <c r="U122" s="46">
        <f t="shared" ca="1" si="34"/>
        <v>1376.1639413314356</v>
      </c>
      <c r="V122" s="4">
        <f t="shared" ca="1" si="35"/>
        <v>0</v>
      </c>
      <c r="W122" s="13">
        <f t="shared" ca="1" si="36"/>
        <v>11687.430916657584</v>
      </c>
      <c r="X122" s="4">
        <f t="shared" ca="1" si="37"/>
        <v>0</v>
      </c>
      <c r="AE122" s="4"/>
    </row>
    <row r="123" spans="1:31">
      <c r="A123">
        <v>0</v>
      </c>
      <c r="B123">
        <v>3</v>
      </c>
      <c r="C123">
        <f t="shared" si="19"/>
        <v>5</v>
      </c>
      <c r="D123">
        <f t="shared" si="20"/>
        <v>3</v>
      </c>
      <c r="E123">
        <f t="shared" si="21"/>
        <v>0</v>
      </c>
      <c r="F123" s="100">
        <f t="shared" ca="1" si="22"/>
        <v>0</v>
      </c>
      <c r="G123">
        <v>1</v>
      </c>
      <c r="H123">
        <v>0</v>
      </c>
      <c r="I123">
        <v>6</v>
      </c>
      <c r="J123" s="1">
        <f t="shared" ca="1" si="23"/>
        <v>0</v>
      </c>
      <c r="K123" s="1">
        <f t="shared" ca="1" si="24"/>
        <v>0</v>
      </c>
      <c r="L123" s="13">
        <f t="shared" ca="1" si="25"/>
        <v>140</v>
      </c>
      <c r="M123" s="7">
        <f t="shared" ca="1" si="26"/>
        <v>860</v>
      </c>
      <c r="N123" s="44">
        <f t="shared" ca="1" si="27"/>
        <v>11</v>
      </c>
      <c r="O123" s="94">
        <f t="shared" ca="1" si="28"/>
        <v>2.8397004155948178</v>
      </c>
      <c r="P123" s="94">
        <f t="shared" ca="1" si="29"/>
        <v>28.397004155948181</v>
      </c>
      <c r="Q123" s="94">
        <f t="shared" ca="1" si="30"/>
        <v>28.397004155948181</v>
      </c>
      <c r="R123" s="94">
        <f t="shared" ca="1" si="31"/>
        <v>2.8397004155948182</v>
      </c>
      <c r="S123" s="94">
        <f t="shared" ca="1" si="32"/>
        <v>2.8397004155948178</v>
      </c>
      <c r="T123" s="4">
        <f t="shared" ca="1" si="33"/>
        <v>0</v>
      </c>
      <c r="U123" s="46">
        <f t="shared" ca="1" si="34"/>
        <v>1363.1639413314356</v>
      </c>
      <c r="V123" s="4">
        <f t="shared" ca="1" si="35"/>
        <v>0</v>
      </c>
      <c r="W123" s="13">
        <f t="shared" ca="1" si="36"/>
        <v>10852.614422610615</v>
      </c>
      <c r="X123" s="4">
        <f t="shared" ca="1" si="37"/>
        <v>0</v>
      </c>
      <c r="AE123" s="4"/>
    </row>
    <row r="124" spans="1:31">
      <c r="A124">
        <v>0</v>
      </c>
      <c r="B124">
        <v>3</v>
      </c>
      <c r="C124">
        <f t="shared" si="19"/>
        <v>5</v>
      </c>
      <c r="D124">
        <f t="shared" si="20"/>
        <v>3</v>
      </c>
      <c r="E124">
        <f t="shared" si="21"/>
        <v>0</v>
      </c>
      <c r="F124" s="100">
        <f t="shared" ca="1" si="22"/>
        <v>0</v>
      </c>
      <c r="G124">
        <v>1</v>
      </c>
      <c r="H124">
        <v>0</v>
      </c>
      <c r="I124">
        <v>5</v>
      </c>
      <c r="J124" s="1">
        <f t="shared" ca="1" si="23"/>
        <v>0</v>
      </c>
      <c r="K124" s="1">
        <f t="shared" ca="1" si="24"/>
        <v>0</v>
      </c>
      <c r="L124" s="13">
        <f t="shared" ca="1" si="25"/>
        <v>127</v>
      </c>
      <c r="M124" s="7">
        <f t="shared" ca="1" si="26"/>
        <v>873</v>
      </c>
      <c r="N124" s="44">
        <f t="shared" ca="1" si="27"/>
        <v>11</v>
      </c>
      <c r="O124" s="94">
        <f t="shared" ca="1" si="28"/>
        <v>2.8397004155948178</v>
      </c>
      <c r="P124" s="94">
        <f t="shared" ca="1" si="29"/>
        <v>28.397004155948181</v>
      </c>
      <c r="Q124" s="94">
        <f t="shared" ca="1" si="30"/>
        <v>28.397004155948181</v>
      </c>
      <c r="R124" s="94">
        <f t="shared" ca="1" si="31"/>
        <v>2.8397004155948182</v>
      </c>
      <c r="S124" s="94">
        <f t="shared" ca="1" si="32"/>
        <v>2.8397004155948178</v>
      </c>
      <c r="T124" s="4">
        <f t="shared" ca="1" si="33"/>
        <v>0</v>
      </c>
      <c r="U124" s="46">
        <f t="shared" ca="1" si="34"/>
        <v>1350.1639413314356</v>
      </c>
      <c r="V124" s="4">
        <f t="shared" ca="1" si="35"/>
        <v>0</v>
      </c>
      <c r="W124" s="13">
        <f t="shared" ca="1" si="36"/>
        <v>10017.797928563645</v>
      </c>
      <c r="X124" s="4">
        <f t="shared" ca="1" si="37"/>
        <v>0</v>
      </c>
      <c r="AE124" s="4"/>
    </row>
    <row r="125" spans="1:31">
      <c r="A125">
        <v>0</v>
      </c>
      <c r="B125">
        <v>3</v>
      </c>
      <c r="C125">
        <f t="shared" si="19"/>
        <v>5</v>
      </c>
      <c r="D125">
        <f t="shared" si="20"/>
        <v>3</v>
      </c>
      <c r="E125">
        <f t="shared" si="21"/>
        <v>0</v>
      </c>
      <c r="F125" s="100">
        <f t="shared" ca="1" si="22"/>
        <v>0</v>
      </c>
      <c r="G125">
        <v>1</v>
      </c>
      <c r="H125">
        <v>0</v>
      </c>
      <c r="I125">
        <v>4</v>
      </c>
      <c r="J125" s="1">
        <f t="shared" ca="1" si="23"/>
        <v>0</v>
      </c>
      <c r="K125" s="1">
        <f t="shared" ca="1" si="24"/>
        <v>0</v>
      </c>
      <c r="L125" s="13">
        <f t="shared" ca="1" si="25"/>
        <v>114</v>
      </c>
      <c r="M125" s="7">
        <f t="shared" ca="1" si="26"/>
        <v>886</v>
      </c>
      <c r="N125" s="44">
        <f t="shared" ca="1" si="27"/>
        <v>12</v>
      </c>
      <c r="O125" s="94">
        <f t="shared" ca="1" si="28"/>
        <v>3.0624018806381534</v>
      </c>
      <c r="P125" s="94">
        <f t="shared" ca="1" si="29"/>
        <v>29.510511481164862</v>
      </c>
      <c r="Q125" s="94">
        <f t="shared" ca="1" si="30"/>
        <v>28.397004155948181</v>
      </c>
      <c r="R125" s="94">
        <f t="shared" ca="1" si="31"/>
        <v>2.8953757818556523</v>
      </c>
      <c r="S125" s="94">
        <f t="shared" ca="1" si="32"/>
        <v>3.0624018806381534</v>
      </c>
      <c r="T125" s="4">
        <f t="shared" ca="1" si="33"/>
        <v>0</v>
      </c>
      <c r="U125" s="46">
        <f t="shared" ca="1" si="34"/>
        <v>1418.7282638229713</v>
      </c>
      <c r="V125" s="4">
        <f t="shared" ca="1" si="35"/>
        <v>0</v>
      </c>
      <c r="W125" s="13">
        <f t="shared" ca="1" si="36"/>
        <v>9182.9814345166742</v>
      </c>
      <c r="X125" s="4">
        <f t="shared" ca="1" si="37"/>
        <v>0</v>
      </c>
      <c r="AE125" s="4"/>
    </row>
    <row r="126" spans="1:31">
      <c r="A126">
        <v>0</v>
      </c>
      <c r="B126">
        <v>3</v>
      </c>
      <c r="C126">
        <f t="shared" si="19"/>
        <v>5</v>
      </c>
      <c r="D126">
        <f t="shared" si="20"/>
        <v>3</v>
      </c>
      <c r="E126">
        <f t="shared" si="21"/>
        <v>0</v>
      </c>
      <c r="F126" s="100">
        <f t="shared" ca="1" si="22"/>
        <v>0</v>
      </c>
      <c r="G126">
        <v>1</v>
      </c>
      <c r="H126">
        <v>0</v>
      </c>
      <c r="I126">
        <v>3</v>
      </c>
      <c r="J126" s="1">
        <f t="shared" ca="1" si="23"/>
        <v>9.2178405000000081E-3</v>
      </c>
      <c r="K126" s="1">
        <f t="shared" ca="1" si="24"/>
        <v>0</v>
      </c>
      <c r="L126" s="13">
        <f t="shared" ca="1" si="25"/>
        <v>101</v>
      </c>
      <c r="M126" s="7">
        <f t="shared" ca="1" si="26"/>
        <v>899</v>
      </c>
      <c r="N126" s="44">
        <f t="shared" ca="1" si="27"/>
        <v>12</v>
      </c>
      <c r="O126" s="94">
        <f t="shared" ca="1" si="28"/>
        <v>3.0624018806381534</v>
      </c>
      <c r="P126" s="94">
        <f t="shared" ca="1" si="29"/>
        <v>30.624018806381528</v>
      </c>
      <c r="Q126" s="94">
        <f t="shared" ca="1" si="30"/>
        <v>30.178615876294863</v>
      </c>
      <c r="R126" s="94">
        <f t="shared" ca="1" si="31"/>
        <v>3.0401317341338197</v>
      </c>
      <c r="S126" s="94">
        <f t="shared" ca="1" si="32"/>
        <v>3.0624018806381534</v>
      </c>
      <c r="T126" s="4">
        <f t="shared" ca="1" si="33"/>
        <v>0</v>
      </c>
      <c r="U126" s="46">
        <f t="shared" ca="1" si="34"/>
        <v>1405.7282638229713</v>
      </c>
      <c r="V126" s="4">
        <f t="shared" ca="1" si="35"/>
        <v>0</v>
      </c>
      <c r="W126" s="13">
        <f t="shared" ca="1" si="36"/>
        <v>8348.1649404697037</v>
      </c>
      <c r="X126" s="4">
        <f t="shared" ca="1" si="37"/>
        <v>0</v>
      </c>
      <c r="AE126" s="4"/>
    </row>
    <row r="127" spans="1:31">
      <c r="A127">
        <v>0</v>
      </c>
      <c r="B127">
        <v>3</v>
      </c>
      <c r="C127">
        <f t="shared" si="19"/>
        <v>5</v>
      </c>
      <c r="D127">
        <f t="shared" si="20"/>
        <v>3</v>
      </c>
      <c r="E127">
        <f t="shared" si="21"/>
        <v>0</v>
      </c>
      <c r="F127" s="100">
        <f t="shared" ca="1" si="22"/>
        <v>0</v>
      </c>
      <c r="G127">
        <v>1</v>
      </c>
      <c r="H127">
        <v>0</v>
      </c>
      <c r="I127">
        <v>2</v>
      </c>
      <c r="J127" s="1">
        <f t="shared" ca="1" si="23"/>
        <v>2.7932850000000046E-4</v>
      </c>
      <c r="K127" s="1">
        <f t="shared" ca="1" si="24"/>
        <v>0</v>
      </c>
      <c r="L127" s="13">
        <f t="shared" ca="1" si="25"/>
        <v>88</v>
      </c>
      <c r="M127" s="7">
        <f t="shared" ca="1" si="26"/>
        <v>912</v>
      </c>
      <c r="N127" s="44">
        <f t="shared" ca="1" si="27"/>
        <v>12</v>
      </c>
      <c r="O127" s="94">
        <f t="shared" ca="1" si="28"/>
        <v>3.0624018806381534</v>
      </c>
      <c r="P127" s="94">
        <f t="shared" ca="1" si="29"/>
        <v>30.624018806381528</v>
      </c>
      <c r="Q127" s="94">
        <f t="shared" ca="1" si="30"/>
        <v>30.624018806381528</v>
      </c>
      <c r="R127" s="94">
        <f t="shared" ca="1" si="31"/>
        <v>3.062401880638153</v>
      </c>
      <c r="S127" s="94">
        <f t="shared" ca="1" si="32"/>
        <v>3.0624018806381534</v>
      </c>
      <c r="T127" s="4">
        <f t="shared" ca="1" si="33"/>
        <v>0</v>
      </c>
      <c r="U127" s="46">
        <f t="shared" ca="1" si="34"/>
        <v>1392.7282638229713</v>
      </c>
      <c r="V127" s="4">
        <f t="shared" ca="1" si="35"/>
        <v>0</v>
      </c>
      <c r="W127" s="13">
        <f t="shared" ca="1" si="36"/>
        <v>7513.3484464227331</v>
      </c>
      <c r="X127" s="4">
        <f t="shared" ca="1" si="37"/>
        <v>0</v>
      </c>
      <c r="AE127" s="4"/>
    </row>
    <row r="128" spans="1:31">
      <c r="A128">
        <v>0</v>
      </c>
      <c r="B128">
        <v>3</v>
      </c>
      <c r="C128">
        <f t="shared" si="19"/>
        <v>5</v>
      </c>
      <c r="D128">
        <f t="shared" si="20"/>
        <v>3</v>
      </c>
      <c r="E128">
        <f t="shared" si="21"/>
        <v>0</v>
      </c>
      <c r="F128" s="100">
        <f t="shared" ca="1" si="22"/>
        <v>0</v>
      </c>
      <c r="G128">
        <v>1</v>
      </c>
      <c r="H128">
        <v>0</v>
      </c>
      <c r="I128">
        <v>1</v>
      </c>
      <c r="J128" s="1">
        <f t="shared" ca="1" si="23"/>
        <v>2.8215000000000076E-6</v>
      </c>
      <c r="K128" s="1">
        <f t="shared" ca="1" si="24"/>
        <v>0</v>
      </c>
      <c r="L128" s="13">
        <f t="shared" ca="1" si="25"/>
        <v>75</v>
      </c>
      <c r="M128" s="7">
        <f t="shared" ca="1" si="26"/>
        <v>925</v>
      </c>
      <c r="N128" s="44">
        <f t="shared" ca="1" si="27"/>
        <v>12</v>
      </c>
      <c r="O128" s="94">
        <f t="shared" ca="1" si="28"/>
        <v>3.0624018806381534</v>
      </c>
      <c r="P128" s="94">
        <f t="shared" ca="1" si="29"/>
        <v>30.624018806381528</v>
      </c>
      <c r="Q128" s="94">
        <f t="shared" ca="1" si="30"/>
        <v>30.624018806381528</v>
      </c>
      <c r="R128" s="94">
        <f t="shared" ca="1" si="31"/>
        <v>3.062401880638153</v>
      </c>
      <c r="S128" s="94">
        <f t="shared" ca="1" si="32"/>
        <v>3.0624018806381534</v>
      </c>
      <c r="T128" s="4">
        <f t="shared" ca="1" si="33"/>
        <v>0</v>
      </c>
      <c r="U128" s="46">
        <f t="shared" ca="1" si="34"/>
        <v>1379.7282638229713</v>
      </c>
      <c r="V128" s="4">
        <f t="shared" ca="1" si="35"/>
        <v>0</v>
      </c>
      <c r="W128" s="13">
        <f t="shared" ca="1" si="36"/>
        <v>6678.5319523757635</v>
      </c>
      <c r="X128" s="4">
        <f t="shared" ca="1" si="37"/>
        <v>0</v>
      </c>
      <c r="AE128" s="4"/>
    </row>
    <row r="129" spans="1:31">
      <c r="A129">
        <v>0</v>
      </c>
      <c r="B129">
        <v>3</v>
      </c>
      <c r="C129">
        <f t="shared" si="19"/>
        <v>5</v>
      </c>
      <c r="D129">
        <f t="shared" si="20"/>
        <v>3</v>
      </c>
      <c r="E129">
        <f t="shared" si="21"/>
        <v>0</v>
      </c>
      <c r="F129" s="100">
        <f t="shared" ca="1" si="22"/>
        <v>0</v>
      </c>
      <c r="G129">
        <v>1</v>
      </c>
      <c r="H129">
        <v>0</v>
      </c>
      <c r="I129">
        <v>0</v>
      </c>
      <c r="J129" s="1">
        <f t="shared" ca="1" si="23"/>
        <v>9.5000000000000338E-9</v>
      </c>
      <c r="K129" s="1">
        <f t="shared" ca="1" si="24"/>
        <v>0</v>
      </c>
      <c r="L129" s="13">
        <f t="shared" ca="1" si="25"/>
        <v>62</v>
      </c>
      <c r="M129" s="7">
        <f t="shared" ca="1" si="26"/>
        <v>938</v>
      </c>
      <c r="N129" s="44">
        <f t="shared" ca="1" si="27"/>
        <v>12</v>
      </c>
      <c r="O129" s="94">
        <f t="shared" ca="1" si="28"/>
        <v>3.0624018806381534</v>
      </c>
      <c r="P129" s="94">
        <f t="shared" ca="1" si="29"/>
        <v>30.624018806381528</v>
      </c>
      <c r="Q129" s="94">
        <f t="shared" ca="1" si="30"/>
        <v>30.624018806381528</v>
      </c>
      <c r="R129" s="94">
        <f t="shared" ca="1" si="31"/>
        <v>3.062401880638153</v>
      </c>
      <c r="S129" s="94">
        <f t="shared" ca="1" si="32"/>
        <v>3.0624018806381534</v>
      </c>
      <c r="T129" s="4">
        <f t="shared" ca="1" si="33"/>
        <v>0</v>
      </c>
      <c r="U129" s="46">
        <f t="shared" ca="1" si="34"/>
        <v>1366.7282638229713</v>
      </c>
      <c r="V129" s="4">
        <f t="shared" ca="1" si="35"/>
        <v>0</v>
      </c>
      <c r="W129" s="13">
        <f t="shared" ca="1" si="36"/>
        <v>5843.7154583287929</v>
      </c>
      <c r="X129" s="4">
        <f t="shared" ca="1" si="37"/>
        <v>0</v>
      </c>
      <c r="AE129" s="4"/>
    </row>
    <row r="130" spans="1:31">
      <c r="A130">
        <v>0</v>
      </c>
      <c r="B130">
        <v>3</v>
      </c>
      <c r="C130">
        <f t="shared" si="19"/>
        <v>5</v>
      </c>
      <c r="D130">
        <f t="shared" si="20"/>
        <v>3</v>
      </c>
      <c r="E130">
        <f t="shared" si="21"/>
        <v>0</v>
      </c>
      <c r="F130" s="100">
        <f t="shared" ca="1" si="22"/>
        <v>0</v>
      </c>
      <c r="G130">
        <v>0</v>
      </c>
      <c r="H130">
        <v>1</v>
      </c>
      <c r="I130">
        <v>7</v>
      </c>
      <c r="J130" s="1">
        <f t="shared" ca="1" si="23"/>
        <v>0</v>
      </c>
      <c r="K130" s="1">
        <f t="shared" ca="1" si="24"/>
        <v>0</v>
      </c>
      <c r="L130" s="13">
        <f t="shared" ca="1" si="25"/>
        <v>153</v>
      </c>
      <c r="M130" s="7">
        <f t="shared" ca="1" si="26"/>
        <v>847</v>
      </c>
      <c r="N130" s="44">
        <f t="shared" ca="1" si="27"/>
        <v>11</v>
      </c>
      <c r="O130" s="94">
        <f t="shared" ca="1" si="28"/>
        <v>2.8397004155948178</v>
      </c>
      <c r="P130" s="94">
        <f t="shared" ca="1" si="29"/>
        <v>28.397004155948181</v>
      </c>
      <c r="Q130" s="94">
        <f t="shared" ca="1" si="30"/>
        <v>28.397004155948181</v>
      </c>
      <c r="R130" s="94">
        <f t="shared" ca="1" si="31"/>
        <v>2.8397004155948182</v>
      </c>
      <c r="S130" s="94">
        <f t="shared" ca="1" si="32"/>
        <v>2.8397004155948178</v>
      </c>
      <c r="T130" s="4">
        <f t="shared" ca="1" si="33"/>
        <v>0</v>
      </c>
      <c r="U130" s="46">
        <f t="shared" ca="1" si="34"/>
        <v>1376.1639413314356</v>
      </c>
      <c r="V130" s="4">
        <f t="shared" ca="1" si="35"/>
        <v>0</v>
      </c>
      <c r="W130" s="13">
        <f t="shared" ca="1" si="36"/>
        <v>6469.4270995668039</v>
      </c>
      <c r="X130" s="4">
        <f t="shared" ca="1" si="37"/>
        <v>0</v>
      </c>
      <c r="AE130" s="4"/>
    </row>
    <row r="131" spans="1:31">
      <c r="A131">
        <v>0</v>
      </c>
      <c r="B131">
        <v>3</v>
      </c>
      <c r="C131">
        <f t="shared" si="19"/>
        <v>5</v>
      </c>
      <c r="D131">
        <f t="shared" si="20"/>
        <v>3</v>
      </c>
      <c r="E131">
        <f t="shared" si="21"/>
        <v>0</v>
      </c>
      <c r="F131" s="100">
        <f t="shared" ca="1" si="22"/>
        <v>0</v>
      </c>
      <c r="G131">
        <v>0</v>
      </c>
      <c r="H131">
        <v>1</v>
      </c>
      <c r="I131">
        <v>6</v>
      </c>
      <c r="J131" s="1">
        <f t="shared" ca="1" si="23"/>
        <v>0</v>
      </c>
      <c r="K131" s="1">
        <f t="shared" ca="1" si="24"/>
        <v>0</v>
      </c>
      <c r="L131" s="13">
        <f t="shared" ca="1" si="25"/>
        <v>140</v>
      </c>
      <c r="M131" s="7">
        <f t="shared" ca="1" si="26"/>
        <v>860</v>
      </c>
      <c r="N131" s="44">
        <f t="shared" ca="1" si="27"/>
        <v>11</v>
      </c>
      <c r="O131" s="94">
        <f t="shared" ca="1" si="28"/>
        <v>2.8397004155948178</v>
      </c>
      <c r="P131" s="94">
        <f t="shared" ca="1" si="29"/>
        <v>28.397004155948181</v>
      </c>
      <c r="Q131" s="94">
        <f t="shared" ca="1" si="30"/>
        <v>28.397004155948181</v>
      </c>
      <c r="R131" s="94">
        <f t="shared" ca="1" si="31"/>
        <v>2.8397004155948182</v>
      </c>
      <c r="S131" s="94">
        <f t="shared" ca="1" si="32"/>
        <v>2.8397004155948178</v>
      </c>
      <c r="T131" s="4">
        <f t="shared" ca="1" si="33"/>
        <v>0</v>
      </c>
      <c r="U131" s="46">
        <f t="shared" ca="1" si="34"/>
        <v>1363.1639413314356</v>
      </c>
      <c r="V131" s="4">
        <f t="shared" ca="1" si="35"/>
        <v>0</v>
      </c>
      <c r="W131" s="13">
        <f t="shared" ca="1" si="36"/>
        <v>5634.6106055198334</v>
      </c>
      <c r="X131" s="4">
        <f t="shared" ca="1" si="37"/>
        <v>0</v>
      </c>
      <c r="AE131" s="4"/>
    </row>
    <row r="132" spans="1:31">
      <c r="A132">
        <v>0</v>
      </c>
      <c r="B132">
        <v>3</v>
      </c>
      <c r="C132">
        <f t="shared" si="19"/>
        <v>5</v>
      </c>
      <c r="D132">
        <f t="shared" si="20"/>
        <v>3</v>
      </c>
      <c r="E132">
        <f t="shared" si="21"/>
        <v>0</v>
      </c>
      <c r="F132" s="100">
        <f t="shared" ca="1" si="22"/>
        <v>0</v>
      </c>
      <c r="G132">
        <v>0</v>
      </c>
      <c r="H132">
        <v>1</v>
      </c>
      <c r="I132">
        <v>5</v>
      </c>
      <c r="J132" s="1">
        <f t="shared" ca="1" si="23"/>
        <v>0</v>
      </c>
      <c r="K132" s="1">
        <f t="shared" ca="1" si="24"/>
        <v>0</v>
      </c>
      <c r="L132" s="13">
        <f t="shared" ca="1" si="25"/>
        <v>127</v>
      </c>
      <c r="M132" s="7">
        <f t="shared" ca="1" si="26"/>
        <v>873</v>
      </c>
      <c r="N132" s="44">
        <f t="shared" ca="1" si="27"/>
        <v>11</v>
      </c>
      <c r="O132" s="94">
        <f t="shared" ca="1" si="28"/>
        <v>2.8397004155948178</v>
      </c>
      <c r="P132" s="94">
        <f t="shared" ca="1" si="29"/>
        <v>28.397004155948181</v>
      </c>
      <c r="Q132" s="94">
        <f t="shared" ca="1" si="30"/>
        <v>28.397004155948181</v>
      </c>
      <c r="R132" s="94">
        <f t="shared" ca="1" si="31"/>
        <v>2.8397004155948182</v>
      </c>
      <c r="S132" s="94">
        <f t="shared" ca="1" si="32"/>
        <v>2.8397004155948178</v>
      </c>
      <c r="T132" s="4">
        <f t="shared" ca="1" si="33"/>
        <v>0</v>
      </c>
      <c r="U132" s="46">
        <f t="shared" ca="1" si="34"/>
        <v>1350.1639413314356</v>
      </c>
      <c r="V132" s="4">
        <f t="shared" ca="1" si="35"/>
        <v>0</v>
      </c>
      <c r="W132" s="13">
        <f t="shared" ca="1" si="36"/>
        <v>4799.7941114728637</v>
      </c>
      <c r="X132" s="4">
        <f t="shared" ca="1" si="37"/>
        <v>0</v>
      </c>
      <c r="AE132" s="4"/>
    </row>
    <row r="133" spans="1:31">
      <c r="A133">
        <v>0</v>
      </c>
      <c r="B133">
        <v>3</v>
      </c>
      <c r="C133">
        <f t="shared" si="19"/>
        <v>5</v>
      </c>
      <c r="D133">
        <f t="shared" si="20"/>
        <v>3</v>
      </c>
      <c r="E133">
        <f t="shared" si="21"/>
        <v>0</v>
      </c>
      <c r="F133" s="100">
        <f t="shared" ca="1" si="22"/>
        <v>0</v>
      </c>
      <c r="G133">
        <v>0</v>
      </c>
      <c r="H133">
        <v>1</v>
      </c>
      <c r="I133">
        <v>4</v>
      </c>
      <c r="J133" s="1">
        <f t="shared" ca="1" si="23"/>
        <v>0</v>
      </c>
      <c r="K133" s="1">
        <f t="shared" ca="1" si="24"/>
        <v>0</v>
      </c>
      <c r="L133" s="13">
        <f t="shared" ca="1" si="25"/>
        <v>114</v>
      </c>
      <c r="M133" s="7">
        <f t="shared" ca="1" si="26"/>
        <v>886</v>
      </c>
      <c r="N133" s="44">
        <f t="shared" ca="1" si="27"/>
        <v>12</v>
      </c>
      <c r="O133" s="94">
        <f t="shared" ca="1" si="28"/>
        <v>3.0624018806381534</v>
      </c>
      <c r="P133" s="94">
        <f t="shared" ca="1" si="29"/>
        <v>29.510511481164862</v>
      </c>
      <c r="Q133" s="94">
        <f t="shared" ca="1" si="30"/>
        <v>28.397004155948181</v>
      </c>
      <c r="R133" s="94">
        <f t="shared" ca="1" si="31"/>
        <v>2.8953757818556523</v>
      </c>
      <c r="S133" s="94">
        <f t="shared" ca="1" si="32"/>
        <v>3.0624018806381534</v>
      </c>
      <c r="T133" s="4">
        <f t="shared" ca="1" si="33"/>
        <v>0</v>
      </c>
      <c r="U133" s="46">
        <f t="shared" ca="1" si="34"/>
        <v>1418.7282638229713</v>
      </c>
      <c r="V133" s="4">
        <f t="shared" ca="1" si="35"/>
        <v>0</v>
      </c>
      <c r="W133" s="13">
        <f t="shared" ca="1" si="36"/>
        <v>3964.9776174258936</v>
      </c>
      <c r="X133" s="4">
        <f t="shared" ca="1" si="37"/>
        <v>0</v>
      </c>
      <c r="AE133" s="4"/>
    </row>
    <row r="134" spans="1:31">
      <c r="A134">
        <v>0</v>
      </c>
      <c r="B134">
        <v>3</v>
      </c>
      <c r="C134">
        <f t="shared" si="19"/>
        <v>5</v>
      </c>
      <c r="D134">
        <f t="shared" si="20"/>
        <v>3</v>
      </c>
      <c r="E134">
        <f t="shared" si="21"/>
        <v>0</v>
      </c>
      <c r="F134" s="100">
        <f t="shared" ca="1" si="22"/>
        <v>0</v>
      </c>
      <c r="G134">
        <v>0</v>
      </c>
      <c r="H134">
        <v>1</v>
      </c>
      <c r="I134">
        <v>3</v>
      </c>
      <c r="J134" s="1">
        <f t="shared" ca="1" si="23"/>
        <v>4.8029800499999997E-2</v>
      </c>
      <c r="K134" s="1">
        <f t="shared" ca="1" si="24"/>
        <v>0</v>
      </c>
      <c r="L134" s="13">
        <f t="shared" ca="1" si="25"/>
        <v>101</v>
      </c>
      <c r="M134" s="7">
        <f t="shared" ca="1" si="26"/>
        <v>899</v>
      </c>
      <c r="N134" s="44">
        <f t="shared" ca="1" si="27"/>
        <v>12</v>
      </c>
      <c r="O134" s="94">
        <f t="shared" ca="1" si="28"/>
        <v>3.0624018806381534</v>
      </c>
      <c r="P134" s="94">
        <f t="shared" ca="1" si="29"/>
        <v>30.624018806381528</v>
      </c>
      <c r="Q134" s="94">
        <f t="shared" ca="1" si="30"/>
        <v>30.178615876294863</v>
      </c>
      <c r="R134" s="94">
        <f t="shared" ca="1" si="31"/>
        <v>3.0401317341338197</v>
      </c>
      <c r="S134" s="94">
        <f t="shared" ca="1" si="32"/>
        <v>3.0624018806381534</v>
      </c>
      <c r="T134" s="4">
        <f t="shared" ca="1" si="33"/>
        <v>0</v>
      </c>
      <c r="U134" s="46">
        <f t="shared" ca="1" si="34"/>
        <v>1405.7282638229713</v>
      </c>
      <c r="V134" s="4">
        <f t="shared" ca="1" si="35"/>
        <v>0</v>
      </c>
      <c r="W134" s="13">
        <f t="shared" ca="1" si="36"/>
        <v>3130.1611233789231</v>
      </c>
      <c r="X134" s="4">
        <f t="shared" ca="1" si="37"/>
        <v>0</v>
      </c>
      <c r="AE134" s="4"/>
    </row>
    <row r="135" spans="1:31">
      <c r="A135">
        <v>0</v>
      </c>
      <c r="B135">
        <v>3</v>
      </c>
      <c r="C135">
        <f t="shared" si="19"/>
        <v>5</v>
      </c>
      <c r="D135">
        <f t="shared" si="20"/>
        <v>3</v>
      </c>
      <c r="E135">
        <f t="shared" si="21"/>
        <v>0</v>
      </c>
      <c r="F135" s="100">
        <f t="shared" ca="1" si="22"/>
        <v>0</v>
      </c>
      <c r="G135">
        <v>0</v>
      </c>
      <c r="H135">
        <v>1</v>
      </c>
      <c r="I135">
        <v>2</v>
      </c>
      <c r="J135" s="1">
        <f t="shared" ca="1" si="23"/>
        <v>1.4554485000000013E-3</v>
      </c>
      <c r="K135" s="1">
        <f t="shared" ca="1" si="24"/>
        <v>0</v>
      </c>
      <c r="L135" s="13">
        <f t="shared" ca="1" si="25"/>
        <v>88</v>
      </c>
      <c r="M135" s="7">
        <f t="shared" ca="1" si="26"/>
        <v>912</v>
      </c>
      <c r="N135" s="44">
        <f t="shared" ca="1" si="27"/>
        <v>12</v>
      </c>
      <c r="O135" s="94">
        <f t="shared" ca="1" si="28"/>
        <v>3.0624018806381534</v>
      </c>
      <c r="P135" s="94">
        <f t="shared" ca="1" si="29"/>
        <v>30.624018806381528</v>
      </c>
      <c r="Q135" s="94">
        <f t="shared" ca="1" si="30"/>
        <v>30.624018806381528</v>
      </c>
      <c r="R135" s="94">
        <f t="shared" ca="1" si="31"/>
        <v>3.062401880638153</v>
      </c>
      <c r="S135" s="94">
        <f t="shared" ca="1" si="32"/>
        <v>3.0624018806381534</v>
      </c>
      <c r="T135" s="4">
        <f t="shared" ca="1" si="33"/>
        <v>0</v>
      </c>
      <c r="U135" s="46">
        <f t="shared" ca="1" si="34"/>
        <v>1392.7282638229713</v>
      </c>
      <c r="V135" s="4">
        <f t="shared" ca="1" si="35"/>
        <v>0</v>
      </c>
      <c r="W135" s="13">
        <f t="shared" ca="1" si="36"/>
        <v>2295.344629331953</v>
      </c>
      <c r="X135" s="4">
        <f t="shared" ca="1" si="37"/>
        <v>0</v>
      </c>
      <c r="AE135" s="4"/>
    </row>
    <row r="136" spans="1:31">
      <c r="A136">
        <v>0</v>
      </c>
      <c r="B136">
        <v>3</v>
      </c>
      <c r="C136">
        <f t="shared" si="19"/>
        <v>5</v>
      </c>
      <c r="D136">
        <f t="shared" si="20"/>
        <v>3</v>
      </c>
      <c r="E136">
        <f t="shared" si="21"/>
        <v>0</v>
      </c>
      <c r="F136" s="100">
        <f t="shared" ca="1" si="22"/>
        <v>0</v>
      </c>
      <c r="G136">
        <v>0</v>
      </c>
      <c r="H136">
        <v>1</v>
      </c>
      <c r="I136">
        <v>1</v>
      </c>
      <c r="J136" s="1">
        <f t="shared" ca="1" si="23"/>
        <v>1.4701500000000029E-5</v>
      </c>
      <c r="K136" s="1">
        <f t="shared" ca="1" si="24"/>
        <v>0</v>
      </c>
      <c r="L136" s="13">
        <f t="shared" ca="1" si="25"/>
        <v>75</v>
      </c>
      <c r="M136" s="7">
        <f t="shared" ca="1" si="26"/>
        <v>925</v>
      </c>
      <c r="N136" s="44">
        <f t="shared" ca="1" si="27"/>
        <v>12</v>
      </c>
      <c r="O136" s="94">
        <f t="shared" ca="1" si="28"/>
        <v>3.0624018806381534</v>
      </c>
      <c r="P136" s="94">
        <f t="shared" ca="1" si="29"/>
        <v>30.624018806381528</v>
      </c>
      <c r="Q136" s="94">
        <f t="shared" ca="1" si="30"/>
        <v>30.624018806381528</v>
      </c>
      <c r="R136" s="94">
        <f t="shared" ca="1" si="31"/>
        <v>3.062401880638153</v>
      </c>
      <c r="S136" s="94">
        <f t="shared" ca="1" si="32"/>
        <v>3.0624018806381534</v>
      </c>
      <c r="T136" s="4">
        <f t="shared" ca="1" si="33"/>
        <v>0</v>
      </c>
      <c r="U136" s="46">
        <f t="shared" ca="1" si="34"/>
        <v>1379.7282638229713</v>
      </c>
      <c r="V136" s="4">
        <f t="shared" ca="1" si="35"/>
        <v>0</v>
      </c>
      <c r="W136" s="13">
        <f t="shared" ca="1" si="36"/>
        <v>1460.5281352849825</v>
      </c>
      <c r="X136" s="4">
        <f t="shared" ca="1" si="37"/>
        <v>0</v>
      </c>
      <c r="AE136" s="4"/>
    </row>
    <row r="137" spans="1:31">
      <c r="A137">
        <v>0</v>
      </c>
      <c r="B137">
        <v>3</v>
      </c>
      <c r="C137">
        <f t="shared" si="19"/>
        <v>5</v>
      </c>
      <c r="D137">
        <f t="shared" si="20"/>
        <v>3</v>
      </c>
      <c r="E137">
        <f t="shared" si="21"/>
        <v>0</v>
      </c>
      <c r="F137" s="100">
        <f t="shared" ca="1" si="22"/>
        <v>0</v>
      </c>
      <c r="G137">
        <v>0</v>
      </c>
      <c r="H137">
        <v>1</v>
      </c>
      <c r="I137">
        <v>0</v>
      </c>
      <c r="J137" s="1">
        <f t="shared" ca="1" si="23"/>
        <v>4.9500000000000139E-8</v>
      </c>
      <c r="K137" s="1">
        <f t="shared" ca="1" si="24"/>
        <v>0</v>
      </c>
      <c r="L137" s="13">
        <f t="shared" ca="1" si="25"/>
        <v>62</v>
      </c>
      <c r="M137" s="7">
        <f t="shared" ca="1" si="26"/>
        <v>938</v>
      </c>
      <c r="N137" s="44">
        <f t="shared" ca="1" si="27"/>
        <v>12</v>
      </c>
      <c r="O137" s="94">
        <f t="shared" ca="1" si="28"/>
        <v>3.0624018806381534</v>
      </c>
      <c r="P137" s="94">
        <f t="shared" ca="1" si="29"/>
        <v>30.624018806381528</v>
      </c>
      <c r="Q137" s="94">
        <f t="shared" ca="1" si="30"/>
        <v>30.624018806381528</v>
      </c>
      <c r="R137" s="94">
        <f t="shared" ca="1" si="31"/>
        <v>3.062401880638153</v>
      </c>
      <c r="S137" s="94">
        <f t="shared" ca="1" si="32"/>
        <v>3.0624018806381534</v>
      </c>
      <c r="T137" s="4">
        <f t="shared" ca="1" si="33"/>
        <v>0</v>
      </c>
      <c r="U137" s="46">
        <f t="shared" ca="1" si="34"/>
        <v>1366.7282638229713</v>
      </c>
      <c r="V137" s="4">
        <f t="shared" ca="1" si="35"/>
        <v>0</v>
      </c>
      <c r="W137" s="13">
        <f t="shared" ca="1" si="36"/>
        <v>625.71164123801225</v>
      </c>
      <c r="X137" s="4">
        <f t="shared" ca="1" si="37"/>
        <v>0</v>
      </c>
      <c r="AE137" s="4"/>
    </row>
    <row r="138" spans="1:31">
      <c r="A138">
        <v>0</v>
      </c>
      <c r="B138">
        <v>3</v>
      </c>
      <c r="C138">
        <f t="shared" si="19"/>
        <v>5</v>
      </c>
      <c r="D138">
        <f t="shared" si="20"/>
        <v>3</v>
      </c>
      <c r="E138">
        <f t="shared" si="21"/>
        <v>0</v>
      </c>
      <c r="F138" s="100">
        <f t="shared" ca="1" si="22"/>
        <v>0</v>
      </c>
      <c r="G138">
        <v>0</v>
      </c>
      <c r="H138">
        <v>0</v>
      </c>
      <c r="I138">
        <v>7</v>
      </c>
      <c r="J138" s="1">
        <f t="shared" ca="1" si="23"/>
        <v>0</v>
      </c>
      <c r="K138" s="1">
        <f t="shared" ca="1" si="24"/>
        <v>0</v>
      </c>
      <c r="L138" s="13">
        <f t="shared" ca="1" si="25"/>
        <v>91</v>
      </c>
      <c r="M138" s="7">
        <f t="shared" ca="1" si="26"/>
        <v>909</v>
      </c>
      <c r="N138" s="44">
        <f t="shared" ca="1" si="27"/>
        <v>12</v>
      </c>
      <c r="O138" s="94">
        <f t="shared" ca="1" si="28"/>
        <v>3.0624018806381534</v>
      </c>
      <c r="P138" s="94">
        <f t="shared" ca="1" si="29"/>
        <v>30.624018806381528</v>
      </c>
      <c r="Q138" s="94">
        <f t="shared" ca="1" si="30"/>
        <v>30.624018806381528</v>
      </c>
      <c r="R138" s="94">
        <f t="shared" ca="1" si="31"/>
        <v>3.062401880638153</v>
      </c>
      <c r="S138" s="94">
        <f t="shared" ca="1" si="32"/>
        <v>3.0624018806381534</v>
      </c>
      <c r="T138" s="4">
        <f t="shared" ca="1" si="33"/>
        <v>0</v>
      </c>
      <c r="U138" s="46">
        <f t="shared" ca="1" si="34"/>
        <v>1395.7282638229713</v>
      </c>
      <c r="V138" s="4">
        <f t="shared" ca="1" si="35"/>
        <v>0</v>
      </c>
      <c r="W138" s="13">
        <f t="shared" ca="1" si="36"/>
        <v>5843.715458328792</v>
      </c>
      <c r="X138" s="4">
        <f t="shared" ca="1" si="37"/>
        <v>0</v>
      </c>
      <c r="AE138" s="4"/>
    </row>
    <row r="139" spans="1:31">
      <c r="A139">
        <v>0</v>
      </c>
      <c r="B139">
        <v>3</v>
      </c>
      <c r="C139">
        <f t="shared" si="19"/>
        <v>5</v>
      </c>
      <c r="D139">
        <f t="shared" si="20"/>
        <v>3</v>
      </c>
      <c r="E139">
        <f t="shared" si="21"/>
        <v>0</v>
      </c>
      <c r="F139" s="100">
        <f t="shared" ca="1" si="22"/>
        <v>0</v>
      </c>
      <c r="G139">
        <v>0</v>
      </c>
      <c r="H139">
        <v>0</v>
      </c>
      <c r="I139">
        <v>6</v>
      </c>
      <c r="J139" s="1">
        <f t="shared" ca="1" si="23"/>
        <v>0</v>
      </c>
      <c r="K139" s="1">
        <f t="shared" ca="1" si="24"/>
        <v>0</v>
      </c>
      <c r="L139" s="13">
        <f t="shared" ca="1" si="25"/>
        <v>78</v>
      </c>
      <c r="M139" s="7">
        <f t="shared" ca="1" si="26"/>
        <v>922</v>
      </c>
      <c r="N139" s="44">
        <f t="shared" ca="1" si="27"/>
        <v>12</v>
      </c>
      <c r="O139" s="94">
        <f t="shared" ca="1" si="28"/>
        <v>3.0624018806381534</v>
      </c>
      <c r="P139" s="94">
        <f t="shared" ca="1" si="29"/>
        <v>30.624018806381528</v>
      </c>
      <c r="Q139" s="94">
        <f t="shared" ca="1" si="30"/>
        <v>30.624018806381528</v>
      </c>
      <c r="R139" s="94">
        <f t="shared" ca="1" si="31"/>
        <v>3.062401880638153</v>
      </c>
      <c r="S139" s="94">
        <f t="shared" ca="1" si="32"/>
        <v>3.0624018806381534</v>
      </c>
      <c r="T139" s="4">
        <f t="shared" ca="1" si="33"/>
        <v>0</v>
      </c>
      <c r="U139" s="46">
        <f t="shared" ca="1" si="34"/>
        <v>1382.7282638229713</v>
      </c>
      <c r="V139" s="4">
        <f t="shared" ca="1" si="35"/>
        <v>0</v>
      </c>
      <c r="W139" s="13">
        <f t="shared" ca="1" si="36"/>
        <v>5008.8989642818215</v>
      </c>
      <c r="X139" s="4">
        <f t="shared" ca="1" si="37"/>
        <v>0</v>
      </c>
      <c r="AE139" s="4"/>
    </row>
    <row r="140" spans="1:31">
      <c r="A140">
        <v>0</v>
      </c>
      <c r="B140">
        <v>3</v>
      </c>
      <c r="C140">
        <f t="shared" si="19"/>
        <v>5</v>
      </c>
      <c r="D140">
        <f t="shared" si="20"/>
        <v>3</v>
      </c>
      <c r="E140">
        <f t="shared" si="21"/>
        <v>0</v>
      </c>
      <c r="F140" s="100">
        <f t="shared" ca="1" si="22"/>
        <v>0</v>
      </c>
      <c r="G140">
        <v>0</v>
      </c>
      <c r="H140">
        <v>0</v>
      </c>
      <c r="I140">
        <v>5</v>
      </c>
      <c r="J140" s="1">
        <f t="shared" ca="1" si="23"/>
        <v>0</v>
      </c>
      <c r="K140" s="1">
        <f t="shared" ca="1" si="24"/>
        <v>0</v>
      </c>
      <c r="L140" s="13">
        <f t="shared" ca="1" si="25"/>
        <v>65</v>
      </c>
      <c r="M140" s="7">
        <f t="shared" ca="1" si="26"/>
        <v>935</v>
      </c>
      <c r="N140" s="44">
        <f t="shared" ca="1" si="27"/>
        <v>12</v>
      </c>
      <c r="O140" s="94">
        <f t="shared" ca="1" si="28"/>
        <v>3.0624018806381534</v>
      </c>
      <c r="P140" s="94">
        <f t="shared" ca="1" si="29"/>
        <v>30.624018806381528</v>
      </c>
      <c r="Q140" s="94">
        <f t="shared" ca="1" si="30"/>
        <v>30.624018806381528</v>
      </c>
      <c r="R140" s="94">
        <f t="shared" ca="1" si="31"/>
        <v>3.062401880638153</v>
      </c>
      <c r="S140" s="94">
        <f t="shared" ca="1" si="32"/>
        <v>3.0624018806381534</v>
      </c>
      <c r="T140" s="4">
        <f t="shared" ca="1" si="33"/>
        <v>0</v>
      </c>
      <c r="U140" s="46">
        <f t="shared" ca="1" si="34"/>
        <v>1369.7282638229713</v>
      </c>
      <c r="V140" s="4">
        <f t="shared" ca="1" si="35"/>
        <v>0</v>
      </c>
      <c r="W140" s="13">
        <f t="shared" ca="1" si="36"/>
        <v>4174.0824702348518</v>
      </c>
      <c r="X140" s="4">
        <f t="shared" ca="1" si="37"/>
        <v>0</v>
      </c>
      <c r="AE140" s="4"/>
    </row>
    <row r="141" spans="1:31">
      <c r="A141">
        <v>0</v>
      </c>
      <c r="B141">
        <v>3</v>
      </c>
      <c r="C141">
        <f t="shared" si="19"/>
        <v>5</v>
      </c>
      <c r="D141">
        <f t="shared" si="20"/>
        <v>3</v>
      </c>
      <c r="E141">
        <f t="shared" si="21"/>
        <v>0</v>
      </c>
      <c r="F141" s="100">
        <f t="shared" ca="1" si="22"/>
        <v>0</v>
      </c>
      <c r="G141">
        <v>0</v>
      </c>
      <c r="H141">
        <v>0</v>
      </c>
      <c r="I141">
        <v>4</v>
      </c>
      <c r="J141" s="1">
        <f t="shared" ca="1" si="23"/>
        <v>0</v>
      </c>
      <c r="K141" s="1">
        <f t="shared" ca="1" si="24"/>
        <v>0</v>
      </c>
      <c r="L141" s="13">
        <f t="shared" ca="1" si="25"/>
        <v>52</v>
      </c>
      <c r="M141" s="7">
        <f t="shared" ca="1" si="26"/>
        <v>948</v>
      </c>
      <c r="N141" s="44">
        <f t="shared" ca="1" si="27"/>
        <v>12</v>
      </c>
      <c r="O141" s="94">
        <f t="shared" ca="1" si="28"/>
        <v>3.0624018806381534</v>
      </c>
      <c r="P141" s="94">
        <f t="shared" ca="1" si="29"/>
        <v>30.624018806381528</v>
      </c>
      <c r="Q141" s="94">
        <f t="shared" ca="1" si="30"/>
        <v>30.624018806381528</v>
      </c>
      <c r="R141" s="94">
        <f t="shared" ca="1" si="31"/>
        <v>3.062401880638153</v>
      </c>
      <c r="S141" s="94">
        <f t="shared" ca="1" si="32"/>
        <v>3.0624018806381534</v>
      </c>
      <c r="T141" s="4">
        <f t="shared" ca="1" si="33"/>
        <v>0</v>
      </c>
      <c r="U141" s="46">
        <f t="shared" ca="1" si="34"/>
        <v>1356.7282638229713</v>
      </c>
      <c r="V141" s="4">
        <f t="shared" ca="1" si="35"/>
        <v>0</v>
      </c>
      <c r="W141" s="13">
        <f t="shared" ca="1" si="36"/>
        <v>3339.2659761878813</v>
      </c>
      <c r="X141" s="4">
        <f t="shared" ca="1" si="37"/>
        <v>0</v>
      </c>
      <c r="AE141" s="4"/>
    </row>
    <row r="142" spans="1:31">
      <c r="A142">
        <v>0</v>
      </c>
      <c r="B142">
        <v>3</v>
      </c>
      <c r="C142">
        <f t="shared" si="19"/>
        <v>5</v>
      </c>
      <c r="D142">
        <f t="shared" si="20"/>
        <v>3</v>
      </c>
      <c r="E142">
        <f t="shared" si="21"/>
        <v>0</v>
      </c>
      <c r="F142" s="100">
        <f t="shared" ca="1" si="22"/>
        <v>0</v>
      </c>
      <c r="G142">
        <v>0</v>
      </c>
      <c r="H142">
        <v>0</v>
      </c>
      <c r="I142">
        <v>3</v>
      </c>
      <c r="J142" s="1">
        <f t="shared" ca="1" si="23"/>
        <v>4.8514950000000037E-4</v>
      </c>
      <c r="K142" s="1">
        <f t="shared" ca="1" si="24"/>
        <v>0</v>
      </c>
      <c r="L142" s="13">
        <f t="shared" ca="1" si="25"/>
        <v>39</v>
      </c>
      <c r="M142" s="7">
        <f t="shared" ca="1" si="26"/>
        <v>961</v>
      </c>
      <c r="N142" s="44">
        <f t="shared" ca="1" si="27"/>
        <v>13</v>
      </c>
      <c r="O142" s="94">
        <f t="shared" ca="1" si="28"/>
        <v>3.2733204919050856</v>
      </c>
      <c r="P142" s="94">
        <f t="shared" ca="1" si="29"/>
        <v>30.624018806381528</v>
      </c>
      <c r="Q142" s="94">
        <f t="shared" ca="1" si="30"/>
        <v>30.624018806381528</v>
      </c>
      <c r="R142" s="94">
        <f t="shared" ca="1" si="31"/>
        <v>3.062401880638153</v>
      </c>
      <c r="S142" s="94">
        <f t="shared" ca="1" si="32"/>
        <v>3.2733204919050856</v>
      </c>
      <c r="T142" s="4">
        <f t="shared" ca="1" si="33"/>
        <v>0</v>
      </c>
      <c r="U142" s="46">
        <f t="shared" ca="1" si="34"/>
        <v>1420.9771208320408</v>
      </c>
      <c r="V142" s="4">
        <f t="shared" ca="1" si="35"/>
        <v>0</v>
      </c>
      <c r="W142" s="13">
        <f t="shared" ca="1" si="36"/>
        <v>2504.4494821409107</v>
      </c>
      <c r="X142" s="4">
        <f t="shared" ca="1" si="37"/>
        <v>0</v>
      </c>
      <c r="AE142" s="4"/>
    </row>
    <row r="143" spans="1:31">
      <c r="A143">
        <v>0</v>
      </c>
      <c r="B143">
        <v>3</v>
      </c>
      <c r="C143">
        <f t="shared" si="19"/>
        <v>5</v>
      </c>
      <c r="D143">
        <f t="shared" si="20"/>
        <v>3</v>
      </c>
      <c r="E143">
        <f t="shared" si="21"/>
        <v>0</v>
      </c>
      <c r="F143" s="100">
        <f t="shared" ca="1" si="22"/>
        <v>0</v>
      </c>
      <c r="G143">
        <v>0</v>
      </c>
      <c r="H143">
        <v>0</v>
      </c>
      <c r="I143">
        <v>2</v>
      </c>
      <c r="J143" s="1">
        <f t="shared" ca="1" si="23"/>
        <v>1.4701500000000025E-5</v>
      </c>
      <c r="K143" s="1">
        <f t="shared" ca="1" si="24"/>
        <v>0</v>
      </c>
      <c r="L143" s="13">
        <f t="shared" ca="1" si="25"/>
        <v>26</v>
      </c>
      <c r="M143" s="7">
        <f t="shared" ca="1" si="26"/>
        <v>974</v>
      </c>
      <c r="N143" s="44">
        <f t="shared" ca="1" si="27"/>
        <v>13</v>
      </c>
      <c r="O143" s="94">
        <f t="shared" ca="1" si="28"/>
        <v>3.2733204919050856</v>
      </c>
      <c r="P143" s="94">
        <f t="shared" ca="1" si="29"/>
        <v>32.733204919050856</v>
      </c>
      <c r="Q143" s="94">
        <f t="shared" ca="1" si="30"/>
        <v>31.256774640182325</v>
      </c>
      <c r="R143" s="94">
        <f t="shared" ca="1" si="31"/>
        <v>3.1994989779616589</v>
      </c>
      <c r="S143" s="94">
        <f t="shared" ca="1" si="32"/>
        <v>3.2733204919050856</v>
      </c>
      <c r="T143" s="4">
        <f t="shared" ca="1" si="33"/>
        <v>0</v>
      </c>
      <c r="U143" s="46">
        <f t="shared" ca="1" si="34"/>
        <v>1407.9771208320408</v>
      </c>
      <c r="V143" s="4">
        <f t="shared" ca="1" si="35"/>
        <v>0</v>
      </c>
      <c r="W143" s="13">
        <f t="shared" ca="1" si="36"/>
        <v>1669.6329880939406</v>
      </c>
      <c r="X143" s="4">
        <f t="shared" ca="1" si="37"/>
        <v>0</v>
      </c>
      <c r="AE143" s="4"/>
    </row>
    <row r="144" spans="1:31">
      <c r="A144">
        <v>0</v>
      </c>
      <c r="B144">
        <v>3</v>
      </c>
      <c r="C144">
        <f t="shared" si="19"/>
        <v>5</v>
      </c>
      <c r="D144">
        <f t="shared" si="20"/>
        <v>3</v>
      </c>
      <c r="E144">
        <f t="shared" si="21"/>
        <v>0</v>
      </c>
      <c r="F144" s="100">
        <f t="shared" ca="1" si="22"/>
        <v>0</v>
      </c>
      <c r="G144">
        <v>0</v>
      </c>
      <c r="H144">
        <v>0</v>
      </c>
      <c r="I144">
        <v>1</v>
      </c>
      <c r="J144" s="1">
        <f t="shared" ca="1" si="23"/>
        <v>1.4850000000000041E-7</v>
      </c>
      <c r="K144" s="1">
        <f t="shared" ca="1" si="24"/>
        <v>0</v>
      </c>
      <c r="L144" s="13">
        <f t="shared" ca="1" si="25"/>
        <v>13</v>
      </c>
      <c r="M144" s="7">
        <f t="shared" ca="1" si="26"/>
        <v>987</v>
      </c>
      <c r="N144" s="44">
        <f t="shared" ca="1" si="27"/>
        <v>13</v>
      </c>
      <c r="O144" s="94">
        <f t="shared" ca="1" si="28"/>
        <v>3.2733204919050856</v>
      </c>
      <c r="P144" s="94">
        <f t="shared" ca="1" si="29"/>
        <v>32.733204919050856</v>
      </c>
      <c r="Q144" s="94">
        <f t="shared" ca="1" si="30"/>
        <v>32.733204919050856</v>
      </c>
      <c r="R144" s="94">
        <f t="shared" ca="1" si="31"/>
        <v>3.2733204919050856</v>
      </c>
      <c r="S144" s="94">
        <f t="shared" ca="1" si="32"/>
        <v>3.2733204919050856</v>
      </c>
      <c r="T144" s="4">
        <f t="shared" ca="1" si="33"/>
        <v>0</v>
      </c>
      <c r="U144" s="46">
        <f t="shared" ca="1" si="34"/>
        <v>1394.9771208320408</v>
      </c>
      <c r="V144" s="4">
        <f t="shared" ca="1" si="35"/>
        <v>0</v>
      </c>
      <c r="W144" s="13">
        <f t="shared" ca="1" si="36"/>
        <v>834.81649404697032</v>
      </c>
      <c r="X144" s="4">
        <f t="shared" ca="1" si="37"/>
        <v>0</v>
      </c>
      <c r="AE144" s="4"/>
    </row>
    <row r="145" spans="1:31">
      <c r="A145">
        <v>0</v>
      </c>
      <c r="B145">
        <v>3</v>
      </c>
      <c r="C145">
        <f t="shared" si="19"/>
        <v>5</v>
      </c>
      <c r="D145">
        <f t="shared" si="20"/>
        <v>3</v>
      </c>
      <c r="E145">
        <f t="shared" si="21"/>
        <v>0</v>
      </c>
      <c r="F145" s="100">
        <f t="shared" ca="1" si="22"/>
        <v>0</v>
      </c>
      <c r="G145">
        <v>0</v>
      </c>
      <c r="H145">
        <v>0</v>
      </c>
      <c r="I145">
        <v>0</v>
      </c>
      <c r="J145" s="1">
        <f t="shared" ca="1" si="23"/>
        <v>5.0000000000000179E-10</v>
      </c>
      <c r="K145" s="1">
        <f t="shared" ca="1" si="24"/>
        <v>0</v>
      </c>
      <c r="L145" s="13">
        <f t="shared" ca="1" si="25"/>
        <v>0</v>
      </c>
      <c r="M145" s="7">
        <f t="shared" ca="1" si="26"/>
        <v>1000</v>
      </c>
      <c r="N145" s="44">
        <f t="shared" ca="1" si="27"/>
        <v>13</v>
      </c>
      <c r="O145" s="94">
        <f t="shared" ca="1" si="28"/>
        <v>3.2733204919050856</v>
      </c>
      <c r="P145" s="94">
        <f t="shared" ca="1" si="29"/>
        <v>32.733204919050856</v>
      </c>
      <c r="Q145" s="94">
        <f t="shared" ca="1" si="30"/>
        <v>32.733204919050856</v>
      </c>
      <c r="R145" s="94">
        <f t="shared" ca="1" si="31"/>
        <v>3.2733204919050856</v>
      </c>
      <c r="S145" s="94">
        <f t="shared" ca="1" si="32"/>
        <v>3.2733204919050856</v>
      </c>
      <c r="T145" s="4">
        <f t="shared" ca="1" si="33"/>
        <v>0</v>
      </c>
      <c r="U145" s="46">
        <f t="shared" ca="1" si="34"/>
        <v>1381.9771208320408</v>
      </c>
      <c r="V145" s="4">
        <f t="shared" ca="1" si="35"/>
        <v>0</v>
      </c>
      <c r="W145" s="13">
        <f t="shared" ca="1" si="36"/>
        <v>0</v>
      </c>
      <c r="X145" s="4">
        <f t="shared" ca="1" si="37"/>
        <v>0</v>
      </c>
      <c r="AE145" s="4"/>
    </row>
    <row r="146" spans="1:31">
      <c r="A146">
        <v>1</v>
      </c>
      <c r="B146">
        <v>0</v>
      </c>
      <c r="C146">
        <f t="shared" ref="C146:C209" si="38">MIN(8, 1+$B$10+$B$9+A146+B146)</f>
        <v>3</v>
      </c>
      <c r="D146">
        <f t="shared" ref="D146:D209" si="39">C146-(1+$B$10)</f>
        <v>1</v>
      </c>
      <c r="E146">
        <f t="shared" ref="E146:E209" si="40">MIN(A146, C146-(1+$B$10+$B$9))</f>
        <v>1</v>
      </c>
      <c r="F146" s="100">
        <f t="shared" ref="F146:F209" ca="1" si="41">IF(A146=3, Set1QA, IF(A146=2, (1-Set1QA)*Set1TA + (1-Set1QA)*(1-Set1TA)*(1-Set1DA)*Set1AM3*Set1AM33, IF(A146=1, (1-Set1QA)*(1-Set1TA)*Set1DA + (1-Set1QA)*(1-Set1TA)*(1-Set1DA)*Set1AM3*Set1AM32, (1-Set1QA)*(1-Set1TA)*(1-Set1DA)*(1-Set1AM3)))) * IF($B$9+$B$10&gt;0, IF(B146=3, Set1QA, IF(B146=2, (1-Set1QA)*Set1TA, IF(B146=1, (1-Set1QA)*(1-Set1TA)*Set1DA, (1-Set1QA)*(1-Set1TA)*(1-Set1DA)))), IF(B146=0, 1, 0))</f>
        <v>0.18020274999999999</v>
      </c>
      <c r="G146">
        <v>1</v>
      </c>
      <c r="H146">
        <v>1</v>
      </c>
      <c r="I146">
        <v>7</v>
      </c>
      <c r="J146" s="1">
        <f t="shared" ref="J146:J209" ca="1" si="42">POWER(95%,G146)*POWER(5%, 1-G146) * IF($B$10=0, IF(H146=0, 1, 0), POWER(Set1WSHitRate,H146)*POWER(1-Set1WSHitRate, 1-H146)) * IF(I146&lt;=D146, POWER(Set1WSHitRate, I146)*POWER(1-Set1WSHitRate, D146-I146)*COMBIN(D146,I146), 0)</f>
        <v>0</v>
      </c>
      <c r="K146" s="1">
        <f t="shared" ref="K146:K209" ca="1" si="43">F146*J146</f>
        <v>0</v>
      </c>
      <c r="L146" s="13">
        <f t="shared" ref="L146:L209" ca="1" si="44">MAX((G146+H146)*Set1WSTP + I146*$B$6, Set1SaveTP)</f>
        <v>215</v>
      </c>
      <c r="M146" s="7">
        <f t="shared" ref="M146:M209" ca="1" si="45">MAX(Set1MinTP-(L146+Set1Regain), 0)</f>
        <v>785</v>
      </c>
      <c r="N146" s="44">
        <f t="shared" ref="N146:N209" ca="1" si="46">CEILING(M146/Set1MeleeTP, 1)</f>
        <v>10</v>
      </c>
      <c r="O146" s="94">
        <f t="shared" ref="O146:O209" ca="1" si="47">VLOOKUP(N146,AvgRoundsSet1,2)</f>
        <v>2.5999636871582168</v>
      </c>
      <c r="P146" s="94">
        <f t="shared" ref="P146:P209" ca="1" si="48">VLOOKUP(CEILING(MAX(M146-1, 0)/Set1MeleeTP, 1), AvgRoundsSet1, 2) + VLOOKUP(CEILING(MAX(M146-2, 0)/Set1MeleeTP, 1), AvgRoundsSet1, 2) + VLOOKUP(CEILING(MAX(M146-3, 0)/Set1MeleeTP, 1), AvgRoundsSet1, 2) + VLOOKUP(CEILING(MAX(M146-4, 0)/Set1MeleeTP, 1), AvgRoundsSet1, 2) + VLOOKUP(CEILING(MAX(M146-5, 0)/Set1MeleeTP, 1), AvgRoundsSet1, 2) + VLOOKUP(CEILING(MAX(M146-6, 0)/Set1MeleeTP, 1), AvgRoundsSet1, 2) + VLOOKUP(CEILING(MAX(M146-7, 0)/Set1MeleeTP, 1), AvgRoundsSet1, 2) + VLOOKUP(CEILING(MAX(M146-8, 0)/Set1MeleeTP, 1), AvgRoundsSet1, 2) + VLOOKUP(CEILING(MAX(M146-9, 0)/Set1MeleeTP, 1), AvgRoundsSet1, 2) + VLOOKUP(CEILING(MAX(M146-10, 0)/Set1MeleeTP, 1), AvgRoundsSet1, 2)</f>
        <v>25.999636871582165</v>
      </c>
      <c r="Q146" s="94">
        <f t="shared" ref="Q146:Q209" ca="1" si="49">VLOOKUP(CEILING(MAX(M146-11, 0)/Set1MeleeTP, 1), AvgRoundsSet1, 2) + VLOOKUP(CEILING(MAX(M146-12, 0)/Set1MeleeTP, 1), AvgRoundsSet1, 2) + VLOOKUP(CEILING(MAX(M146-13, 0)/Set1MeleeTP, 1), AvgRoundsSet1, 2) + VLOOKUP(CEILING(MAX(M146-14, 0)/Set1MeleeTP, 1), AvgRoundsSet1, 2) + VLOOKUP(CEILING(MAX(M146-15, 0)/Set1MeleeTP, 1), AvgRoundsSet1, 2) + VLOOKUP(CEILING(MAX(M146-16, 0)/Set1MeleeTP, 1), AvgRoundsSet1, 2) + VLOOKUP(CEILING(MAX(M146-17, 0)/Set1MeleeTP, 1), AvgRoundsSet1, 2) + VLOOKUP(CEILING(MAX(M146-18, 0)/Set1MeleeTP, 1), AvgRoundsSet1, 2) + VLOOKUP(CEILING(MAX(M146-19, 0)/Set1MeleeTP, 1), AvgRoundsSet1, 2) + VLOOKUP(CEILING(MAX(M146-20, 0)/Set1MeleeTP, 1), AvgRoundsSet1, 2)</f>
        <v>25.999636871582165</v>
      </c>
      <c r="R146" s="94">
        <f t="shared" ref="R146:R209" ca="1" si="50">(P146+Q146)/20</f>
        <v>2.5999636871582164</v>
      </c>
      <c r="S146" s="94">
        <f t="shared" ref="S146:S209" ca="1" si="51">R146*Set1ConserveTP + O146*(1-Set1ConserveTP)</f>
        <v>2.5999636871582168</v>
      </c>
      <c r="T146" s="4">
        <f t="shared" ref="T146:T209" ca="1" si="52">K146*S146</f>
        <v>0</v>
      </c>
      <c r="U146" s="46">
        <f t="shared" ref="U146:U209" ca="1" si="53">MIN(L146+(S146+Set1OverTP)*AvgHitsPerRound1*Set1MeleeTP + Set1Regain + 10.5*Set1ConserveTP, 3000)</f>
        <v>1350.360460436222</v>
      </c>
      <c r="V146" s="4">
        <f t="shared" ref="V146:V209" ca="1" si="54">U146*K146</f>
        <v>0</v>
      </c>
      <c r="W146" s="13">
        <f t="shared" ref="W146:W209" ca="1" si="55">G146*$K$10*((1-$L$10)*$L$14 + $L$10*$M$14*$M$10)*Set1WSDmg + H146*$K$13*((1-$L$13)*$L$15 + $L$13*$M$15*$M$11) + I146*$K$11*((1-$L$11)*$L$14 + $L$11*$M$14*$M$11) + E146*$K$12*$L$12*$M$10</f>
        <v>12313.142557895597</v>
      </c>
      <c r="X146" s="4">
        <f t="shared" ref="X146:X209" ca="1" si="56">K146*W146</f>
        <v>0</v>
      </c>
      <c r="AE146" s="4"/>
    </row>
    <row r="147" spans="1:31">
      <c r="A147">
        <v>1</v>
      </c>
      <c r="B147">
        <v>0</v>
      </c>
      <c r="C147">
        <f t="shared" si="38"/>
        <v>3</v>
      </c>
      <c r="D147">
        <f t="shared" si="39"/>
        <v>1</v>
      </c>
      <c r="E147">
        <f t="shared" si="40"/>
        <v>1</v>
      </c>
      <c r="F147" s="100">
        <f t="shared" ca="1" si="41"/>
        <v>0.18020274999999999</v>
      </c>
      <c r="G147">
        <v>1</v>
      </c>
      <c r="H147">
        <v>1</v>
      </c>
      <c r="I147">
        <v>6</v>
      </c>
      <c r="J147" s="1">
        <f t="shared" ca="1" si="42"/>
        <v>0</v>
      </c>
      <c r="K147" s="1">
        <f t="shared" ca="1" si="43"/>
        <v>0</v>
      </c>
      <c r="L147" s="13">
        <f t="shared" ca="1" si="44"/>
        <v>202</v>
      </c>
      <c r="M147" s="7">
        <f t="shared" ca="1" si="45"/>
        <v>798</v>
      </c>
      <c r="N147" s="44">
        <f t="shared" ca="1" si="46"/>
        <v>10</v>
      </c>
      <c r="O147" s="94">
        <f t="shared" ca="1" si="47"/>
        <v>2.5999636871582168</v>
      </c>
      <c r="P147" s="94">
        <f t="shared" ca="1" si="48"/>
        <v>25.999636871582165</v>
      </c>
      <c r="Q147" s="94">
        <f t="shared" ca="1" si="49"/>
        <v>25.999636871582165</v>
      </c>
      <c r="R147" s="94">
        <f t="shared" ca="1" si="50"/>
        <v>2.5999636871582164</v>
      </c>
      <c r="S147" s="94">
        <f t="shared" ca="1" si="51"/>
        <v>2.5999636871582168</v>
      </c>
      <c r="T147" s="4">
        <f t="shared" ca="1" si="52"/>
        <v>0</v>
      </c>
      <c r="U147" s="46">
        <f t="shared" ca="1" si="53"/>
        <v>1337.360460436222</v>
      </c>
      <c r="V147" s="4">
        <f t="shared" ca="1" si="54"/>
        <v>0</v>
      </c>
      <c r="W147" s="13">
        <f t="shared" ca="1" si="55"/>
        <v>11478.326063848626</v>
      </c>
      <c r="X147" s="4">
        <f t="shared" ca="1" si="56"/>
        <v>0</v>
      </c>
      <c r="AE147" s="4"/>
    </row>
    <row r="148" spans="1:31">
      <c r="A148">
        <v>1</v>
      </c>
      <c r="B148">
        <v>0</v>
      </c>
      <c r="C148">
        <f t="shared" si="38"/>
        <v>3</v>
      </c>
      <c r="D148">
        <f t="shared" si="39"/>
        <v>1</v>
      </c>
      <c r="E148">
        <f t="shared" si="40"/>
        <v>1</v>
      </c>
      <c r="F148" s="100">
        <f t="shared" ca="1" si="41"/>
        <v>0.18020274999999999</v>
      </c>
      <c r="G148">
        <v>1</v>
      </c>
      <c r="H148">
        <v>1</v>
      </c>
      <c r="I148">
        <v>5</v>
      </c>
      <c r="J148" s="1">
        <f t="shared" ca="1" si="42"/>
        <v>0</v>
      </c>
      <c r="K148" s="1">
        <f t="shared" ca="1" si="43"/>
        <v>0</v>
      </c>
      <c r="L148" s="13">
        <f t="shared" ca="1" si="44"/>
        <v>189</v>
      </c>
      <c r="M148" s="7">
        <f t="shared" ca="1" si="45"/>
        <v>811</v>
      </c>
      <c r="N148" s="44">
        <f t="shared" ca="1" si="46"/>
        <v>11</v>
      </c>
      <c r="O148" s="94">
        <f t="shared" ca="1" si="47"/>
        <v>2.8397004155948178</v>
      </c>
      <c r="P148" s="94">
        <f t="shared" ca="1" si="48"/>
        <v>28.397004155948181</v>
      </c>
      <c r="Q148" s="94">
        <f t="shared" ca="1" si="49"/>
        <v>25.999636871582165</v>
      </c>
      <c r="R148" s="94">
        <f t="shared" ca="1" si="50"/>
        <v>2.7198320513765175</v>
      </c>
      <c r="S148" s="94">
        <f t="shared" ca="1" si="51"/>
        <v>2.8397004155948178</v>
      </c>
      <c r="T148" s="4">
        <f t="shared" ca="1" si="52"/>
        <v>0</v>
      </c>
      <c r="U148" s="46">
        <f t="shared" ca="1" si="53"/>
        <v>1412.1639413314356</v>
      </c>
      <c r="V148" s="4">
        <f t="shared" ca="1" si="54"/>
        <v>0</v>
      </c>
      <c r="W148" s="13">
        <f t="shared" ca="1" si="55"/>
        <v>10643.509569801656</v>
      </c>
      <c r="X148" s="4">
        <f t="shared" ca="1" si="56"/>
        <v>0</v>
      </c>
      <c r="AE148" s="4"/>
    </row>
    <row r="149" spans="1:31">
      <c r="A149">
        <v>1</v>
      </c>
      <c r="B149">
        <v>0</v>
      </c>
      <c r="C149">
        <f t="shared" si="38"/>
        <v>3</v>
      </c>
      <c r="D149">
        <f t="shared" si="39"/>
        <v>1</v>
      </c>
      <c r="E149">
        <f t="shared" si="40"/>
        <v>1</v>
      </c>
      <c r="F149" s="100">
        <f t="shared" ca="1" si="41"/>
        <v>0.18020274999999999</v>
      </c>
      <c r="G149">
        <v>1</v>
      </c>
      <c r="H149">
        <v>1</v>
      </c>
      <c r="I149">
        <v>4</v>
      </c>
      <c r="J149" s="1">
        <f t="shared" ca="1" si="42"/>
        <v>0</v>
      </c>
      <c r="K149" s="1">
        <f t="shared" ca="1" si="43"/>
        <v>0</v>
      </c>
      <c r="L149" s="13">
        <f t="shared" ca="1" si="44"/>
        <v>176</v>
      </c>
      <c r="M149" s="7">
        <f t="shared" ca="1" si="45"/>
        <v>824</v>
      </c>
      <c r="N149" s="44">
        <f t="shared" ca="1" si="46"/>
        <v>11</v>
      </c>
      <c r="O149" s="94">
        <f t="shared" ca="1" si="47"/>
        <v>2.8397004155948178</v>
      </c>
      <c r="P149" s="94">
        <f t="shared" ca="1" si="48"/>
        <v>28.397004155948181</v>
      </c>
      <c r="Q149" s="94">
        <f t="shared" ca="1" si="49"/>
        <v>28.397004155948181</v>
      </c>
      <c r="R149" s="94">
        <f t="shared" ca="1" si="50"/>
        <v>2.8397004155948182</v>
      </c>
      <c r="S149" s="94">
        <f t="shared" ca="1" si="51"/>
        <v>2.8397004155948178</v>
      </c>
      <c r="T149" s="4">
        <f t="shared" ca="1" si="52"/>
        <v>0</v>
      </c>
      <c r="U149" s="46">
        <f t="shared" ca="1" si="53"/>
        <v>1399.1639413314356</v>
      </c>
      <c r="V149" s="4">
        <f t="shared" ca="1" si="54"/>
        <v>0</v>
      </c>
      <c r="W149" s="13">
        <f t="shared" ca="1" si="55"/>
        <v>9808.693075754687</v>
      </c>
      <c r="X149" s="4">
        <f t="shared" ca="1" si="56"/>
        <v>0</v>
      </c>
      <c r="AE149" s="4"/>
    </row>
    <row r="150" spans="1:31">
      <c r="A150">
        <v>1</v>
      </c>
      <c r="B150">
        <v>0</v>
      </c>
      <c r="C150">
        <f t="shared" si="38"/>
        <v>3</v>
      </c>
      <c r="D150">
        <f t="shared" si="39"/>
        <v>1</v>
      </c>
      <c r="E150">
        <f t="shared" si="40"/>
        <v>1</v>
      </c>
      <c r="F150" s="100">
        <f t="shared" ca="1" si="41"/>
        <v>0.18020274999999999</v>
      </c>
      <c r="G150">
        <v>1</v>
      </c>
      <c r="H150">
        <v>1</v>
      </c>
      <c r="I150">
        <v>3</v>
      </c>
      <c r="J150" s="1">
        <f t="shared" ca="1" si="42"/>
        <v>0</v>
      </c>
      <c r="K150" s="1">
        <f t="shared" ca="1" si="43"/>
        <v>0</v>
      </c>
      <c r="L150" s="13">
        <f t="shared" ca="1" si="44"/>
        <v>163</v>
      </c>
      <c r="M150" s="7">
        <f t="shared" ca="1" si="45"/>
        <v>837</v>
      </c>
      <c r="N150" s="44">
        <f t="shared" ca="1" si="46"/>
        <v>11</v>
      </c>
      <c r="O150" s="94">
        <f t="shared" ca="1" si="47"/>
        <v>2.8397004155948178</v>
      </c>
      <c r="P150" s="94">
        <f t="shared" ca="1" si="48"/>
        <v>28.397004155948181</v>
      </c>
      <c r="Q150" s="94">
        <f t="shared" ca="1" si="49"/>
        <v>28.397004155948181</v>
      </c>
      <c r="R150" s="94">
        <f t="shared" ca="1" si="50"/>
        <v>2.8397004155948182</v>
      </c>
      <c r="S150" s="94">
        <f t="shared" ca="1" si="51"/>
        <v>2.8397004155948178</v>
      </c>
      <c r="T150" s="4">
        <f t="shared" ca="1" si="52"/>
        <v>0</v>
      </c>
      <c r="U150" s="46">
        <f t="shared" ca="1" si="53"/>
        <v>1386.1639413314356</v>
      </c>
      <c r="V150" s="4">
        <f t="shared" ca="1" si="54"/>
        <v>0</v>
      </c>
      <c r="W150" s="13">
        <f t="shared" ca="1" si="55"/>
        <v>8973.8765817077146</v>
      </c>
      <c r="X150" s="4">
        <f t="shared" ca="1" si="56"/>
        <v>0</v>
      </c>
      <c r="AE150" s="4"/>
    </row>
    <row r="151" spans="1:31">
      <c r="A151">
        <v>1</v>
      </c>
      <c r="B151">
        <v>0</v>
      </c>
      <c r="C151">
        <f t="shared" si="38"/>
        <v>3</v>
      </c>
      <c r="D151">
        <f t="shared" si="39"/>
        <v>1</v>
      </c>
      <c r="E151">
        <f t="shared" si="40"/>
        <v>1</v>
      </c>
      <c r="F151" s="100">
        <f t="shared" ca="1" si="41"/>
        <v>0.18020274999999999</v>
      </c>
      <c r="G151">
        <v>1</v>
      </c>
      <c r="H151">
        <v>1</v>
      </c>
      <c r="I151">
        <v>2</v>
      </c>
      <c r="J151" s="1">
        <f t="shared" ca="1" si="42"/>
        <v>0</v>
      </c>
      <c r="K151" s="1">
        <f t="shared" ca="1" si="43"/>
        <v>0</v>
      </c>
      <c r="L151" s="13">
        <f t="shared" ca="1" si="44"/>
        <v>150</v>
      </c>
      <c r="M151" s="7">
        <f t="shared" ca="1" si="45"/>
        <v>850</v>
      </c>
      <c r="N151" s="44">
        <f t="shared" ca="1" si="46"/>
        <v>11</v>
      </c>
      <c r="O151" s="94">
        <f t="shared" ca="1" si="47"/>
        <v>2.8397004155948178</v>
      </c>
      <c r="P151" s="94">
        <f t="shared" ca="1" si="48"/>
        <v>28.397004155948181</v>
      </c>
      <c r="Q151" s="94">
        <f t="shared" ca="1" si="49"/>
        <v>28.397004155948181</v>
      </c>
      <c r="R151" s="94">
        <f t="shared" ca="1" si="50"/>
        <v>2.8397004155948182</v>
      </c>
      <c r="S151" s="94">
        <f t="shared" ca="1" si="51"/>
        <v>2.8397004155948178</v>
      </c>
      <c r="T151" s="4">
        <f t="shared" ca="1" si="52"/>
        <v>0</v>
      </c>
      <c r="U151" s="46">
        <f t="shared" ca="1" si="53"/>
        <v>1373.1639413314356</v>
      </c>
      <c r="V151" s="4">
        <f t="shared" ca="1" si="54"/>
        <v>0</v>
      </c>
      <c r="W151" s="13">
        <f t="shared" ca="1" si="55"/>
        <v>8139.0600876607459</v>
      </c>
      <c r="X151" s="4">
        <f t="shared" ca="1" si="56"/>
        <v>0</v>
      </c>
      <c r="AE151" s="4"/>
    </row>
    <row r="152" spans="1:31">
      <c r="A152">
        <v>1</v>
      </c>
      <c r="B152">
        <v>0</v>
      </c>
      <c r="C152">
        <f t="shared" si="38"/>
        <v>3</v>
      </c>
      <c r="D152">
        <f t="shared" si="39"/>
        <v>1</v>
      </c>
      <c r="E152">
        <f t="shared" si="40"/>
        <v>1</v>
      </c>
      <c r="F152" s="100">
        <f t="shared" ca="1" si="41"/>
        <v>0.18020274999999999</v>
      </c>
      <c r="G152">
        <v>1</v>
      </c>
      <c r="H152">
        <v>1</v>
      </c>
      <c r="I152">
        <v>1</v>
      </c>
      <c r="J152" s="1">
        <f t="shared" ca="1" si="42"/>
        <v>0.93109500000000001</v>
      </c>
      <c r="K152" s="1">
        <f t="shared" ca="1" si="43"/>
        <v>0.16778587951124999</v>
      </c>
      <c r="L152" s="13">
        <f t="shared" ca="1" si="44"/>
        <v>137</v>
      </c>
      <c r="M152" s="7">
        <f t="shared" ca="1" si="45"/>
        <v>863</v>
      </c>
      <c r="N152" s="44">
        <f t="shared" ca="1" si="46"/>
        <v>11</v>
      </c>
      <c r="O152" s="94">
        <f t="shared" ca="1" si="47"/>
        <v>2.8397004155948178</v>
      </c>
      <c r="P152" s="94">
        <f t="shared" ca="1" si="48"/>
        <v>28.397004155948181</v>
      </c>
      <c r="Q152" s="94">
        <f t="shared" ca="1" si="49"/>
        <v>28.397004155948181</v>
      </c>
      <c r="R152" s="94">
        <f t="shared" ca="1" si="50"/>
        <v>2.8397004155948182</v>
      </c>
      <c r="S152" s="94">
        <f t="shared" ca="1" si="51"/>
        <v>2.8397004155948178</v>
      </c>
      <c r="T152" s="4">
        <f t="shared" ca="1" si="52"/>
        <v>0.47646163177903861</v>
      </c>
      <c r="U152" s="46">
        <f t="shared" ca="1" si="53"/>
        <v>1360.1639413314356</v>
      </c>
      <c r="V152" s="4">
        <f t="shared" ca="1" si="54"/>
        <v>228.21630317578314</v>
      </c>
      <c r="W152" s="13">
        <f t="shared" ca="1" si="55"/>
        <v>7304.2435936137754</v>
      </c>
      <c r="X152" s="4">
        <f t="shared" ca="1" si="56"/>
        <v>1225.5489355189004</v>
      </c>
      <c r="AE152" s="4"/>
    </row>
    <row r="153" spans="1:31">
      <c r="A153">
        <v>1</v>
      </c>
      <c r="B153">
        <v>0</v>
      </c>
      <c r="C153">
        <f t="shared" si="38"/>
        <v>3</v>
      </c>
      <c r="D153">
        <f t="shared" si="39"/>
        <v>1</v>
      </c>
      <c r="E153">
        <f t="shared" si="40"/>
        <v>1</v>
      </c>
      <c r="F153" s="100">
        <f t="shared" ca="1" si="41"/>
        <v>0.18020274999999999</v>
      </c>
      <c r="G153">
        <v>1</v>
      </c>
      <c r="H153">
        <v>1</v>
      </c>
      <c r="I153">
        <v>0</v>
      </c>
      <c r="J153" s="1">
        <f t="shared" ca="1" si="42"/>
        <v>9.4050000000000088E-3</v>
      </c>
      <c r="K153" s="1">
        <f t="shared" ca="1" si="43"/>
        <v>1.6948068637500015E-3</v>
      </c>
      <c r="L153" s="13">
        <f t="shared" ca="1" si="44"/>
        <v>124</v>
      </c>
      <c r="M153" s="7">
        <f t="shared" ca="1" si="45"/>
        <v>876</v>
      </c>
      <c r="N153" s="44">
        <f t="shared" ca="1" si="46"/>
        <v>11</v>
      </c>
      <c r="O153" s="94">
        <f t="shared" ca="1" si="47"/>
        <v>2.8397004155948178</v>
      </c>
      <c r="P153" s="94">
        <f t="shared" ca="1" si="48"/>
        <v>28.397004155948181</v>
      </c>
      <c r="Q153" s="94">
        <f t="shared" ca="1" si="49"/>
        <v>28.397004155948181</v>
      </c>
      <c r="R153" s="94">
        <f t="shared" ca="1" si="50"/>
        <v>2.8397004155948182</v>
      </c>
      <c r="S153" s="94">
        <f t="shared" ca="1" si="51"/>
        <v>2.8397004155948178</v>
      </c>
      <c r="T153" s="4">
        <f t="shared" ca="1" si="52"/>
        <v>4.8127437553438287E-3</v>
      </c>
      <c r="U153" s="46">
        <f t="shared" ca="1" si="53"/>
        <v>1347.1639413314356</v>
      </c>
      <c r="V153" s="4">
        <f t="shared" ca="1" si="54"/>
        <v>2.2831826943650215</v>
      </c>
      <c r="W153" s="13">
        <f t="shared" ca="1" si="55"/>
        <v>6469.4270995668048</v>
      </c>
      <c r="X153" s="4">
        <f t="shared" ca="1" si="56"/>
        <v>10.964429452876086</v>
      </c>
      <c r="AE153" s="4"/>
    </row>
    <row r="154" spans="1:31">
      <c r="A154">
        <v>1</v>
      </c>
      <c r="B154">
        <v>0</v>
      </c>
      <c r="C154">
        <f t="shared" si="38"/>
        <v>3</v>
      </c>
      <c r="D154">
        <f t="shared" si="39"/>
        <v>1</v>
      </c>
      <c r="E154">
        <f t="shared" si="40"/>
        <v>1</v>
      </c>
      <c r="F154" s="100">
        <f t="shared" ca="1" si="41"/>
        <v>0.18020274999999999</v>
      </c>
      <c r="G154">
        <v>1</v>
      </c>
      <c r="H154">
        <v>0</v>
      </c>
      <c r="I154">
        <v>7</v>
      </c>
      <c r="J154" s="1">
        <f t="shared" ca="1" si="42"/>
        <v>0</v>
      </c>
      <c r="K154" s="1">
        <f t="shared" ca="1" si="43"/>
        <v>0</v>
      </c>
      <c r="L154" s="13">
        <f t="shared" ca="1" si="44"/>
        <v>153</v>
      </c>
      <c r="M154" s="7">
        <f t="shared" ca="1" si="45"/>
        <v>847</v>
      </c>
      <c r="N154" s="44">
        <f t="shared" ca="1" si="46"/>
        <v>11</v>
      </c>
      <c r="O154" s="94">
        <f t="shared" ca="1" si="47"/>
        <v>2.8397004155948178</v>
      </c>
      <c r="P154" s="94">
        <f t="shared" ca="1" si="48"/>
        <v>28.397004155948181</v>
      </c>
      <c r="Q154" s="94">
        <f t="shared" ca="1" si="49"/>
        <v>28.397004155948181</v>
      </c>
      <c r="R154" s="94">
        <f t="shared" ca="1" si="50"/>
        <v>2.8397004155948182</v>
      </c>
      <c r="S154" s="94">
        <f t="shared" ca="1" si="51"/>
        <v>2.8397004155948178</v>
      </c>
      <c r="T154" s="4">
        <f t="shared" ca="1" si="52"/>
        <v>0</v>
      </c>
      <c r="U154" s="46">
        <f t="shared" ca="1" si="53"/>
        <v>1376.1639413314356</v>
      </c>
      <c r="V154" s="4">
        <f t="shared" ca="1" si="54"/>
        <v>0</v>
      </c>
      <c r="W154" s="13">
        <f t="shared" ca="1" si="55"/>
        <v>11687.430916657584</v>
      </c>
      <c r="X154" s="4">
        <f t="shared" ca="1" si="56"/>
        <v>0</v>
      </c>
      <c r="AE154" s="4"/>
    </row>
    <row r="155" spans="1:31">
      <c r="A155">
        <v>1</v>
      </c>
      <c r="B155">
        <v>0</v>
      </c>
      <c r="C155">
        <f t="shared" si="38"/>
        <v>3</v>
      </c>
      <c r="D155">
        <f t="shared" si="39"/>
        <v>1</v>
      </c>
      <c r="E155">
        <f t="shared" si="40"/>
        <v>1</v>
      </c>
      <c r="F155" s="100">
        <f t="shared" ca="1" si="41"/>
        <v>0.18020274999999999</v>
      </c>
      <c r="G155">
        <v>1</v>
      </c>
      <c r="H155">
        <v>0</v>
      </c>
      <c r="I155">
        <v>6</v>
      </c>
      <c r="J155" s="1">
        <f t="shared" ca="1" si="42"/>
        <v>0</v>
      </c>
      <c r="K155" s="1">
        <f t="shared" ca="1" si="43"/>
        <v>0</v>
      </c>
      <c r="L155" s="13">
        <f t="shared" ca="1" si="44"/>
        <v>140</v>
      </c>
      <c r="M155" s="7">
        <f t="shared" ca="1" si="45"/>
        <v>860</v>
      </c>
      <c r="N155" s="44">
        <f t="shared" ca="1" si="46"/>
        <v>11</v>
      </c>
      <c r="O155" s="94">
        <f t="shared" ca="1" si="47"/>
        <v>2.8397004155948178</v>
      </c>
      <c r="P155" s="94">
        <f t="shared" ca="1" si="48"/>
        <v>28.397004155948181</v>
      </c>
      <c r="Q155" s="94">
        <f t="shared" ca="1" si="49"/>
        <v>28.397004155948181</v>
      </c>
      <c r="R155" s="94">
        <f t="shared" ca="1" si="50"/>
        <v>2.8397004155948182</v>
      </c>
      <c r="S155" s="94">
        <f t="shared" ca="1" si="51"/>
        <v>2.8397004155948178</v>
      </c>
      <c r="T155" s="4">
        <f t="shared" ca="1" si="52"/>
        <v>0</v>
      </c>
      <c r="U155" s="46">
        <f t="shared" ca="1" si="53"/>
        <v>1363.1639413314356</v>
      </c>
      <c r="V155" s="4">
        <f t="shared" ca="1" si="54"/>
        <v>0</v>
      </c>
      <c r="W155" s="13">
        <f t="shared" ca="1" si="55"/>
        <v>10852.614422610615</v>
      </c>
      <c r="X155" s="4">
        <f t="shared" ca="1" si="56"/>
        <v>0</v>
      </c>
      <c r="AE155" s="4"/>
    </row>
    <row r="156" spans="1:31">
      <c r="A156">
        <v>1</v>
      </c>
      <c r="B156">
        <v>0</v>
      </c>
      <c r="C156">
        <f t="shared" si="38"/>
        <v>3</v>
      </c>
      <c r="D156">
        <f t="shared" si="39"/>
        <v>1</v>
      </c>
      <c r="E156">
        <f t="shared" si="40"/>
        <v>1</v>
      </c>
      <c r="F156" s="100">
        <f t="shared" ca="1" si="41"/>
        <v>0.18020274999999999</v>
      </c>
      <c r="G156">
        <v>1</v>
      </c>
      <c r="H156">
        <v>0</v>
      </c>
      <c r="I156">
        <v>5</v>
      </c>
      <c r="J156" s="1">
        <f t="shared" ca="1" si="42"/>
        <v>0</v>
      </c>
      <c r="K156" s="1">
        <f t="shared" ca="1" si="43"/>
        <v>0</v>
      </c>
      <c r="L156" s="13">
        <f t="shared" ca="1" si="44"/>
        <v>127</v>
      </c>
      <c r="M156" s="7">
        <f t="shared" ca="1" si="45"/>
        <v>873</v>
      </c>
      <c r="N156" s="44">
        <f t="shared" ca="1" si="46"/>
        <v>11</v>
      </c>
      <c r="O156" s="94">
        <f t="shared" ca="1" si="47"/>
        <v>2.8397004155948178</v>
      </c>
      <c r="P156" s="94">
        <f t="shared" ca="1" si="48"/>
        <v>28.397004155948181</v>
      </c>
      <c r="Q156" s="94">
        <f t="shared" ca="1" si="49"/>
        <v>28.397004155948181</v>
      </c>
      <c r="R156" s="94">
        <f t="shared" ca="1" si="50"/>
        <v>2.8397004155948182</v>
      </c>
      <c r="S156" s="94">
        <f t="shared" ca="1" si="51"/>
        <v>2.8397004155948178</v>
      </c>
      <c r="T156" s="4">
        <f t="shared" ca="1" si="52"/>
        <v>0</v>
      </c>
      <c r="U156" s="46">
        <f t="shared" ca="1" si="53"/>
        <v>1350.1639413314356</v>
      </c>
      <c r="V156" s="4">
        <f t="shared" ca="1" si="54"/>
        <v>0</v>
      </c>
      <c r="W156" s="13">
        <f t="shared" ca="1" si="55"/>
        <v>10017.797928563645</v>
      </c>
      <c r="X156" s="4">
        <f t="shared" ca="1" si="56"/>
        <v>0</v>
      </c>
      <c r="AE156" s="4"/>
    </row>
    <row r="157" spans="1:31">
      <c r="A157">
        <v>1</v>
      </c>
      <c r="B157">
        <v>0</v>
      </c>
      <c r="C157">
        <f t="shared" si="38"/>
        <v>3</v>
      </c>
      <c r="D157">
        <f t="shared" si="39"/>
        <v>1</v>
      </c>
      <c r="E157">
        <f t="shared" si="40"/>
        <v>1</v>
      </c>
      <c r="F157" s="100">
        <f t="shared" ca="1" si="41"/>
        <v>0.18020274999999999</v>
      </c>
      <c r="G157">
        <v>1</v>
      </c>
      <c r="H157">
        <v>0</v>
      </c>
      <c r="I157">
        <v>4</v>
      </c>
      <c r="J157" s="1">
        <f t="shared" ca="1" si="42"/>
        <v>0</v>
      </c>
      <c r="K157" s="1">
        <f t="shared" ca="1" si="43"/>
        <v>0</v>
      </c>
      <c r="L157" s="13">
        <f t="shared" ca="1" si="44"/>
        <v>114</v>
      </c>
      <c r="M157" s="7">
        <f t="shared" ca="1" si="45"/>
        <v>886</v>
      </c>
      <c r="N157" s="44">
        <f t="shared" ca="1" si="46"/>
        <v>12</v>
      </c>
      <c r="O157" s="94">
        <f t="shared" ca="1" si="47"/>
        <v>3.0624018806381534</v>
      </c>
      <c r="P157" s="94">
        <f t="shared" ca="1" si="48"/>
        <v>29.510511481164862</v>
      </c>
      <c r="Q157" s="94">
        <f t="shared" ca="1" si="49"/>
        <v>28.397004155948181</v>
      </c>
      <c r="R157" s="94">
        <f t="shared" ca="1" si="50"/>
        <v>2.8953757818556523</v>
      </c>
      <c r="S157" s="94">
        <f t="shared" ca="1" si="51"/>
        <v>3.0624018806381534</v>
      </c>
      <c r="T157" s="4">
        <f t="shared" ca="1" si="52"/>
        <v>0</v>
      </c>
      <c r="U157" s="46">
        <f t="shared" ca="1" si="53"/>
        <v>1418.7282638229713</v>
      </c>
      <c r="V157" s="4">
        <f t="shared" ca="1" si="54"/>
        <v>0</v>
      </c>
      <c r="W157" s="13">
        <f t="shared" ca="1" si="55"/>
        <v>9182.9814345166742</v>
      </c>
      <c r="X157" s="4">
        <f t="shared" ca="1" si="56"/>
        <v>0</v>
      </c>
      <c r="AE157" s="4"/>
    </row>
    <row r="158" spans="1:31">
      <c r="A158">
        <v>1</v>
      </c>
      <c r="B158">
        <v>0</v>
      </c>
      <c r="C158">
        <f t="shared" si="38"/>
        <v>3</v>
      </c>
      <c r="D158">
        <f t="shared" si="39"/>
        <v>1</v>
      </c>
      <c r="E158">
        <f t="shared" si="40"/>
        <v>1</v>
      </c>
      <c r="F158" s="100">
        <f t="shared" ca="1" si="41"/>
        <v>0.18020274999999999</v>
      </c>
      <c r="G158">
        <v>1</v>
      </c>
      <c r="H158">
        <v>0</v>
      </c>
      <c r="I158">
        <v>3</v>
      </c>
      <c r="J158" s="1">
        <f t="shared" ca="1" si="42"/>
        <v>0</v>
      </c>
      <c r="K158" s="1">
        <f t="shared" ca="1" si="43"/>
        <v>0</v>
      </c>
      <c r="L158" s="13">
        <f t="shared" ca="1" si="44"/>
        <v>101</v>
      </c>
      <c r="M158" s="7">
        <f t="shared" ca="1" si="45"/>
        <v>899</v>
      </c>
      <c r="N158" s="44">
        <f t="shared" ca="1" si="46"/>
        <v>12</v>
      </c>
      <c r="O158" s="94">
        <f t="shared" ca="1" si="47"/>
        <v>3.0624018806381534</v>
      </c>
      <c r="P158" s="94">
        <f t="shared" ca="1" si="48"/>
        <v>30.624018806381528</v>
      </c>
      <c r="Q158" s="94">
        <f t="shared" ca="1" si="49"/>
        <v>30.178615876294863</v>
      </c>
      <c r="R158" s="94">
        <f t="shared" ca="1" si="50"/>
        <v>3.0401317341338197</v>
      </c>
      <c r="S158" s="94">
        <f t="shared" ca="1" si="51"/>
        <v>3.0624018806381534</v>
      </c>
      <c r="T158" s="4">
        <f t="shared" ca="1" si="52"/>
        <v>0</v>
      </c>
      <c r="U158" s="46">
        <f t="shared" ca="1" si="53"/>
        <v>1405.7282638229713</v>
      </c>
      <c r="V158" s="4">
        <f t="shared" ca="1" si="54"/>
        <v>0</v>
      </c>
      <c r="W158" s="13">
        <f t="shared" ca="1" si="55"/>
        <v>8348.1649404697037</v>
      </c>
      <c r="X158" s="4">
        <f t="shared" ca="1" si="56"/>
        <v>0</v>
      </c>
      <c r="AE158" s="4"/>
    </row>
    <row r="159" spans="1:31">
      <c r="A159">
        <v>1</v>
      </c>
      <c r="B159">
        <v>0</v>
      </c>
      <c r="C159">
        <f t="shared" si="38"/>
        <v>3</v>
      </c>
      <c r="D159">
        <f t="shared" si="39"/>
        <v>1</v>
      </c>
      <c r="E159">
        <f t="shared" si="40"/>
        <v>1</v>
      </c>
      <c r="F159" s="100">
        <f t="shared" ca="1" si="41"/>
        <v>0.18020274999999999</v>
      </c>
      <c r="G159">
        <v>1</v>
      </c>
      <c r="H159">
        <v>0</v>
      </c>
      <c r="I159">
        <v>2</v>
      </c>
      <c r="J159" s="1">
        <f t="shared" ca="1" si="42"/>
        <v>0</v>
      </c>
      <c r="K159" s="1">
        <f t="shared" ca="1" si="43"/>
        <v>0</v>
      </c>
      <c r="L159" s="13">
        <f t="shared" ca="1" si="44"/>
        <v>88</v>
      </c>
      <c r="M159" s="7">
        <f t="shared" ca="1" si="45"/>
        <v>912</v>
      </c>
      <c r="N159" s="44">
        <f t="shared" ca="1" si="46"/>
        <v>12</v>
      </c>
      <c r="O159" s="94">
        <f t="shared" ca="1" si="47"/>
        <v>3.0624018806381534</v>
      </c>
      <c r="P159" s="94">
        <f t="shared" ca="1" si="48"/>
        <v>30.624018806381528</v>
      </c>
      <c r="Q159" s="94">
        <f t="shared" ca="1" si="49"/>
        <v>30.624018806381528</v>
      </c>
      <c r="R159" s="94">
        <f t="shared" ca="1" si="50"/>
        <v>3.062401880638153</v>
      </c>
      <c r="S159" s="94">
        <f t="shared" ca="1" si="51"/>
        <v>3.0624018806381534</v>
      </c>
      <c r="T159" s="4">
        <f t="shared" ca="1" si="52"/>
        <v>0</v>
      </c>
      <c r="U159" s="46">
        <f t="shared" ca="1" si="53"/>
        <v>1392.7282638229713</v>
      </c>
      <c r="V159" s="4">
        <f t="shared" ca="1" si="54"/>
        <v>0</v>
      </c>
      <c r="W159" s="13">
        <f t="shared" ca="1" si="55"/>
        <v>7513.3484464227331</v>
      </c>
      <c r="X159" s="4">
        <f t="shared" ca="1" si="56"/>
        <v>0</v>
      </c>
      <c r="AE159" s="4"/>
    </row>
    <row r="160" spans="1:31">
      <c r="A160">
        <v>1</v>
      </c>
      <c r="B160">
        <v>0</v>
      </c>
      <c r="C160">
        <f t="shared" si="38"/>
        <v>3</v>
      </c>
      <c r="D160">
        <f t="shared" si="39"/>
        <v>1</v>
      </c>
      <c r="E160">
        <f t="shared" si="40"/>
        <v>1</v>
      </c>
      <c r="F160" s="100">
        <f t="shared" ca="1" si="41"/>
        <v>0.18020274999999999</v>
      </c>
      <c r="G160">
        <v>1</v>
      </c>
      <c r="H160">
        <v>0</v>
      </c>
      <c r="I160">
        <v>1</v>
      </c>
      <c r="J160" s="1">
        <f t="shared" ca="1" si="42"/>
        <v>9.4050000000000088E-3</v>
      </c>
      <c r="K160" s="1">
        <f t="shared" ca="1" si="43"/>
        <v>1.6948068637500015E-3</v>
      </c>
      <c r="L160" s="13">
        <f t="shared" ca="1" si="44"/>
        <v>75</v>
      </c>
      <c r="M160" s="7">
        <f t="shared" ca="1" si="45"/>
        <v>925</v>
      </c>
      <c r="N160" s="44">
        <f t="shared" ca="1" si="46"/>
        <v>12</v>
      </c>
      <c r="O160" s="94">
        <f t="shared" ca="1" si="47"/>
        <v>3.0624018806381534</v>
      </c>
      <c r="P160" s="94">
        <f t="shared" ca="1" si="48"/>
        <v>30.624018806381528</v>
      </c>
      <c r="Q160" s="94">
        <f t="shared" ca="1" si="49"/>
        <v>30.624018806381528</v>
      </c>
      <c r="R160" s="94">
        <f t="shared" ca="1" si="50"/>
        <v>3.062401880638153</v>
      </c>
      <c r="S160" s="94">
        <f t="shared" ca="1" si="51"/>
        <v>3.0624018806381534</v>
      </c>
      <c r="T160" s="4">
        <f t="shared" ca="1" si="52"/>
        <v>5.1901797268664555E-3</v>
      </c>
      <c r="U160" s="46">
        <f t="shared" ca="1" si="53"/>
        <v>1379.7282638229713</v>
      </c>
      <c r="V160" s="4">
        <f t="shared" ca="1" si="54"/>
        <v>2.3383729316370445</v>
      </c>
      <c r="W160" s="13">
        <f t="shared" ca="1" si="55"/>
        <v>6678.5319523757635</v>
      </c>
      <c r="X160" s="4">
        <f t="shared" ca="1" si="56"/>
        <v>11.318821792660142</v>
      </c>
      <c r="AE160" s="4"/>
    </row>
    <row r="161" spans="1:31">
      <c r="A161">
        <v>1</v>
      </c>
      <c r="B161">
        <v>0</v>
      </c>
      <c r="C161">
        <f t="shared" si="38"/>
        <v>3</v>
      </c>
      <c r="D161">
        <f t="shared" si="39"/>
        <v>1</v>
      </c>
      <c r="E161">
        <f t="shared" si="40"/>
        <v>1</v>
      </c>
      <c r="F161" s="100">
        <f t="shared" ca="1" si="41"/>
        <v>0.18020274999999999</v>
      </c>
      <c r="G161">
        <v>1</v>
      </c>
      <c r="H161">
        <v>0</v>
      </c>
      <c r="I161">
        <v>0</v>
      </c>
      <c r="J161" s="1">
        <f t="shared" ca="1" si="42"/>
        <v>9.5000000000000168E-5</v>
      </c>
      <c r="K161" s="1">
        <f t="shared" ca="1" si="43"/>
        <v>1.711926125000003E-5</v>
      </c>
      <c r="L161" s="13">
        <f t="shared" ca="1" si="44"/>
        <v>62</v>
      </c>
      <c r="M161" s="7">
        <f t="shared" ca="1" si="45"/>
        <v>938</v>
      </c>
      <c r="N161" s="44">
        <f t="shared" ca="1" si="46"/>
        <v>12</v>
      </c>
      <c r="O161" s="94">
        <f t="shared" ca="1" si="47"/>
        <v>3.0624018806381534</v>
      </c>
      <c r="P161" s="94">
        <f t="shared" ca="1" si="48"/>
        <v>30.624018806381528</v>
      </c>
      <c r="Q161" s="94">
        <f t="shared" ca="1" si="49"/>
        <v>30.624018806381528</v>
      </c>
      <c r="R161" s="94">
        <f t="shared" ca="1" si="50"/>
        <v>3.062401880638153</v>
      </c>
      <c r="S161" s="94">
        <f t="shared" ca="1" si="51"/>
        <v>3.0624018806381534</v>
      </c>
      <c r="T161" s="4">
        <f t="shared" ca="1" si="52"/>
        <v>5.2426057847135958E-5</v>
      </c>
      <c r="U161" s="46">
        <f t="shared" ca="1" si="53"/>
        <v>1366.7282638229713</v>
      </c>
      <c r="V161" s="4">
        <f t="shared" ca="1" si="54"/>
        <v>2.339737820614441E-2</v>
      </c>
      <c r="W161" s="13">
        <f t="shared" ca="1" si="55"/>
        <v>5843.7154583287929</v>
      </c>
      <c r="X161" s="4">
        <f t="shared" ca="1" si="56"/>
        <v>0.10004009160179426</v>
      </c>
      <c r="AE161" s="4"/>
    </row>
    <row r="162" spans="1:31">
      <c r="A162">
        <v>1</v>
      </c>
      <c r="B162">
        <v>0</v>
      </c>
      <c r="C162">
        <f t="shared" si="38"/>
        <v>3</v>
      </c>
      <c r="D162">
        <f t="shared" si="39"/>
        <v>1</v>
      </c>
      <c r="E162">
        <f t="shared" si="40"/>
        <v>1</v>
      </c>
      <c r="F162" s="100">
        <f t="shared" ca="1" si="41"/>
        <v>0.18020274999999999</v>
      </c>
      <c r="G162">
        <v>0</v>
      </c>
      <c r="H162">
        <v>1</v>
      </c>
      <c r="I162">
        <v>7</v>
      </c>
      <c r="J162" s="1">
        <f t="shared" ca="1" si="42"/>
        <v>0</v>
      </c>
      <c r="K162" s="1">
        <f t="shared" ca="1" si="43"/>
        <v>0</v>
      </c>
      <c r="L162" s="13">
        <f t="shared" ca="1" si="44"/>
        <v>153</v>
      </c>
      <c r="M162" s="7">
        <f t="shared" ca="1" si="45"/>
        <v>847</v>
      </c>
      <c r="N162" s="44">
        <f t="shared" ca="1" si="46"/>
        <v>11</v>
      </c>
      <c r="O162" s="94">
        <f t="shared" ca="1" si="47"/>
        <v>2.8397004155948178</v>
      </c>
      <c r="P162" s="94">
        <f t="shared" ca="1" si="48"/>
        <v>28.397004155948181</v>
      </c>
      <c r="Q162" s="94">
        <f t="shared" ca="1" si="49"/>
        <v>28.397004155948181</v>
      </c>
      <c r="R162" s="94">
        <f t="shared" ca="1" si="50"/>
        <v>2.8397004155948182</v>
      </c>
      <c r="S162" s="94">
        <f t="shared" ca="1" si="51"/>
        <v>2.8397004155948178</v>
      </c>
      <c r="T162" s="4">
        <f t="shared" ca="1" si="52"/>
        <v>0</v>
      </c>
      <c r="U162" s="46">
        <f t="shared" ca="1" si="53"/>
        <v>1376.1639413314356</v>
      </c>
      <c r="V162" s="4">
        <f t="shared" ca="1" si="54"/>
        <v>0</v>
      </c>
      <c r="W162" s="13">
        <f t="shared" ca="1" si="55"/>
        <v>6469.4270995668039</v>
      </c>
      <c r="X162" s="4">
        <f t="shared" ca="1" si="56"/>
        <v>0</v>
      </c>
      <c r="AE162" s="4"/>
    </row>
    <row r="163" spans="1:31">
      <c r="A163">
        <v>1</v>
      </c>
      <c r="B163">
        <v>0</v>
      </c>
      <c r="C163">
        <f t="shared" si="38"/>
        <v>3</v>
      </c>
      <c r="D163">
        <f t="shared" si="39"/>
        <v>1</v>
      </c>
      <c r="E163">
        <f t="shared" si="40"/>
        <v>1</v>
      </c>
      <c r="F163" s="100">
        <f t="shared" ca="1" si="41"/>
        <v>0.18020274999999999</v>
      </c>
      <c r="G163">
        <v>0</v>
      </c>
      <c r="H163">
        <v>1</v>
      </c>
      <c r="I163">
        <v>6</v>
      </c>
      <c r="J163" s="1">
        <f t="shared" ca="1" si="42"/>
        <v>0</v>
      </c>
      <c r="K163" s="1">
        <f t="shared" ca="1" si="43"/>
        <v>0</v>
      </c>
      <c r="L163" s="13">
        <f t="shared" ca="1" si="44"/>
        <v>140</v>
      </c>
      <c r="M163" s="7">
        <f t="shared" ca="1" si="45"/>
        <v>860</v>
      </c>
      <c r="N163" s="44">
        <f t="shared" ca="1" si="46"/>
        <v>11</v>
      </c>
      <c r="O163" s="94">
        <f t="shared" ca="1" si="47"/>
        <v>2.8397004155948178</v>
      </c>
      <c r="P163" s="94">
        <f t="shared" ca="1" si="48"/>
        <v>28.397004155948181</v>
      </c>
      <c r="Q163" s="94">
        <f t="shared" ca="1" si="49"/>
        <v>28.397004155948181</v>
      </c>
      <c r="R163" s="94">
        <f t="shared" ca="1" si="50"/>
        <v>2.8397004155948182</v>
      </c>
      <c r="S163" s="94">
        <f t="shared" ca="1" si="51"/>
        <v>2.8397004155948178</v>
      </c>
      <c r="T163" s="4">
        <f t="shared" ca="1" si="52"/>
        <v>0</v>
      </c>
      <c r="U163" s="46">
        <f t="shared" ca="1" si="53"/>
        <v>1363.1639413314356</v>
      </c>
      <c r="V163" s="4">
        <f t="shared" ca="1" si="54"/>
        <v>0</v>
      </c>
      <c r="W163" s="13">
        <f t="shared" ca="1" si="55"/>
        <v>5634.6106055198334</v>
      </c>
      <c r="X163" s="4">
        <f t="shared" ca="1" si="56"/>
        <v>0</v>
      </c>
      <c r="AE163" s="4"/>
    </row>
    <row r="164" spans="1:31">
      <c r="A164">
        <v>1</v>
      </c>
      <c r="B164">
        <v>0</v>
      </c>
      <c r="C164">
        <f t="shared" si="38"/>
        <v>3</v>
      </c>
      <c r="D164">
        <f t="shared" si="39"/>
        <v>1</v>
      </c>
      <c r="E164">
        <f t="shared" si="40"/>
        <v>1</v>
      </c>
      <c r="F164" s="100">
        <f t="shared" ca="1" si="41"/>
        <v>0.18020274999999999</v>
      </c>
      <c r="G164">
        <v>0</v>
      </c>
      <c r="H164">
        <v>1</v>
      </c>
      <c r="I164">
        <v>5</v>
      </c>
      <c r="J164" s="1">
        <f t="shared" ca="1" si="42"/>
        <v>0</v>
      </c>
      <c r="K164" s="1">
        <f t="shared" ca="1" si="43"/>
        <v>0</v>
      </c>
      <c r="L164" s="13">
        <f t="shared" ca="1" si="44"/>
        <v>127</v>
      </c>
      <c r="M164" s="7">
        <f t="shared" ca="1" si="45"/>
        <v>873</v>
      </c>
      <c r="N164" s="44">
        <f t="shared" ca="1" si="46"/>
        <v>11</v>
      </c>
      <c r="O164" s="94">
        <f t="shared" ca="1" si="47"/>
        <v>2.8397004155948178</v>
      </c>
      <c r="P164" s="94">
        <f t="shared" ca="1" si="48"/>
        <v>28.397004155948181</v>
      </c>
      <c r="Q164" s="94">
        <f t="shared" ca="1" si="49"/>
        <v>28.397004155948181</v>
      </c>
      <c r="R164" s="94">
        <f t="shared" ca="1" si="50"/>
        <v>2.8397004155948182</v>
      </c>
      <c r="S164" s="94">
        <f t="shared" ca="1" si="51"/>
        <v>2.8397004155948178</v>
      </c>
      <c r="T164" s="4">
        <f t="shared" ca="1" si="52"/>
        <v>0</v>
      </c>
      <c r="U164" s="46">
        <f t="shared" ca="1" si="53"/>
        <v>1350.1639413314356</v>
      </c>
      <c r="V164" s="4">
        <f t="shared" ca="1" si="54"/>
        <v>0</v>
      </c>
      <c r="W164" s="13">
        <f t="shared" ca="1" si="55"/>
        <v>4799.7941114728637</v>
      </c>
      <c r="X164" s="4">
        <f t="shared" ca="1" si="56"/>
        <v>0</v>
      </c>
      <c r="AE164" s="4"/>
    </row>
    <row r="165" spans="1:31">
      <c r="A165">
        <v>1</v>
      </c>
      <c r="B165">
        <v>0</v>
      </c>
      <c r="C165">
        <f t="shared" si="38"/>
        <v>3</v>
      </c>
      <c r="D165">
        <f t="shared" si="39"/>
        <v>1</v>
      </c>
      <c r="E165">
        <f t="shared" si="40"/>
        <v>1</v>
      </c>
      <c r="F165" s="100">
        <f t="shared" ca="1" si="41"/>
        <v>0.18020274999999999</v>
      </c>
      <c r="G165">
        <v>0</v>
      </c>
      <c r="H165">
        <v>1</v>
      </c>
      <c r="I165">
        <v>4</v>
      </c>
      <c r="J165" s="1">
        <f t="shared" ca="1" si="42"/>
        <v>0</v>
      </c>
      <c r="K165" s="1">
        <f t="shared" ca="1" si="43"/>
        <v>0</v>
      </c>
      <c r="L165" s="13">
        <f t="shared" ca="1" si="44"/>
        <v>114</v>
      </c>
      <c r="M165" s="7">
        <f t="shared" ca="1" si="45"/>
        <v>886</v>
      </c>
      <c r="N165" s="44">
        <f t="shared" ca="1" si="46"/>
        <v>12</v>
      </c>
      <c r="O165" s="94">
        <f t="shared" ca="1" si="47"/>
        <v>3.0624018806381534</v>
      </c>
      <c r="P165" s="94">
        <f t="shared" ca="1" si="48"/>
        <v>29.510511481164862</v>
      </c>
      <c r="Q165" s="94">
        <f t="shared" ca="1" si="49"/>
        <v>28.397004155948181</v>
      </c>
      <c r="R165" s="94">
        <f t="shared" ca="1" si="50"/>
        <v>2.8953757818556523</v>
      </c>
      <c r="S165" s="94">
        <f t="shared" ca="1" si="51"/>
        <v>3.0624018806381534</v>
      </c>
      <c r="T165" s="4">
        <f t="shared" ca="1" si="52"/>
        <v>0</v>
      </c>
      <c r="U165" s="46">
        <f t="shared" ca="1" si="53"/>
        <v>1418.7282638229713</v>
      </c>
      <c r="V165" s="4">
        <f t="shared" ca="1" si="54"/>
        <v>0</v>
      </c>
      <c r="W165" s="13">
        <f t="shared" ca="1" si="55"/>
        <v>3964.9776174258936</v>
      </c>
      <c r="X165" s="4">
        <f t="shared" ca="1" si="56"/>
        <v>0</v>
      </c>
      <c r="AE165" s="4"/>
    </row>
    <row r="166" spans="1:31">
      <c r="A166">
        <v>1</v>
      </c>
      <c r="B166">
        <v>0</v>
      </c>
      <c r="C166">
        <f t="shared" si="38"/>
        <v>3</v>
      </c>
      <c r="D166">
        <f t="shared" si="39"/>
        <v>1</v>
      </c>
      <c r="E166">
        <f t="shared" si="40"/>
        <v>1</v>
      </c>
      <c r="F166" s="100">
        <f t="shared" ca="1" si="41"/>
        <v>0.18020274999999999</v>
      </c>
      <c r="G166">
        <v>0</v>
      </c>
      <c r="H166">
        <v>1</v>
      </c>
      <c r="I166">
        <v>3</v>
      </c>
      <c r="J166" s="1">
        <f t="shared" ca="1" si="42"/>
        <v>0</v>
      </c>
      <c r="K166" s="1">
        <f t="shared" ca="1" si="43"/>
        <v>0</v>
      </c>
      <c r="L166" s="13">
        <f t="shared" ca="1" si="44"/>
        <v>101</v>
      </c>
      <c r="M166" s="7">
        <f t="shared" ca="1" si="45"/>
        <v>899</v>
      </c>
      <c r="N166" s="44">
        <f t="shared" ca="1" si="46"/>
        <v>12</v>
      </c>
      <c r="O166" s="94">
        <f t="shared" ca="1" si="47"/>
        <v>3.0624018806381534</v>
      </c>
      <c r="P166" s="94">
        <f t="shared" ca="1" si="48"/>
        <v>30.624018806381528</v>
      </c>
      <c r="Q166" s="94">
        <f t="shared" ca="1" si="49"/>
        <v>30.178615876294863</v>
      </c>
      <c r="R166" s="94">
        <f t="shared" ca="1" si="50"/>
        <v>3.0401317341338197</v>
      </c>
      <c r="S166" s="94">
        <f t="shared" ca="1" si="51"/>
        <v>3.0624018806381534</v>
      </c>
      <c r="T166" s="4">
        <f t="shared" ca="1" si="52"/>
        <v>0</v>
      </c>
      <c r="U166" s="46">
        <f t="shared" ca="1" si="53"/>
        <v>1405.7282638229713</v>
      </c>
      <c r="V166" s="4">
        <f t="shared" ca="1" si="54"/>
        <v>0</v>
      </c>
      <c r="W166" s="13">
        <f t="shared" ca="1" si="55"/>
        <v>3130.1611233789231</v>
      </c>
      <c r="X166" s="4">
        <f t="shared" ca="1" si="56"/>
        <v>0</v>
      </c>
      <c r="AE166" s="4"/>
    </row>
    <row r="167" spans="1:31">
      <c r="A167">
        <v>1</v>
      </c>
      <c r="B167">
        <v>0</v>
      </c>
      <c r="C167">
        <f t="shared" si="38"/>
        <v>3</v>
      </c>
      <c r="D167">
        <f t="shared" si="39"/>
        <v>1</v>
      </c>
      <c r="E167">
        <f t="shared" si="40"/>
        <v>1</v>
      </c>
      <c r="F167" s="100">
        <f t="shared" ca="1" si="41"/>
        <v>0.18020274999999999</v>
      </c>
      <c r="G167">
        <v>0</v>
      </c>
      <c r="H167">
        <v>1</v>
      </c>
      <c r="I167">
        <v>2</v>
      </c>
      <c r="J167" s="1">
        <f t="shared" ca="1" si="42"/>
        <v>0</v>
      </c>
      <c r="K167" s="1">
        <f t="shared" ca="1" si="43"/>
        <v>0</v>
      </c>
      <c r="L167" s="13">
        <f t="shared" ca="1" si="44"/>
        <v>88</v>
      </c>
      <c r="M167" s="7">
        <f t="shared" ca="1" si="45"/>
        <v>912</v>
      </c>
      <c r="N167" s="44">
        <f t="shared" ca="1" si="46"/>
        <v>12</v>
      </c>
      <c r="O167" s="94">
        <f t="shared" ca="1" si="47"/>
        <v>3.0624018806381534</v>
      </c>
      <c r="P167" s="94">
        <f t="shared" ca="1" si="48"/>
        <v>30.624018806381528</v>
      </c>
      <c r="Q167" s="94">
        <f t="shared" ca="1" si="49"/>
        <v>30.624018806381528</v>
      </c>
      <c r="R167" s="94">
        <f t="shared" ca="1" si="50"/>
        <v>3.062401880638153</v>
      </c>
      <c r="S167" s="94">
        <f t="shared" ca="1" si="51"/>
        <v>3.0624018806381534</v>
      </c>
      <c r="T167" s="4">
        <f t="shared" ca="1" si="52"/>
        <v>0</v>
      </c>
      <c r="U167" s="46">
        <f t="shared" ca="1" si="53"/>
        <v>1392.7282638229713</v>
      </c>
      <c r="V167" s="4">
        <f t="shared" ca="1" si="54"/>
        <v>0</v>
      </c>
      <c r="W167" s="13">
        <f t="shared" ca="1" si="55"/>
        <v>2295.344629331953</v>
      </c>
      <c r="X167" s="4">
        <f t="shared" ca="1" si="56"/>
        <v>0</v>
      </c>
      <c r="AE167" s="4"/>
    </row>
    <row r="168" spans="1:31">
      <c r="A168">
        <v>1</v>
      </c>
      <c r="B168">
        <v>0</v>
      </c>
      <c r="C168">
        <f t="shared" si="38"/>
        <v>3</v>
      </c>
      <c r="D168">
        <f t="shared" si="39"/>
        <v>1</v>
      </c>
      <c r="E168">
        <f>MIN(A168, C168-(1+$B$10+$B$9))</f>
        <v>1</v>
      </c>
      <c r="F168" s="100">
        <f ca="1">IF(A168=3, Set1QA, IF(A168=2, (1-Set1QA)*Set1TA + (1-Set1QA)*(1-Set1TA)*(1-Set1DA)*Set1AM3*Set1AM33, IF(A168=1, (1-Set1QA)*(1-Set1TA)*Set1DA + (1-Set1QA)*(1-Set1TA)*(1-Set1DA)*Set1AM3*Set1AM32, (1-Set1QA)*(1-Set1TA)*(1-Set1DA)*(1-Set1AM3)))) * IF($B$9+$B$10&gt;0, IF(B168=3, Set1QA, IF(B168=2, (1-Set1QA)*Set1TA, IF(B168=1, (1-Set1QA)*(1-Set1TA)*Set1DA, (1-Set1QA)*(1-Set1TA)*(1-Set1DA)))), IF(B168=0, 1, 0))</f>
        <v>0.18020274999999999</v>
      </c>
      <c r="G168">
        <v>0</v>
      </c>
      <c r="H168">
        <v>1</v>
      </c>
      <c r="I168">
        <v>1</v>
      </c>
      <c r="J168" s="1">
        <f t="shared" ca="1" si="42"/>
        <v>4.9005E-2</v>
      </c>
      <c r="K168" s="1">
        <f t="shared" ca="1" si="43"/>
        <v>8.8308357637499994E-3</v>
      </c>
      <c r="L168" s="13">
        <f t="shared" ca="1" si="44"/>
        <v>75</v>
      </c>
      <c r="M168" s="7">
        <f t="shared" ca="1" si="45"/>
        <v>925</v>
      </c>
      <c r="N168" s="44">
        <f t="shared" ca="1" si="46"/>
        <v>12</v>
      </c>
      <c r="O168" s="94">
        <f t="shared" ca="1" si="47"/>
        <v>3.0624018806381534</v>
      </c>
      <c r="P168" s="94">
        <f t="shared" ca="1" si="48"/>
        <v>30.624018806381528</v>
      </c>
      <c r="Q168" s="94">
        <f t="shared" ca="1" si="49"/>
        <v>30.624018806381528</v>
      </c>
      <c r="R168" s="94">
        <f t="shared" ca="1" si="50"/>
        <v>3.062401880638153</v>
      </c>
      <c r="S168" s="94">
        <f t="shared" ca="1" si="51"/>
        <v>3.0624018806381534</v>
      </c>
      <c r="T168" s="4">
        <f t="shared" ca="1" si="52"/>
        <v>2.7043568050514662E-2</v>
      </c>
      <c r="U168" s="46">
        <f t="shared" ca="1" si="53"/>
        <v>1379.7282638229713</v>
      </c>
      <c r="V168" s="4">
        <f t="shared" ca="1" si="54"/>
        <v>12.184153696424589</v>
      </c>
      <c r="W168" s="13">
        <f t="shared" ca="1" si="55"/>
        <v>1460.5281352849825</v>
      </c>
      <c r="X168" s="4">
        <f t="shared" ca="1" si="56"/>
        <v>12.897684091037721</v>
      </c>
      <c r="AE168" s="4"/>
    </row>
    <row r="169" spans="1:31">
      <c r="A169">
        <v>1</v>
      </c>
      <c r="B169">
        <v>0</v>
      </c>
      <c r="C169">
        <f t="shared" si="38"/>
        <v>3</v>
      </c>
      <c r="D169">
        <f t="shared" si="39"/>
        <v>1</v>
      </c>
      <c r="E169">
        <f t="shared" si="40"/>
        <v>1</v>
      </c>
      <c r="F169" s="100">
        <f t="shared" ca="1" si="41"/>
        <v>0.18020274999999999</v>
      </c>
      <c r="G169">
        <v>0</v>
      </c>
      <c r="H169">
        <v>1</v>
      </c>
      <c r="I169">
        <v>0</v>
      </c>
      <c r="J169" s="1">
        <f t="shared" ca="1" si="42"/>
        <v>4.9500000000000043E-4</v>
      </c>
      <c r="K169" s="1">
        <f t="shared" ca="1" si="43"/>
        <v>8.9200361250000074E-5</v>
      </c>
      <c r="L169" s="13">
        <f t="shared" ca="1" si="44"/>
        <v>62</v>
      </c>
      <c r="M169" s="7">
        <f t="shared" ca="1" si="45"/>
        <v>938</v>
      </c>
      <c r="N169" s="44">
        <f t="shared" ca="1" si="46"/>
        <v>12</v>
      </c>
      <c r="O169" s="94">
        <f t="shared" ca="1" si="47"/>
        <v>3.0624018806381534</v>
      </c>
      <c r="P169" s="94">
        <f t="shared" ca="1" si="48"/>
        <v>30.624018806381528</v>
      </c>
      <c r="Q169" s="94">
        <f t="shared" ca="1" si="49"/>
        <v>30.624018806381528</v>
      </c>
      <c r="R169" s="94">
        <f t="shared" ca="1" si="50"/>
        <v>3.062401880638153</v>
      </c>
      <c r="S169" s="94">
        <f t="shared" ca="1" si="51"/>
        <v>3.0624018806381534</v>
      </c>
      <c r="T169" s="4">
        <f t="shared" ca="1" si="52"/>
        <v>2.7316735404560289E-4</v>
      </c>
      <c r="U169" s="46">
        <f t="shared" ca="1" si="53"/>
        <v>1366.7282638229713</v>
      </c>
      <c r="V169" s="4">
        <f t="shared" ca="1" si="54"/>
        <v>0.12191265486359444</v>
      </c>
      <c r="W169" s="13">
        <f t="shared" ca="1" si="55"/>
        <v>625.71164123801225</v>
      </c>
      <c r="X169" s="4">
        <f t="shared" ca="1" si="56"/>
        <v>5.5813704436761133E-2</v>
      </c>
      <c r="AE169" s="4"/>
    </row>
    <row r="170" spans="1:31">
      <c r="A170">
        <v>1</v>
      </c>
      <c r="B170">
        <v>0</v>
      </c>
      <c r="C170">
        <f t="shared" si="38"/>
        <v>3</v>
      </c>
      <c r="D170">
        <f t="shared" si="39"/>
        <v>1</v>
      </c>
      <c r="E170">
        <f t="shared" si="40"/>
        <v>1</v>
      </c>
      <c r="F170" s="100">
        <f t="shared" ca="1" si="41"/>
        <v>0.18020274999999999</v>
      </c>
      <c r="G170">
        <v>0</v>
      </c>
      <c r="H170">
        <v>0</v>
      </c>
      <c r="I170">
        <v>7</v>
      </c>
      <c r="J170" s="1">
        <f t="shared" ca="1" si="42"/>
        <v>0</v>
      </c>
      <c r="K170" s="1">
        <f t="shared" ca="1" si="43"/>
        <v>0</v>
      </c>
      <c r="L170" s="13">
        <f t="shared" ca="1" si="44"/>
        <v>91</v>
      </c>
      <c r="M170" s="7">
        <f t="shared" ca="1" si="45"/>
        <v>909</v>
      </c>
      <c r="N170" s="44">
        <f t="shared" ca="1" si="46"/>
        <v>12</v>
      </c>
      <c r="O170" s="94">
        <f t="shared" ca="1" si="47"/>
        <v>3.0624018806381534</v>
      </c>
      <c r="P170" s="94">
        <f t="shared" ca="1" si="48"/>
        <v>30.624018806381528</v>
      </c>
      <c r="Q170" s="94">
        <f t="shared" ca="1" si="49"/>
        <v>30.624018806381528</v>
      </c>
      <c r="R170" s="94">
        <f t="shared" ca="1" si="50"/>
        <v>3.062401880638153</v>
      </c>
      <c r="S170" s="94">
        <f t="shared" ca="1" si="51"/>
        <v>3.0624018806381534</v>
      </c>
      <c r="T170" s="4">
        <f t="shared" ca="1" si="52"/>
        <v>0</v>
      </c>
      <c r="U170" s="46">
        <f t="shared" ca="1" si="53"/>
        <v>1395.7282638229713</v>
      </c>
      <c r="V170" s="4">
        <f t="shared" ca="1" si="54"/>
        <v>0</v>
      </c>
      <c r="W170" s="13">
        <f t="shared" ca="1" si="55"/>
        <v>5843.715458328792</v>
      </c>
      <c r="X170" s="4">
        <f t="shared" ca="1" si="56"/>
        <v>0</v>
      </c>
      <c r="AE170" s="4"/>
    </row>
    <row r="171" spans="1:31">
      <c r="A171">
        <v>1</v>
      </c>
      <c r="B171">
        <v>0</v>
      </c>
      <c r="C171">
        <f t="shared" si="38"/>
        <v>3</v>
      </c>
      <c r="D171">
        <f t="shared" si="39"/>
        <v>1</v>
      </c>
      <c r="E171">
        <f t="shared" si="40"/>
        <v>1</v>
      </c>
      <c r="F171" s="100">
        <f t="shared" ca="1" si="41"/>
        <v>0.18020274999999999</v>
      </c>
      <c r="G171">
        <v>0</v>
      </c>
      <c r="H171">
        <v>0</v>
      </c>
      <c r="I171">
        <v>6</v>
      </c>
      <c r="J171" s="1">
        <f t="shared" ca="1" si="42"/>
        <v>0</v>
      </c>
      <c r="K171" s="1">
        <f t="shared" ca="1" si="43"/>
        <v>0</v>
      </c>
      <c r="L171" s="13">
        <f t="shared" ca="1" si="44"/>
        <v>78</v>
      </c>
      <c r="M171" s="7">
        <f t="shared" ca="1" si="45"/>
        <v>922</v>
      </c>
      <c r="N171" s="44">
        <f t="shared" ca="1" si="46"/>
        <v>12</v>
      </c>
      <c r="O171" s="94">
        <f t="shared" ca="1" si="47"/>
        <v>3.0624018806381534</v>
      </c>
      <c r="P171" s="94">
        <f t="shared" ca="1" si="48"/>
        <v>30.624018806381528</v>
      </c>
      <c r="Q171" s="94">
        <f t="shared" ca="1" si="49"/>
        <v>30.624018806381528</v>
      </c>
      <c r="R171" s="94">
        <f t="shared" ca="1" si="50"/>
        <v>3.062401880638153</v>
      </c>
      <c r="S171" s="94">
        <f t="shared" ca="1" si="51"/>
        <v>3.0624018806381534</v>
      </c>
      <c r="T171" s="4">
        <f t="shared" ca="1" si="52"/>
        <v>0</v>
      </c>
      <c r="U171" s="46">
        <f t="shared" ca="1" si="53"/>
        <v>1382.7282638229713</v>
      </c>
      <c r="V171" s="4">
        <f t="shared" ca="1" si="54"/>
        <v>0</v>
      </c>
      <c r="W171" s="13">
        <f t="shared" ca="1" si="55"/>
        <v>5008.8989642818215</v>
      </c>
      <c r="X171" s="4">
        <f t="shared" ca="1" si="56"/>
        <v>0</v>
      </c>
      <c r="AE171" s="4"/>
    </row>
    <row r="172" spans="1:31">
      <c r="A172">
        <v>1</v>
      </c>
      <c r="B172">
        <v>0</v>
      </c>
      <c r="C172">
        <f t="shared" si="38"/>
        <v>3</v>
      </c>
      <c r="D172">
        <f t="shared" si="39"/>
        <v>1</v>
      </c>
      <c r="E172">
        <f t="shared" si="40"/>
        <v>1</v>
      </c>
      <c r="F172" s="100">
        <f t="shared" ca="1" si="41"/>
        <v>0.18020274999999999</v>
      </c>
      <c r="G172">
        <v>0</v>
      </c>
      <c r="H172">
        <v>0</v>
      </c>
      <c r="I172">
        <v>5</v>
      </c>
      <c r="J172" s="1">
        <f t="shared" ca="1" si="42"/>
        <v>0</v>
      </c>
      <c r="K172" s="1">
        <f t="shared" ca="1" si="43"/>
        <v>0</v>
      </c>
      <c r="L172" s="13">
        <f t="shared" ca="1" si="44"/>
        <v>65</v>
      </c>
      <c r="M172" s="7">
        <f t="shared" ca="1" si="45"/>
        <v>935</v>
      </c>
      <c r="N172" s="44">
        <f t="shared" ca="1" si="46"/>
        <v>12</v>
      </c>
      <c r="O172" s="94">
        <f t="shared" ca="1" si="47"/>
        <v>3.0624018806381534</v>
      </c>
      <c r="P172" s="94">
        <f t="shared" ca="1" si="48"/>
        <v>30.624018806381528</v>
      </c>
      <c r="Q172" s="94">
        <f t="shared" ca="1" si="49"/>
        <v>30.624018806381528</v>
      </c>
      <c r="R172" s="94">
        <f t="shared" ca="1" si="50"/>
        <v>3.062401880638153</v>
      </c>
      <c r="S172" s="94">
        <f t="shared" ca="1" si="51"/>
        <v>3.0624018806381534</v>
      </c>
      <c r="T172" s="4">
        <f t="shared" ca="1" si="52"/>
        <v>0</v>
      </c>
      <c r="U172" s="46">
        <f t="shared" ca="1" si="53"/>
        <v>1369.7282638229713</v>
      </c>
      <c r="V172" s="4">
        <f t="shared" ca="1" si="54"/>
        <v>0</v>
      </c>
      <c r="W172" s="13">
        <f t="shared" ca="1" si="55"/>
        <v>4174.0824702348518</v>
      </c>
      <c r="X172" s="4">
        <f t="shared" ca="1" si="56"/>
        <v>0</v>
      </c>
      <c r="AE172" s="4"/>
    </row>
    <row r="173" spans="1:31">
      <c r="A173">
        <v>1</v>
      </c>
      <c r="B173">
        <v>0</v>
      </c>
      <c r="C173">
        <f t="shared" si="38"/>
        <v>3</v>
      </c>
      <c r="D173">
        <f t="shared" si="39"/>
        <v>1</v>
      </c>
      <c r="E173">
        <f t="shared" si="40"/>
        <v>1</v>
      </c>
      <c r="F173" s="100">
        <f t="shared" ca="1" si="41"/>
        <v>0.18020274999999999</v>
      </c>
      <c r="G173">
        <v>0</v>
      </c>
      <c r="H173">
        <v>0</v>
      </c>
      <c r="I173">
        <v>4</v>
      </c>
      <c r="J173" s="1">
        <f t="shared" ca="1" si="42"/>
        <v>0</v>
      </c>
      <c r="K173" s="1">
        <f t="shared" ca="1" si="43"/>
        <v>0</v>
      </c>
      <c r="L173" s="13">
        <f t="shared" ca="1" si="44"/>
        <v>52</v>
      </c>
      <c r="M173" s="7">
        <f t="shared" ca="1" si="45"/>
        <v>948</v>
      </c>
      <c r="N173" s="44">
        <f t="shared" ca="1" si="46"/>
        <v>12</v>
      </c>
      <c r="O173" s="94">
        <f t="shared" ca="1" si="47"/>
        <v>3.0624018806381534</v>
      </c>
      <c r="P173" s="94">
        <f t="shared" ca="1" si="48"/>
        <v>30.624018806381528</v>
      </c>
      <c r="Q173" s="94">
        <f t="shared" ca="1" si="49"/>
        <v>30.624018806381528</v>
      </c>
      <c r="R173" s="94">
        <f t="shared" ca="1" si="50"/>
        <v>3.062401880638153</v>
      </c>
      <c r="S173" s="94">
        <f t="shared" ca="1" si="51"/>
        <v>3.0624018806381534</v>
      </c>
      <c r="T173" s="4">
        <f t="shared" ca="1" si="52"/>
        <v>0</v>
      </c>
      <c r="U173" s="46">
        <f t="shared" ca="1" si="53"/>
        <v>1356.7282638229713</v>
      </c>
      <c r="V173" s="4">
        <f t="shared" ca="1" si="54"/>
        <v>0</v>
      </c>
      <c r="W173" s="13">
        <f t="shared" ca="1" si="55"/>
        <v>3339.2659761878813</v>
      </c>
      <c r="X173" s="4">
        <f t="shared" ca="1" si="56"/>
        <v>0</v>
      </c>
      <c r="AE173" s="4"/>
    </row>
    <row r="174" spans="1:31">
      <c r="A174">
        <v>1</v>
      </c>
      <c r="B174">
        <v>0</v>
      </c>
      <c r="C174">
        <f t="shared" si="38"/>
        <v>3</v>
      </c>
      <c r="D174">
        <f t="shared" si="39"/>
        <v>1</v>
      </c>
      <c r="E174">
        <f t="shared" si="40"/>
        <v>1</v>
      </c>
      <c r="F174" s="100">
        <f t="shared" ca="1" si="41"/>
        <v>0.18020274999999999</v>
      </c>
      <c r="G174">
        <v>0</v>
      </c>
      <c r="H174">
        <v>0</v>
      </c>
      <c r="I174">
        <v>3</v>
      </c>
      <c r="J174" s="1">
        <f t="shared" ca="1" si="42"/>
        <v>0</v>
      </c>
      <c r="K174" s="1">
        <f t="shared" ca="1" si="43"/>
        <v>0</v>
      </c>
      <c r="L174" s="13">
        <f t="shared" ca="1" si="44"/>
        <v>39</v>
      </c>
      <c r="M174" s="7">
        <f t="shared" ca="1" si="45"/>
        <v>961</v>
      </c>
      <c r="N174" s="44">
        <f t="shared" ca="1" si="46"/>
        <v>13</v>
      </c>
      <c r="O174" s="94">
        <f t="shared" ca="1" si="47"/>
        <v>3.2733204919050856</v>
      </c>
      <c r="P174" s="94">
        <f t="shared" ca="1" si="48"/>
        <v>30.624018806381528</v>
      </c>
      <c r="Q174" s="94">
        <f t="shared" ca="1" si="49"/>
        <v>30.624018806381528</v>
      </c>
      <c r="R174" s="94">
        <f t="shared" ca="1" si="50"/>
        <v>3.062401880638153</v>
      </c>
      <c r="S174" s="94">
        <f t="shared" ca="1" si="51"/>
        <v>3.2733204919050856</v>
      </c>
      <c r="T174" s="4">
        <f t="shared" ca="1" si="52"/>
        <v>0</v>
      </c>
      <c r="U174" s="46">
        <f t="shared" ca="1" si="53"/>
        <v>1420.9771208320408</v>
      </c>
      <c r="V174" s="4">
        <f t="shared" ca="1" si="54"/>
        <v>0</v>
      </c>
      <c r="W174" s="13">
        <f t="shared" ca="1" si="55"/>
        <v>2504.4494821409107</v>
      </c>
      <c r="X174" s="4">
        <f t="shared" ca="1" si="56"/>
        <v>0</v>
      </c>
      <c r="AE174" s="4"/>
    </row>
    <row r="175" spans="1:31">
      <c r="A175">
        <v>1</v>
      </c>
      <c r="B175">
        <v>0</v>
      </c>
      <c r="C175">
        <f t="shared" si="38"/>
        <v>3</v>
      </c>
      <c r="D175">
        <f t="shared" si="39"/>
        <v>1</v>
      </c>
      <c r="E175">
        <f t="shared" si="40"/>
        <v>1</v>
      </c>
      <c r="F175" s="100">
        <f t="shared" ca="1" si="41"/>
        <v>0.18020274999999999</v>
      </c>
      <c r="G175">
        <v>0</v>
      </c>
      <c r="H175">
        <v>0</v>
      </c>
      <c r="I175">
        <v>2</v>
      </c>
      <c r="J175" s="1">
        <f t="shared" ca="1" si="42"/>
        <v>0</v>
      </c>
      <c r="K175" s="1">
        <f t="shared" ca="1" si="43"/>
        <v>0</v>
      </c>
      <c r="L175" s="13">
        <f t="shared" ca="1" si="44"/>
        <v>26</v>
      </c>
      <c r="M175" s="7">
        <f t="shared" ca="1" si="45"/>
        <v>974</v>
      </c>
      <c r="N175" s="44">
        <f t="shared" ca="1" si="46"/>
        <v>13</v>
      </c>
      <c r="O175" s="94">
        <f t="shared" ca="1" si="47"/>
        <v>3.2733204919050856</v>
      </c>
      <c r="P175" s="94">
        <f t="shared" ca="1" si="48"/>
        <v>32.733204919050856</v>
      </c>
      <c r="Q175" s="94">
        <f t="shared" ca="1" si="49"/>
        <v>31.256774640182325</v>
      </c>
      <c r="R175" s="94">
        <f t="shared" ca="1" si="50"/>
        <v>3.1994989779616589</v>
      </c>
      <c r="S175" s="94">
        <f t="shared" ca="1" si="51"/>
        <v>3.2733204919050856</v>
      </c>
      <c r="T175" s="4">
        <f t="shared" ca="1" si="52"/>
        <v>0</v>
      </c>
      <c r="U175" s="46">
        <f t="shared" ca="1" si="53"/>
        <v>1407.9771208320408</v>
      </c>
      <c r="V175" s="4">
        <f t="shared" ca="1" si="54"/>
        <v>0</v>
      </c>
      <c r="W175" s="13">
        <f t="shared" ca="1" si="55"/>
        <v>1669.6329880939406</v>
      </c>
      <c r="X175" s="4">
        <f t="shared" ca="1" si="56"/>
        <v>0</v>
      </c>
      <c r="AE175" s="4"/>
    </row>
    <row r="176" spans="1:31">
      <c r="A176">
        <v>1</v>
      </c>
      <c r="B176">
        <v>0</v>
      </c>
      <c r="C176">
        <f t="shared" si="38"/>
        <v>3</v>
      </c>
      <c r="D176">
        <f t="shared" si="39"/>
        <v>1</v>
      </c>
      <c r="E176">
        <f t="shared" si="40"/>
        <v>1</v>
      </c>
      <c r="F176" s="100">
        <f t="shared" ca="1" si="41"/>
        <v>0.18020274999999999</v>
      </c>
      <c r="G176">
        <v>0</v>
      </c>
      <c r="H176">
        <v>0</v>
      </c>
      <c r="I176">
        <v>1</v>
      </c>
      <c r="J176" s="1">
        <f t="shared" ca="1" si="42"/>
        <v>4.9500000000000043E-4</v>
      </c>
      <c r="K176" s="1">
        <f t="shared" ca="1" si="43"/>
        <v>8.9200361250000074E-5</v>
      </c>
      <c r="L176" s="13">
        <f t="shared" ca="1" si="44"/>
        <v>13</v>
      </c>
      <c r="M176" s="7">
        <f t="shared" ca="1" si="45"/>
        <v>987</v>
      </c>
      <c r="N176" s="44">
        <f t="shared" ca="1" si="46"/>
        <v>13</v>
      </c>
      <c r="O176" s="94">
        <f t="shared" ca="1" si="47"/>
        <v>3.2733204919050856</v>
      </c>
      <c r="P176" s="94">
        <f t="shared" ca="1" si="48"/>
        <v>32.733204919050856</v>
      </c>
      <c r="Q176" s="94">
        <f t="shared" ca="1" si="49"/>
        <v>32.733204919050856</v>
      </c>
      <c r="R176" s="94">
        <f t="shared" ca="1" si="50"/>
        <v>3.2733204919050856</v>
      </c>
      <c r="S176" s="94">
        <f t="shared" ca="1" si="51"/>
        <v>3.2733204919050856</v>
      </c>
      <c r="T176" s="4">
        <f t="shared" ca="1" si="52"/>
        <v>2.9198137036496159E-4</v>
      </c>
      <c r="U176" s="46">
        <f t="shared" ca="1" si="53"/>
        <v>1394.9771208320408</v>
      </c>
      <c r="V176" s="4">
        <f t="shared" ca="1" si="54"/>
        <v>0.12443246311370304</v>
      </c>
      <c r="W176" s="13">
        <f t="shared" ca="1" si="55"/>
        <v>834.81649404697032</v>
      </c>
      <c r="X176" s="4">
        <f t="shared" ca="1" si="56"/>
        <v>7.4465932846448285E-2</v>
      </c>
      <c r="AE176" s="4"/>
    </row>
    <row r="177" spans="1:31">
      <c r="A177">
        <v>1</v>
      </c>
      <c r="B177">
        <v>0</v>
      </c>
      <c r="C177">
        <f t="shared" si="38"/>
        <v>3</v>
      </c>
      <c r="D177">
        <f t="shared" si="39"/>
        <v>1</v>
      </c>
      <c r="E177">
        <f t="shared" si="40"/>
        <v>1</v>
      </c>
      <c r="F177" s="100">
        <f t="shared" ca="1" si="41"/>
        <v>0.18020274999999999</v>
      </c>
      <c r="G177">
        <v>0</v>
      </c>
      <c r="H177">
        <v>0</v>
      </c>
      <c r="I177">
        <v>0</v>
      </c>
      <c r="J177" s="1">
        <f t="shared" ca="1" si="42"/>
        <v>5.0000000000000089E-6</v>
      </c>
      <c r="K177" s="1">
        <f t="shared" ca="1" si="43"/>
        <v>9.0101375000000153E-7</v>
      </c>
      <c r="L177" s="13">
        <f t="shared" ca="1" si="44"/>
        <v>0</v>
      </c>
      <c r="M177" s="7">
        <f t="shared" ca="1" si="45"/>
        <v>1000</v>
      </c>
      <c r="N177" s="44">
        <f t="shared" ca="1" si="46"/>
        <v>13</v>
      </c>
      <c r="O177" s="94">
        <f t="shared" ca="1" si="47"/>
        <v>3.2733204919050856</v>
      </c>
      <c r="P177" s="94">
        <f t="shared" ca="1" si="48"/>
        <v>32.733204919050856</v>
      </c>
      <c r="Q177" s="94">
        <f t="shared" ca="1" si="49"/>
        <v>32.733204919050856</v>
      </c>
      <c r="R177" s="94">
        <f t="shared" ca="1" si="50"/>
        <v>3.2733204919050856</v>
      </c>
      <c r="S177" s="94">
        <f t="shared" ca="1" si="51"/>
        <v>3.2733204919050856</v>
      </c>
      <c r="T177" s="4">
        <f t="shared" ca="1" si="52"/>
        <v>2.9493067713632509E-6</v>
      </c>
      <c r="U177" s="46">
        <f t="shared" ca="1" si="53"/>
        <v>1381.9771208320408</v>
      </c>
      <c r="V177" s="4">
        <f t="shared" ca="1" si="54"/>
        <v>1.2451803880550822E-3</v>
      </c>
      <c r="W177" s="13">
        <f t="shared" ca="1" si="55"/>
        <v>0</v>
      </c>
      <c r="X177" s="4">
        <f t="shared" ca="1" si="56"/>
        <v>0</v>
      </c>
      <c r="AE177" s="4"/>
    </row>
    <row r="178" spans="1:31">
      <c r="A178">
        <v>1</v>
      </c>
      <c r="B178">
        <v>1</v>
      </c>
      <c r="C178">
        <f t="shared" si="38"/>
        <v>4</v>
      </c>
      <c r="D178">
        <f t="shared" si="39"/>
        <v>2</v>
      </c>
      <c r="E178">
        <f t="shared" si="40"/>
        <v>1</v>
      </c>
      <c r="F178" s="100">
        <f t="shared" ca="1" si="41"/>
        <v>9.703225E-2</v>
      </c>
      <c r="G178">
        <v>1</v>
      </c>
      <c r="H178">
        <v>1</v>
      </c>
      <c r="I178">
        <v>7</v>
      </c>
      <c r="J178" s="1">
        <f t="shared" ca="1" si="42"/>
        <v>0</v>
      </c>
      <c r="K178" s="1">
        <f t="shared" ca="1" si="43"/>
        <v>0</v>
      </c>
      <c r="L178" s="13">
        <f t="shared" ca="1" si="44"/>
        <v>215</v>
      </c>
      <c r="M178" s="7">
        <f t="shared" ca="1" si="45"/>
        <v>785</v>
      </c>
      <c r="N178" s="44">
        <f t="shared" ca="1" si="46"/>
        <v>10</v>
      </c>
      <c r="O178" s="94">
        <f t="shared" ca="1" si="47"/>
        <v>2.5999636871582168</v>
      </c>
      <c r="P178" s="94">
        <f t="shared" ca="1" si="48"/>
        <v>25.999636871582165</v>
      </c>
      <c r="Q178" s="94">
        <f t="shared" ca="1" si="49"/>
        <v>25.999636871582165</v>
      </c>
      <c r="R178" s="94">
        <f t="shared" ca="1" si="50"/>
        <v>2.5999636871582164</v>
      </c>
      <c r="S178" s="94">
        <f t="shared" ca="1" si="51"/>
        <v>2.5999636871582168</v>
      </c>
      <c r="T178" s="4">
        <f t="shared" ca="1" si="52"/>
        <v>0</v>
      </c>
      <c r="U178" s="46">
        <f t="shared" ca="1" si="53"/>
        <v>1350.360460436222</v>
      </c>
      <c r="V178" s="4">
        <f t="shared" ca="1" si="54"/>
        <v>0</v>
      </c>
      <c r="W178" s="13">
        <f t="shared" ca="1" si="55"/>
        <v>12313.142557895597</v>
      </c>
      <c r="X178" s="4">
        <f t="shared" ca="1" si="56"/>
        <v>0</v>
      </c>
      <c r="AE178" s="4"/>
    </row>
    <row r="179" spans="1:31">
      <c r="A179">
        <v>1</v>
      </c>
      <c r="B179">
        <v>1</v>
      </c>
      <c r="C179">
        <f t="shared" si="38"/>
        <v>4</v>
      </c>
      <c r="D179">
        <f t="shared" si="39"/>
        <v>2</v>
      </c>
      <c r="E179">
        <f t="shared" si="40"/>
        <v>1</v>
      </c>
      <c r="F179" s="100">
        <f t="shared" ca="1" si="41"/>
        <v>9.703225E-2</v>
      </c>
      <c r="G179">
        <v>1</v>
      </c>
      <c r="H179">
        <v>1</v>
      </c>
      <c r="I179">
        <v>6</v>
      </c>
      <c r="J179" s="1">
        <f t="shared" ca="1" si="42"/>
        <v>0</v>
      </c>
      <c r="K179" s="1">
        <f t="shared" ca="1" si="43"/>
        <v>0</v>
      </c>
      <c r="L179" s="13">
        <f t="shared" ca="1" si="44"/>
        <v>202</v>
      </c>
      <c r="M179" s="7">
        <f t="shared" ca="1" si="45"/>
        <v>798</v>
      </c>
      <c r="N179" s="44">
        <f t="shared" ca="1" si="46"/>
        <v>10</v>
      </c>
      <c r="O179" s="94">
        <f t="shared" ca="1" si="47"/>
        <v>2.5999636871582168</v>
      </c>
      <c r="P179" s="94">
        <f t="shared" ca="1" si="48"/>
        <v>25.999636871582165</v>
      </c>
      <c r="Q179" s="94">
        <f t="shared" ca="1" si="49"/>
        <v>25.999636871582165</v>
      </c>
      <c r="R179" s="94">
        <f t="shared" ca="1" si="50"/>
        <v>2.5999636871582164</v>
      </c>
      <c r="S179" s="94">
        <f t="shared" ca="1" si="51"/>
        <v>2.5999636871582168</v>
      </c>
      <c r="T179" s="4">
        <f t="shared" ca="1" si="52"/>
        <v>0</v>
      </c>
      <c r="U179" s="46">
        <f t="shared" ca="1" si="53"/>
        <v>1337.360460436222</v>
      </c>
      <c r="V179" s="4">
        <f t="shared" ca="1" si="54"/>
        <v>0</v>
      </c>
      <c r="W179" s="13">
        <f t="shared" ca="1" si="55"/>
        <v>11478.326063848626</v>
      </c>
      <c r="X179" s="4">
        <f t="shared" ca="1" si="56"/>
        <v>0</v>
      </c>
      <c r="AE179" s="4"/>
    </row>
    <row r="180" spans="1:31">
      <c r="A180">
        <v>1</v>
      </c>
      <c r="B180">
        <v>1</v>
      </c>
      <c r="C180">
        <f t="shared" si="38"/>
        <v>4</v>
      </c>
      <c r="D180">
        <f t="shared" si="39"/>
        <v>2</v>
      </c>
      <c r="E180">
        <f t="shared" si="40"/>
        <v>1</v>
      </c>
      <c r="F180" s="100">
        <f t="shared" ca="1" si="41"/>
        <v>9.703225E-2</v>
      </c>
      <c r="G180">
        <v>1</v>
      </c>
      <c r="H180">
        <v>1</v>
      </c>
      <c r="I180">
        <v>5</v>
      </c>
      <c r="J180" s="1">
        <f t="shared" ca="1" si="42"/>
        <v>0</v>
      </c>
      <c r="K180" s="1">
        <f t="shared" ca="1" si="43"/>
        <v>0</v>
      </c>
      <c r="L180" s="13">
        <f t="shared" ca="1" si="44"/>
        <v>189</v>
      </c>
      <c r="M180" s="7">
        <f t="shared" ca="1" si="45"/>
        <v>811</v>
      </c>
      <c r="N180" s="44">
        <f t="shared" ca="1" si="46"/>
        <v>11</v>
      </c>
      <c r="O180" s="94">
        <f t="shared" ca="1" si="47"/>
        <v>2.8397004155948178</v>
      </c>
      <c r="P180" s="94">
        <f t="shared" ca="1" si="48"/>
        <v>28.397004155948181</v>
      </c>
      <c r="Q180" s="94">
        <f t="shared" ca="1" si="49"/>
        <v>25.999636871582165</v>
      </c>
      <c r="R180" s="94">
        <f t="shared" ca="1" si="50"/>
        <v>2.7198320513765175</v>
      </c>
      <c r="S180" s="94">
        <f t="shared" ca="1" si="51"/>
        <v>2.8397004155948178</v>
      </c>
      <c r="T180" s="4">
        <f t="shared" ca="1" si="52"/>
        <v>0</v>
      </c>
      <c r="U180" s="46">
        <f t="shared" ca="1" si="53"/>
        <v>1412.1639413314356</v>
      </c>
      <c r="V180" s="4">
        <f t="shared" ca="1" si="54"/>
        <v>0</v>
      </c>
      <c r="W180" s="13">
        <f t="shared" ca="1" si="55"/>
        <v>10643.509569801656</v>
      </c>
      <c r="X180" s="4">
        <f t="shared" ca="1" si="56"/>
        <v>0</v>
      </c>
      <c r="AE180" s="4"/>
    </row>
    <row r="181" spans="1:31">
      <c r="A181">
        <v>1</v>
      </c>
      <c r="B181">
        <v>1</v>
      </c>
      <c r="C181">
        <f t="shared" si="38"/>
        <v>4</v>
      </c>
      <c r="D181">
        <f t="shared" si="39"/>
        <v>2</v>
      </c>
      <c r="E181">
        <f t="shared" si="40"/>
        <v>1</v>
      </c>
      <c r="F181" s="100">
        <f t="shared" ca="1" si="41"/>
        <v>9.703225E-2</v>
      </c>
      <c r="G181">
        <v>1</v>
      </c>
      <c r="H181">
        <v>1</v>
      </c>
      <c r="I181">
        <v>4</v>
      </c>
      <c r="J181" s="1">
        <f t="shared" ca="1" si="42"/>
        <v>0</v>
      </c>
      <c r="K181" s="1">
        <f t="shared" ca="1" si="43"/>
        <v>0</v>
      </c>
      <c r="L181" s="13">
        <f t="shared" ca="1" si="44"/>
        <v>176</v>
      </c>
      <c r="M181" s="7">
        <f t="shared" ca="1" si="45"/>
        <v>824</v>
      </c>
      <c r="N181" s="44">
        <f t="shared" ca="1" si="46"/>
        <v>11</v>
      </c>
      <c r="O181" s="94">
        <f t="shared" ca="1" si="47"/>
        <v>2.8397004155948178</v>
      </c>
      <c r="P181" s="94">
        <f t="shared" ca="1" si="48"/>
        <v>28.397004155948181</v>
      </c>
      <c r="Q181" s="94">
        <f t="shared" ca="1" si="49"/>
        <v>28.397004155948181</v>
      </c>
      <c r="R181" s="94">
        <f t="shared" ca="1" si="50"/>
        <v>2.8397004155948182</v>
      </c>
      <c r="S181" s="94">
        <f t="shared" ca="1" si="51"/>
        <v>2.8397004155948178</v>
      </c>
      <c r="T181" s="4">
        <f t="shared" ca="1" si="52"/>
        <v>0</v>
      </c>
      <c r="U181" s="46">
        <f t="shared" ca="1" si="53"/>
        <v>1399.1639413314356</v>
      </c>
      <c r="V181" s="4">
        <f t="shared" ca="1" si="54"/>
        <v>0</v>
      </c>
      <c r="W181" s="13">
        <f t="shared" ca="1" si="55"/>
        <v>9808.693075754687</v>
      </c>
      <c r="X181" s="4">
        <f t="shared" ca="1" si="56"/>
        <v>0</v>
      </c>
      <c r="AE181" s="4"/>
    </row>
    <row r="182" spans="1:31">
      <c r="A182">
        <v>1</v>
      </c>
      <c r="B182">
        <v>1</v>
      </c>
      <c r="C182">
        <f t="shared" si="38"/>
        <v>4</v>
      </c>
      <c r="D182">
        <f t="shared" si="39"/>
        <v>2</v>
      </c>
      <c r="E182">
        <f t="shared" si="40"/>
        <v>1</v>
      </c>
      <c r="F182" s="100">
        <f t="shared" ca="1" si="41"/>
        <v>9.703225E-2</v>
      </c>
      <c r="G182">
        <v>1</v>
      </c>
      <c r="H182">
        <v>1</v>
      </c>
      <c r="I182">
        <v>3</v>
      </c>
      <c r="J182" s="1">
        <f t="shared" ca="1" si="42"/>
        <v>0</v>
      </c>
      <c r="K182" s="1">
        <f t="shared" ca="1" si="43"/>
        <v>0</v>
      </c>
      <c r="L182" s="13">
        <f t="shared" ca="1" si="44"/>
        <v>163</v>
      </c>
      <c r="M182" s="7">
        <f t="shared" ca="1" si="45"/>
        <v>837</v>
      </c>
      <c r="N182" s="44">
        <f t="shared" ca="1" si="46"/>
        <v>11</v>
      </c>
      <c r="O182" s="94">
        <f t="shared" ca="1" si="47"/>
        <v>2.8397004155948178</v>
      </c>
      <c r="P182" s="94">
        <f t="shared" ca="1" si="48"/>
        <v>28.397004155948181</v>
      </c>
      <c r="Q182" s="94">
        <f t="shared" ca="1" si="49"/>
        <v>28.397004155948181</v>
      </c>
      <c r="R182" s="94">
        <f t="shared" ca="1" si="50"/>
        <v>2.8397004155948182</v>
      </c>
      <c r="S182" s="94">
        <f t="shared" ca="1" si="51"/>
        <v>2.8397004155948178</v>
      </c>
      <c r="T182" s="4">
        <f t="shared" ca="1" si="52"/>
        <v>0</v>
      </c>
      <c r="U182" s="46">
        <f t="shared" ca="1" si="53"/>
        <v>1386.1639413314356</v>
      </c>
      <c r="V182" s="4">
        <f t="shared" ca="1" si="54"/>
        <v>0</v>
      </c>
      <c r="W182" s="13">
        <f t="shared" ca="1" si="55"/>
        <v>8973.8765817077146</v>
      </c>
      <c r="X182" s="4">
        <f t="shared" ca="1" si="56"/>
        <v>0</v>
      </c>
      <c r="AE182" s="4"/>
    </row>
    <row r="183" spans="1:31">
      <c r="A183">
        <v>1</v>
      </c>
      <c r="B183">
        <v>1</v>
      </c>
      <c r="C183">
        <f t="shared" si="38"/>
        <v>4</v>
      </c>
      <c r="D183">
        <f t="shared" si="39"/>
        <v>2</v>
      </c>
      <c r="E183">
        <f t="shared" si="40"/>
        <v>1</v>
      </c>
      <c r="F183" s="100">
        <f t="shared" ca="1" si="41"/>
        <v>9.703225E-2</v>
      </c>
      <c r="G183">
        <v>1</v>
      </c>
      <c r="H183">
        <v>1</v>
      </c>
      <c r="I183">
        <v>2</v>
      </c>
      <c r="J183" s="1">
        <f t="shared" ca="1" si="42"/>
        <v>0.92178404999999997</v>
      </c>
      <c r="K183" s="1">
        <f t="shared" ca="1" si="43"/>
        <v>8.94427803856125E-2</v>
      </c>
      <c r="L183" s="13">
        <f t="shared" ca="1" si="44"/>
        <v>150</v>
      </c>
      <c r="M183" s="7">
        <f t="shared" ca="1" si="45"/>
        <v>850</v>
      </c>
      <c r="N183" s="44">
        <f t="shared" ca="1" si="46"/>
        <v>11</v>
      </c>
      <c r="O183" s="94">
        <f t="shared" ca="1" si="47"/>
        <v>2.8397004155948178</v>
      </c>
      <c r="P183" s="94">
        <f t="shared" ca="1" si="48"/>
        <v>28.397004155948181</v>
      </c>
      <c r="Q183" s="94">
        <f t="shared" ca="1" si="49"/>
        <v>28.397004155948181</v>
      </c>
      <c r="R183" s="94">
        <f t="shared" ca="1" si="50"/>
        <v>2.8397004155948182</v>
      </c>
      <c r="S183" s="94">
        <f t="shared" ca="1" si="51"/>
        <v>2.8397004155948178</v>
      </c>
      <c r="T183" s="4">
        <f t="shared" ca="1" si="52"/>
        <v>0.25399070063297985</v>
      </c>
      <c r="U183" s="46">
        <f t="shared" ca="1" si="53"/>
        <v>1373.1639413314356</v>
      </c>
      <c r="V183" s="4">
        <f t="shared" ca="1" si="54"/>
        <v>122.81960083794968</v>
      </c>
      <c r="W183" s="13">
        <f t="shared" ca="1" si="55"/>
        <v>8139.0600876607459</v>
      </c>
      <c r="X183" s="4">
        <f t="shared" ca="1" si="56"/>
        <v>727.98016396594414</v>
      </c>
      <c r="AE183" s="4"/>
    </row>
    <row r="184" spans="1:31">
      <c r="A184">
        <v>1</v>
      </c>
      <c r="B184">
        <v>1</v>
      </c>
      <c r="C184">
        <f t="shared" si="38"/>
        <v>4</v>
      </c>
      <c r="D184">
        <f t="shared" si="39"/>
        <v>2</v>
      </c>
      <c r="E184">
        <f t="shared" si="40"/>
        <v>1</v>
      </c>
      <c r="F184" s="100">
        <f t="shared" ca="1" si="41"/>
        <v>9.703225E-2</v>
      </c>
      <c r="G184">
        <v>1</v>
      </c>
      <c r="H184">
        <v>1</v>
      </c>
      <c r="I184">
        <v>1</v>
      </c>
      <c r="J184" s="1">
        <f t="shared" ca="1" si="42"/>
        <v>1.8621900000000018E-2</v>
      </c>
      <c r="K184" s="1">
        <f t="shared" ca="1" si="43"/>
        <v>1.8069248562750018E-3</v>
      </c>
      <c r="L184" s="13">
        <f t="shared" ca="1" si="44"/>
        <v>137</v>
      </c>
      <c r="M184" s="7">
        <f t="shared" ca="1" si="45"/>
        <v>863</v>
      </c>
      <c r="N184" s="44">
        <f t="shared" ca="1" si="46"/>
        <v>11</v>
      </c>
      <c r="O184" s="94">
        <f t="shared" ca="1" si="47"/>
        <v>2.8397004155948178</v>
      </c>
      <c r="P184" s="94">
        <f t="shared" ca="1" si="48"/>
        <v>28.397004155948181</v>
      </c>
      <c r="Q184" s="94">
        <f t="shared" ca="1" si="49"/>
        <v>28.397004155948181</v>
      </c>
      <c r="R184" s="94">
        <f t="shared" ca="1" si="50"/>
        <v>2.8397004155948182</v>
      </c>
      <c r="S184" s="94">
        <f t="shared" ca="1" si="51"/>
        <v>2.8397004155948178</v>
      </c>
      <c r="T184" s="4">
        <f t="shared" ca="1" si="52"/>
        <v>5.1311252653127287E-3</v>
      </c>
      <c r="U184" s="46">
        <f t="shared" ca="1" si="53"/>
        <v>1360.1639413314356</v>
      </c>
      <c r="V184" s="4">
        <f t="shared" ca="1" si="54"/>
        <v>2.4577140342007442</v>
      </c>
      <c r="W184" s="13">
        <f t="shared" ca="1" si="55"/>
        <v>7304.2435936137754</v>
      </c>
      <c r="X184" s="4">
        <f t="shared" ca="1" si="56"/>
        <v>13.198219305588173</v>
      </c>
      <c r="AE184" s="4"/>
    </row>
    <row r="185" spans="1:31">
      <c r="A185">
        <v>1</v>
      </c>
      <c r="B185">
        <v>1</v>
      </c>
      <c r="C185">
        <f t="shared" si="38"/>
        <v>4</v>
      </c>
      <c r="D185">
        <f t="shared" si="39"/>
        <v>2</v>
      </c>
      <c r="E185">
        <f t="shared" si="40"/>
        <v>1</v>
      </c>
      <c r="F185" s="100">
        <f t="shared" ca="1" si="41"/>
        <v>9.703225E-2</v>
      </c>
      <c r="G185">
        <v>1</v>
      </c>
      <c r="H185">
        <v>1</v>
      </c>
      <c r="I185">
        <v>0</v>
      </c>
      <c r="J185" s="1">
        <f t="shared" ca="1" si="42"/>
        <v>9.4050000000000172E-5</v>
      </c>
      <c r="K185" s="1">
        <f t="shared" ca="1" si="43"/>
        <v>9.1258831125000161E-6</v>
      </c>
      <c r="L185" s="13">
        <f t="shared" ca="1" si="44"/>
        <v>124</v>
      </c>
      <c r="M185" s="7">
        <f t="shared" ca="1" si="45"/>
        <v>876</v>
      </c>
      <c r="N185" s="44">
        <f t="shared" ca="1" si="46"/>
        <v>11</v>
      </c>
      <c r="O185" s="94">
        <f t="shared" ca="1" si="47"/>
        <v>2.8397004155948178</v>
      </c>
      <c r="P185" s="94">
        <f t="shared" ca="1" si="48"/>
        <v>28.397004155948181</v>
      </c>
      <c r="Q185" s="94">
        <f t="shared" ca="1" si="49"/>
        <v>28.397004155948181</v>
      </c>
      <c r="R185" s="94">
        <f t="shared" ca="1" si="50"/>
        <v>2.8397004155948182</v>
      </c>
      <c r="S185" s="94">
        <f t="shared" ca="1" si="51"/>
        <v>2.8397004155948178</v>
      </c>
      <c r="T185" s="4">
        <f t="shared" ca="1" si="52"/>
        <v>2.5914774067236025E-5</v>
      </c>
      <c r="U185" s="46">
        <f t="shared" ca="1" si="53"/>
        <v>1347.1639413314356</v>
      </c>
      <c r="V185" s="4">
        <f t="shared" ca="1" si="54"/>
        <v>1.2294060661965511E-2</v>
      </c>
      <c r="W185" s="13">
        <f t="shared" ca="1" si="55"/>
        <v>6469.4270995668048</v>
      </c>
      <c r="X185" s="4">
        <f t="shared" ca="1" si="56"/>
        <v>5.9039235515486663E-2</v>
      </c>
      <c r="AE185" s="4"/>
    </row>
    <row r="186" spans="1:31">
      <c r="A186">
        <v>1</v>
      </c>
      <c r="B186">
        <v>1</v>
      </c>
      <c r="C186">
        <f t="shared" si="38"/>
        <v>4</v>
      </c>
      <c r="D186">
        <f t="shared" si="39"/>
        <v>2</v>
      </c>
      <c r="E186">
        <f t="shared" si="40"/>
        <v>1</v>
      </c>
      <c r="F186" s="100">
        <f t="shared" ca="1" si="41"/>
        <v>9.703225E-2</v>
      </c>
      <c r="G186">
        <v>1</v>
      </c>
      <c r="H186">
        <v>0</v>
      </c>
      <c r="I186">
        <v>7</v>
      </c>
      <c r="J186" s="1">
        <f t="shared" ca="1" si="42"/>
        <v>0</v>
      </c>
      <c r="K186" s="1">
        <f t="shared" ca="1" si="43"/>
        <v>0</v>
      </c>
      <c r="L186" s="13">
        <f t="shared" ca="1" si="44"/>
        <v>153</v>
      </c>
      <c r="M186" s="7">
        <f t="shared" ca="1" si="45"/>
        <v>847</v>
      </c>
      <c r="N186" s="44">
        <f t="shared" ca="1" si="46"/>
        <v>11</v>
      </c>
      <c r="O186" s="94">
        <f t="shared" ca="1" si="47"/>
        <v>2.8397004155948178</v>
      </c>
      <c r="P186" s="94">
        <f t="shared" ca="1" si="48"/>
        <v>28.397004155948181</v>
      </c>
      <c r="Q186" s="94">
        <f t="shared" ca="1" si="49"/>
        <v>28.397004155948181</v>
      </c>
      <c r="R186" s="94">
        <f t="shared" ca="1" si="50"/>
        <v>2.8397004155948182</v>
      </c>
      <c r="S186" s="94">
        <f t="shared" ca="1" si="51"/>
        <v>2.8397004155948178</v>
      </c>
      <c r="T186" s="4">
        <f t="shared" ca="1" si="52"/>
        <v>0</v>
      </c>
      <c r="U186" s="46">
        <f t="shared" ca="1" si="53"/>
        <v>1376.1639413314356</v>
      </c>
      <c r="V186" s="4">
        <f t="shared" ca="1" si="54"/>
        <v>0</v>
      </c>
      <c r="W186" s="13">
        <f t="shared" ca="1" si="55"/>
        <v>11687.430916657584</v>
      </c>
      <c r="X186" s="4">
        <f t="shared" ca="1" si="56"/>
        <v>0</v>
      </c>
      <c r="AE186" s="4"/>
    </row>
    <row r="187" spans="1:31">
      <c r="A187">
        <v>1</v>
      </c>
      <c r="B187">
        <v>1</v>
      </c>
      <c r="C187">
        <f t="shared" si="38"/>
        <v>4</v>
      </c>
      <c r="D187">
        <f t="shared" si="39"/>
        <v>2</v>
      </c>
      <c r="E187">
        <f t="shared" si="40"/>
        <v>1</v>
      </c>
      <c r="F187" s="100">
        <f t="shared" ca="1" si="41"/>
        <v>9.703225E-2</v>
      </c>
      <c r="G187">
        <v>1</v>
      </c>
      <c r="H187">
        <v>0</v>
      </c>
      <c r="I187">
        <v>6</v>
      </c>
      <c r="J187" s="1">
        <f t="shared" ca="1" si="42"/>
        <v>0</v>
      </c>
      <c r="K187" s="1">
        <f t="shared" ca="1" si="43"/>
        <v>0</v>
      </c>
      <c r="L187" s="13">
        <f t="shared" ca="1" si="44"/>
        <v>140</v>
      </c>
      <c r="M187" s="7">
        <f t="shared" ca="1" si="45"/>
        <v>860</v>
      </c>
      <c r="N187" s="44">
        <f t="shared" ca="1" si="46"/>
        <v>11</v>
      </c>
      <c r="O187" s="94">
        <f t="shared" ca="1" si="47"/>
        <v>2.8397004155948178</v>
      </c>
      <c r="P187" s="94">
        <f t="shared" ca="1" si="48"/>
        <v>28.397004155948181</v>
      </c>
      <c r="Q187" s="94">
        <f t="shared" ca="1" si="49"/>
        <v>28.397004155948181</v>
      </c>
      <c r="R187" s="94">
        <f t="shared" ca="1" si="50"/>
        <v>2.8397004155948182</v>
      </c>
      <c r="S187" s="94">
        <f t="shared" ca="1" si="51"/>
        <v>2.8397004155948178</v>
      </c>
      <c r="T187" s="4">
        <f t="shared" ca="1" si="52"/>
        <v>0</v>
      </c>
      <c r="U187" s="46">
        <f t="shared" ca="1" si="53"/>
        <v>1363.1639413314356</v>
      </c>
      <c r="V187" s="4">
        <f t="shared" ca="1" si="54"/>
        <v>0</v>
      </c>
      <c r="W187" s="13">
        <f t="shared" ca="1" si="55"/>
        <v>10852.614422610615</v>
      </c>
      <c r="X187" s="4">
        <f t="shared" ca="1" si="56"/>
        <v>0</v>
      </c>
      <c r="AE187" s="4"/>
    </row>
    <row r="188" spans="1:31">
      <c r="A188">
        <v>1</v>
      </c>
      <c r="B188">
        <v>1</v>
      </c>
      <c r="C188">
        <f t="shared" si="38"/>
        <v>4</v>
      </c>
      <c r="D188">
        <f t="shared" si="39"/>
        <v>2</v>
      </c>
      <c r="E188">
        <f t="shared" si="40"/>
        <v>1</v>
      </c>
      <c r="F188" s="100">
        <f t="shared" ca="1" si="41"/>
        <v>9.703225E-2</v>
      </c>
      <c r="G188">
        <v>1</v>
      </c>
      <c r="H188">
        <v>0</v>
      </c>
      <c r="I188">
        <v>5</v>
      </c>
      <c r="J188" s="1">
        <f t="shared" ca="1" si="42"/>
        <v>0</v>
      </c>
      <c r="K188" s="1">
        <f t="shared" ca="1" si="43"/>
        <v>0</v>
      </c>
      <c r="L188" s="13">
        <f t="shared" ca="1" si="44"/>
        <v>127</v>
      </c>
      <c r="M188" s="7">
        <f t="shared" ca="1" si="45"/>
        <v>873</v>
      </c>
      <c r="N188" s="44">
        <f t="shared" ca="1" si="46"/>
        <v>11</v>
      </c>
      <c r="O188" s="94">
        <f t="shared" ca="1" si="47"/>
        <v>2.8397004155948178</v>
      </c>
      <c r="P188" s="94">
        <f t="shared" ca="1" si="48"/>
        <v>28.397004155948181</v>
      </c>
      <c r="Q188" s="94">
        <f t="shared" ca="1" si="49"/>
        <v>28.397004155948181</v>
      </c>
      <c r="R188" s="94">
        <f t="shared" ca="1" si="50"/>
        <v>2.8397004155948182</v>
      </c>
      <c r="S188" s="94">
        <f t="shared" ca="1" si="51"/>
        <v>2.8397004155948178</v>
      </c>
      <c r="T188" s="4">
        <f t="shared" ca="1" si="52"/>
        <v>0</v>
      </c>
      <c r="U188" s="46">
        <f t="shared" ca="1" si="53"/>
        <v>1350.1639413314356</v>
      </c>
      <c r="V188" s="4">
        <f t="shared" ca="1" si="54"/>
        <v>0</v>
      </c>
      <c r="W188" s="13">
        <f t="shared" ca="1" si="55"/>
        <v>10017.797928563645</v>
      </c>
      <c r="X188" s="4">
        <f t="shared" ca="1" si="56"/>
        <v>0</v>
      </c>
      <c r="AE188" s="4"/>
    </row>
    <row r="189" spans="1:31">
      <c r="A189">
        <v>1</v>
      </c>
      <c r="B189">
        <v>1</v>
      </c>
      <c r="C189">
        <f t="shared" si="38"/>
        <v>4</v>
      </c>
      <c r="D189">
        <f t="shared" si="39"/>
        <v>2</v>
      </c>
      <c r="E189">
        <f t="shared" si="40"/>
        <v>1</v>
      </c>
      <c r="F189" s="100">
        <f t="shared" ca="1" si="41"/>
        <v>9.703225E-2</v>
      </c>
      <c r="G189">
        <v>1</v>
      </c>
      <c r="H189">
        <v>0</v>
      </c>
      <c r="I189">
        <v>4</v>
      </c>
      <c r="J189" s="1">
        <f t="shared" ca="1" si="42"/>
        <v>0</v>
      </c>
      <c r="K189" s="1">
        <f t="shared" ca="1" si="43"/>
        <v>0</v>
      </c>
      <c r="L189" s="13">
        <f t="shared" ca="1" si="44"/>
        <v>114</v>
      </c>
      <c r="M189" s="7">
        <f t="shared" ca="1" si="45"/>
        <v>886</v>
      </c>
      <c r="N189" s="44">
        <f t="shared" ca="1" si="46"/>
        <v>12</v>
      </c>
      <c r="O189" s="94">
        <f t="shared" ca="1" si="47"/>
        <v>3.0624018806381534</v>
      </c>
      <c r="P189" s="94">
        <f t="shared" ca="1" si="48"/>
        <v>29.510511481164862</v>
      </c>
      <c r="Q189" s="94">
        <f t="shared" ca="1" si="49"/>
        <v>28.397004155948181</v>
      </c>
      <c r="R189" s="94">
        <f t="shared" ca="1" si="50"/>
        <v>2.8953757818556523</v>
      </c>
      <c r="S189" s="94">
        <f t="shared" ca="1" si="51"/>
        <v>3.0624018806381534</v>
      </c>
      <c r="T189" s="4">
        <f t="shared" ca="1" si="52"/>
        <v>0</v>
      </c>
      <c r="U189" s="46">
        <f t="shared" ca="1" si="53"/>
        <v>1418.7282638229713</v>
      </c>
      <c r="V189" s="4">
        <f t="shared" ca="1" si="54"/>
        <v>0</v>
      </c>
      <c r="W189" s="13">
        <f t="shared" ca="1" si="55"/>
        <v>9182.9814345166742</v>
      </c>
      <c r="X189" s="4">
        <f t="shared" ca="1" si="56"/>
        <v>0</v>
      </c>
      <c r="AE189" s="4"/>
    </row>
    <row r="190" spans="1:31">
      <c r="A190">
        <v>1</v>
      </c>
      <c r="B190">
        <v>1</v>
      </c>
      <c r="C190">
        <f t="shared" si="38"/>
        <v>4</v>
      </c>
      <c r="D190">
        <f t="shared" si="39"/>
        <v>2</v>
      </c>
      <c r="E190">
        <f t="shared" si="40"/>
        <v>1</v>
      </c>
      <c r="F190" s="100">
        <f t="shared" ca="1" si="41"/>
        <v>9.703225E-2</v>
      </c>
      <c r="G190">
        <v>1</v>
      </c>
      <c r="H190">
        <v>0</v>
      </c>
      <c r="I190">
        <v>3</v>
      </c>
      <c r="J190" s="1">
        <f t="shared" ca="1" si="42"/>
        <v>0</v>
      </c>
      <c r="K190" s="1">
        <f t="shared" ca="1" si="43"/>
        <v>0</v>
      </c>
      <c r="L190" s="13">
        <f t="shared" ca="1" si="44"/>
        <v>101</v>
      </c>
      <c r="M190" s="7">
        <f t="shared" ca="1" si="45"/>
        <v>899</v>
      </c>
      <c r="N190" s="44">
        <f t="shared" ca="1" si="46"/>
        <v>12</v>
      </c>
      <c r="O190" s="94">
        <f t="shared" ca="1" si="47"/>
        <v>3.0624018806381534</v>
      </c>
      <c r="P190" s="94">
        <f t="shared" ca="1" si="48"/>
        <v>30.624018806381528</v>
      </c>
      <c r="Q190" s="94">
        <f t="shared" ca="1" si="49"/>
        <v>30.178615876294863</v>
      </c>
      <c r="R190" s="94">
        <f t="shared" ca="1" si="50"/>
        <v>3.0401317341338197</v>
      </c>
      <c r="S190" s="94">
        <f t="shared" ca="1" si="51"/>
        <v>3.0624018806381534</v>
      </c>
      <c r="T190" s="4">
        <f t="shared" ca="1" si="52"/>
        <v>0</v>
      </c>
      <c r="U190" s="46">
        <f t="shared" ca="1" si="53"/>
        <v>1405.7282638229713</v>
      </c>
      <c r="V190" s="4">
        <f t="shared" ca="1" si="54"/>
        <v>0</v>
      </c>
      <c r="W190" s="13">
        <f t="shared" ca="1" si="55"/>
        <v>8348.1649404697037</v>
      </c>
      <c r="X190" s="4">
        <f t="shared" ca="1" si="56"/>
        <v>0</v>
      </c>
      <c r="AE190" s="4"/>
    </row>
    <row r="191" spans="1:31">
      <c r="A191">
        <v>1</v>
      </c>
      <c r="B191">
        <v>1</v>
      </c>
      <c r="C191">
        <f t="shared" si="38"/>
        <v>4</v>
      </c>
      <c r="D191">
        <f t="shared" si="39"/>
        <v>2</v>
      </c>
      <c r="E191">
        <f t="shared" si="40"/>
        <v>1</v>
      </c>
      <c r="F191" s="100">
        <f t="shared" ca="1" si="41"/>
        <v>9.703225E-2</v>
      </c>
      <c r="G191">
        <v>1</v>
      </c>
      <c r="H191">
        <v>0</v>
      </c>
      <c r="I191">
        <v>2</v>
      </c>
      <c r="J191" s="1">
        <f t="shared" ca="1" si="42"/>
        <v>9.3109500000000088E-3</v>
      </c>
      <c r="K191" s="1">
        <f t="shared" ca="1" si="43"/>
        <v>9.0346242813750088E-4</v>
      </c>
      <c r="L191" s="13">
        <f t="shared" ca="1" si="44"/>
        <v>88</v>
      </c>
      <c r="M191" s="7">
        <f t="shared" ca="1" si="45"/>
        <v>912</v>
      </c>
      <c r="N191" s="44">
        <f t="shared" ca="1" si="46"/>
        <v>12</v>
      </c>
      <c r="O191" s="94">
        <f t="shared" ca="1" si="47"/>
        <v>3.0624018806381534</v>
      </c>
      <c r="P191" s="94">
        <f t="shared" ca="1" si="48"/>
        <v>30.624018806381528</v>
      </c>
      <c r="Q191" s="94">
        <f t="shared" ca="1" si="49"/>
        <v>30.624018806381528</v>
      </c>
      <c r="R191" s="94">
        <f t="shared" ca="1" si="50"/>
        <v>3.062401880638153</v>
      </c>
      <c r="S191" s="94">
        <f t="shared" ca="1" si="51"/>
        <v>3.0624018806381534</v>
      </c>
      <c r="T191" s="4">
        <f t="shared" ca="1" si="52"/>
        <v>2.7667650390141951E-3</v>
      </c>
      <c r="U191" s="46">
        <f t="shared" ca="1" si="53"/>
        <v>1392.7282638229713</v>
      </c>
      <c r="V191" s="4">
        <f t="shared" ca="1" si="54"/>
        <v>1.2582776589692275</v>
      </c>
      <c r="W191" s="13">
        <f t="shared" ca="1" si="55"/>
        <v>7513.3484464227331</v>
      </c>
      <c r="X191" s="4">
        <f t="shared" ca="1" si="56"/>
        <v>6.7880280308482019</v>
      </c>
      <c r="AE191" s="4"/>
    </row>
    <row r="192" spans="1:31">
      <c r="A192">
        <v>1</v>
      </c>
      <c r="B192">
        <v>1</v>
      </c>
      <c r="C192">
        <f t="shared" si="38"/>
        <v>4</v>
      </c>
      <c r="D192">
        <f t="shared" si="39"/>
        <v>2</v>
      </c>
      <c r="E192">
        <f t="shared" si="40"/>
        <v>1</v>
      </c>
      <c r="F192" s="100">
        <f t="shared" ca="1" si="41"/>
        <v>9.703225E-2</v>
      </c>
      <c r="G192">
        <v>1</v>
      </c>
      <c r="H192">
        <v>0</v>
      </c>
      <c r="I192">
        <v>1</v>
      </c>
      <c r="J192" s="1">
        <f t="shared" ca="1" si="42"/>
        <v>1.8810000000000034E-4</v>
      </c>
      <c r="K192" s="1">
        <f t="shared" ca="1" si="43"/>
        <v>1.8251766225000032E-5</v>
      </c>
      <c r="L192" s="13">
        <f t="shared" ca="1" si="44"/>
        <v>75</v>
      </c>
      <c r="M192" s="7">
        <f t="shared" ca="1" si="45"/>
        <v>925</v>
      </c>
      <c r="N192" s="44">
        <f t="shared" ca="1" si="46"/>
        <v>12</v>
      </c>
      <c r="O192" s="94">
        <f t="shared" ca="1" si="47"/>
        <v>3.0624018806381534</v>
      </c>
      <c r="P192" s="94">
        <f t="shared" ca="1" si="48"/>
        <v>30.624018806381528</v>
      </c>
      <c r="Q192" s="94">
        <f t="shared" ca="1" si="49"/>
        <v>30.624018806381528</v>
      </c>
      <c r="R192" s="94">
        <f t="shared" ca="1" si="50"/>
        <v>3.062401880638153</v>
      </c>
      <c r="S192" s="94">
        <f t="shared" ca="1" si="51"/>
        <v>3.0624018806381534</v>
      </c>
      <c r="T192" s="4">
        <f t="shared" ca="1" si="52"/>
        <v>5.5894243212408028E-5</v>
      </c>
      <c r="U192" s="46">
        <f t="shared" ca="1" si="53"/>
        <v>1379.7282638229713</v>
      </c>
      <c r="V192" s="4">
        <f t="shared" ca="1" si="54"/>
        <v>2.518247772532204E-2</v>
      </c>
      <c r="W192" s="13">
        <f t="shared" ca="1" si="55"/>
        <v>6678.5319523757635</v>
      </c>
      <c r="X192" s="4">
        <f t="shared" ca="1" si="56"/>
        <v>0.12189500392095548</v>
      </c>
      <c r="AE192" s="4"/>
    </row>
    <row r="193" spans="1:31">
      <c r="A193">
        <v>1</v>
      </c>
      <c r="B193">
        <v>1</v>
      </c>
      <c r="C193">
        <f t="shared" si="38"/>
        <v>4</v>
      </c>
      <c r="D193">
        <f t="shared" si="39"/>
        <v>2</v>
      </c>
      <c r="E193">
        <f t="shared" si="40"/>
        <v>1</v>
      </c>
      <c r="F193" s="100">
        <f t="shared" ca="1" si="41"/>
        <v>9.703225E-2</v>
      </c>
      <c r="G193">
        <v>1</v>
      </c>
      <c r="H193">
        <v>0</v>
      </c>
      <c r="I193">
        <v>0</v>
      </c>
      <c r="J193" s="1">
        <f t="shared" ca="1" si="42"/>
        <v>9.5000000000000255E-7</v>
      </c>
      <c r="K193" s="1">
        <f t="shared" ca="1" si="43"/>
        <v>9.2180637500000243E-8</v>
      </c>
      <c r="L193" s="13">
        <f t="shared" ca="1" si="44"/>
        <v>62</v>
      </c>
      <c r="M193" s="7">
        <f t="shared" ca="1" si="45"/>
        <v>938</v>
      </c>
      <c r="N193" s="44">
        <f t="shared" ca="1" si="46"/>
        <v>12</v>
      </c>
      <c r="O193" s="94">
        <f t="shared" ca="1" si="47"/>
        <v>3.0624018806381534</v>
      </c>
      <c r="P193" s="94">
        <f t="shared" ca="1" si="48"/>
        <v>30.624018806381528</v>
      </c>
      <c r="Q193" s="94">
        <f t="shared" ca="1" si="49"/>
        <v>30.624018806381528</v>
      </c>
      <c r="R193" s="94">
        <f t="shared" ca="1" si="50"/>
        <v>3.062401880638153</v>
      </c>
      <c r="S193" s="94">
        <f t="shared" ca="1" si="51"/>
        <v>3.0624018806381534</v>
      </c>
      <c r="T193" s="4">
        <f t="shared" ca="1" si="52"/>
        <v>2.8229415763842463E-7</v>
      </c>
      <c r="U193" s="46">
        <f t="shared" ca="1" si="53"/>
        <v>1366.7282638229713</v>
      </c>
      <c r="V193" s="4">
        <f t="shared" ca="1" si="54"/>
        <v>1.2598588264847E-4</v>
      </c>
      <c r="W193" s="13">
        <f t="shared" ca="1" si="55"/>
        <v>5843.7154583287929</v>
      </c>
      <c r="X193" s="4">
        <f t="shared" ca="1" si="56"/>
        <v>5.3867741631735428E-4</v>
      </c>
      <c r="AE193" s="4"/>
    </row>
    <row r="194" spans="1:31">
      <c r="A194">
        <v>1</v>
      </c>
      <c r="B194">
        <v>1</v>
      </c>
      <c r="C194">
        <f t="shared" si="38"/>
        <v>4</v>
      </c>
      <c r="D194">
        <f t="shared" si="39"/>
        <v>2</v>
      </c>
      <c r="E194">
        <f t="shared" si="40"/>
        <v>1</v>
      </c>
      <c r="F194" s="100">
        <f t="shared" ca="1" si="41"/>
        <v>9.703225E-2</v>
      </c>
      <c r="G194">
        <v>0</v>
      </c>
      <c r="H194">
        <v>1</v>
      </c>
      <c r="I194">
        <v>7</v>
      </c>
      <c r="J194" s="1">
        <f t="shared" ca="1" si="42"/>
        <v>0</v>
      </c>
      <c r="K194" s="1">
        <f t="shared" ca="1" si="43"/>
        <v>0</v>
      </c>
      <c r="L194" s="13">
        <f t="shared" ca="1" si="44"/>
        <v>153</v>
      </c>
      <c r="M194" s="7">
        <f t="shared" ca="1" si="45"/>
        <v>847</v>
      </c>
      <c r="N194" s="44">
        <f t="shared" ca="1" si="46"/>
        <v>11</v>
      </c>
      <c r="O194" s="94">
        <f t="shared" ca="1" si="47"/>
        <v>2.8397004155948178</v>
      </c>
      <c r="P194" s="94">
        <f t="shared" ca="1" si="48"/>
        <v>28.397004155948181</v>
      </c>
      <c r="Q194" s="94">
        <f t="shared" ca="1" si="49"/>
        <v>28.397004155948181</v>
      </c>
      <c r="R194" s="94">
        <f t="shared" ca="1" si="50"/>
        <v>2.8397004155948182</v>
      </c>
      <c r="S194" s="94">
        <f t="shared" ca="1" si="51"/>
        <v>2.8397004155948178</v>
      </c>
      <c r="T194" s="4">
        <f t="shared" ca="1" si="52"/>
        <v>0</v>
      </c>
      <c r="U194" s="46">
        <f t="shared" ca="1" si="53"/>
        <v>1376.1639413314356</v>
      </c>
      <c r="V194" s="4">
        <f t="shared" ca="1" si="54"/>
        <v>0</v>
      </c>
      <c r="W194" s="13">
        <f t="shared" ca="1" si="55"/>
        <v>6469.4270995668039</v>
      </c>
      <c r="X194" s="4">
        <f t="shared" ca="1" si="56"/>
        <v>0</v>
      </c>
      <c r="AE194" s="4"/>
    </row>
    <row r="195" spans="1:31">
      <c r="A195">
        <v>1</v>
      </c>
      <c r="B195">
        <v>1</v>
      </c>
      <c r="C195">
        <f t="shared" si="38"/>
        <v>4</v>
      </c>
      <c r="D195">
        <f t="shared" si="39"/>
        <v>2</v>
      </c>
      <c r="E195">
        <f t="shared" si="40"/>
        <v>1</v>
      </c>
      <c r="F195" s="100">
        <f t="shared" ca="1" si="41"/>
        <v>9.703225E-2</v>
      </c>
      <c r="G195">
        <v>0</v>
      </c>
      <c r="H195">
        <v>1</v>
      </c>
      <c r="I195">
        <v>6</v>
      </c>
      <c r="J195" s="1">
        <f t="shared" ca="1" si="42"/>
        <v>0</v>
      </c>
      <c r="K195" s="1">
        <f t="shared" ca="1" si="43"/>
        <v>0</v>
      </c>
      <c r="L195" s="13">
        <f t="shared" ca="1" si="44"/>
        <v>140</v>
      </c>
      <c r="M195" s="7">
        <f t="shared" ca="1" si="45"/>
        <v>860</v>
      </c>
      <c r="N195" s="44">
        <f t="shared" ca="1" si="46"/>
        <v>11</v>
      </c>
      <c r="O195" s="94">
        <f t="shared" ca="1" si="47"/>
        <v>2.8397004155948178</v>
      </c>
      <c r="P195" s="94">
        <f t="shared" ca="1" si="48"/>
        <v>28.397004155948181</v>
      </c>
      <c r="Q195" s="94">
        <f t="shared" ca="1" si="49"/>
        <v>28.397004155948181</v>
      </c>
      <c r="R195" s="94">
        <f t="shared" ca="1" si="50"/>
        <v>2.8397004155948182</v>
      </c>
      <c r="S195" s="94">
        <f t="shared" ca="1" si="51"/>
        <v>2.8397004155948178</v>
      </c>
      <c r="T195" s="4">
        <f t="shared" ca="1" si="52"/>
        <v>0</v>
      </c>
      <c r="U195" s="46">
        <f t="shared" ca="1" si="53"/>
        <v>1363.1639413314356</v>
      </c>
      <c r="V195" s="4">
        <f t="shared" ca="1" si="54"/>
        <v>0</v>
      </c>
      <c r="W195" s="13">
        <f t="shared" ca="1" si="55"/>
        <v>5634.6106055198334</v>
      </c>
      <c r="X195" s="4">
        <f t="shared" ca="1" si="56"/>
        <v>0</v>
      </c>
      <c r="AE195" s="4"/>
    </row>
    <row r="196" spans="1:31">
      <c r="A196">
        <v>1</v>
      </c>
      <c r="B196">
        <v>1</v>
      </c>
      <c r="C196">
        <f t="shared" si="38"/>
        <v>4</v>
      </c>
      <c r="D196">
        <f t="shared" si="39"/>
        <v>2</v>
      </c>
      <c r="E196">
        <f t="shared" si="40"/>
        <v>1</v>
      </c>
      <c r="F196" s="100">
        <f t="shared" ca="1" si="41"/>
        <v>9.703225E-2</v>
      </c>
      <c r="G196">
        <v>0</v>
      </c>
      <c r="H196">
        <v>1</v>
      </c>
      <c r="I196">
        <v>5</v>
      </c>
      <c r="J196" s="1">
        <f t="shared" ca="1" si="42"/>
        <v>0</v>
      </c>
      <c r="K196" s="1">
        <f t="shared" ca="1" si="43"/>
        <v>0</v>
      </c>
      <c r="L196" s="13">
        <f t="shared" ca="1" si="44"/>
        <v>127</v>
      </c>
      <c r="M196" s="7">
        <f t="shared" ca="1" si="45"/>
        <v>873</v>
      </c>
      <c r="N196" s="44">
        <f t="shared" ca="1" si="46"/>
        <v>11</v>
      </c>
      <c r="O196" s="94">
        <f t="shared" ca="1" si="47"/>
        <v>2.8397004155948178</v>
      </c>
      <c r="P196" s="94">
        <f t="shared" ca="1" si="48"/>
        <v>28.397004155948181</v>
      </c>
      <c r="Q196" s="94">
        <f t="shared" ca="1" si="49"/>
        <v>28.397004155948181</v>
      </c>
      <c r="R196" s="94">
        <f t="shared" ca="1" si="50"/>
        <v>2.8397004155948182</v>
      </c>
      <c r="S196" s="94">
        <f t="shared" ca="1" si="51"/>
        <v>2.8397004155948178</v>
      </c>
      <c r="T196" s="4">
        <f t="shared" ca="1" si="52"/>
        <v>0</v>
      </c>
      <c r="U196" s="46">
        <f t="shared" ca="1" si="53"/>
        <v>1350.1639413314356</v>
      </c>
      <c r="V196" s="4">
        <f t="shared" ca="1" si="54"/>
        <v>0</v>
      </c>
      <c r="W196" s="13">
        <f t="shared" ca="1" si="55"/>
        <v>4799.7941114728637</v>
      </c>
      <c r="X196" s="4">
        <f t="shared" ca="1" si="56"/>
        <v>0</v>
      </c>
      <c r="AE196" s="4"/>
    </row>
    <row r="197" spans="1:31">
      <c r="A197">
        <v>1</v>
      </c>
      <c r="B197">
        <v>1</v>
      </c>
      <c r="C197">
        <f t="shared" si="38"/>
        <v>4</v>
      </c>
      <c r="D197">
        <f t="shared" si="39"/>
        <v>2</v>
      </c>
      <c r="E197">
        <f t="shared" si="40"/>
        <v>1</v>
      </c>
      <c r="F197" s="100">
        <f t="shared" ca="1" si="41"/>
        <v>9.703225E-2</v>
      </c>
      <c r="G197">
        <v>0</v>
      </c>
      <c r="H197">
        <v>1</v>
      </c>
      <c r="I197">
        <v>4</v>
      </c>
      <c r="J197" s="1">
        <f t="shared" ca="1" si="42"/>
        <v>0</v>
      </c>
      <c r="K197" s="1">
        <f t="shared" ca="1" si="43"/>
        <v>0</v>
      </c>
      <c r="L197" s="13">
        <f t="shared" ca="1" si="44"/>
        <v>114</v>
      </c>
      <c r="M197" s="7">
        <f t="shared" ca="1" si="45"/>
        <v>886</v>
      </c>
      <c r="N197" s="44">
        <f t="shared" ca="1" si="46"/>
        <v>12</v>
      </c>
      <c r="O197" s="94">
        <f t="shared" ca="1" si="47"/>
        <v>3.0624018806381534</v>
      </c>
      <c r="P197" s="94">
        <f t="shared" ca="1" si="48"/>
        <v>29.510511481164862</v>
      </c>
      <c r="Q197" s="94">
        <f t="shared" ca="1" si="49"/>
        <v>28.397004155948181</v>
      </c>
      <c r="R197" s="94">
        <f t="shared" ca="1" si="50"/>
        <v>2.8953757818556523</v>
      </c>
      <c r="S197" s="94">
        <f t="shared" ca="1" si="51"/>
        <v>3.0624018806381534</v>
      </c>
      <c r="T197" s="4">
        <f t="shared" ca="1" si="52"/>
        <v>0</v>
      </c>
      <c r="U197" s="46">
        <f t="shared" ca="1" si="53"/>
        <v>1418.7282638229713</v>
      </c>
      <c r="V197" s="4">
        <f t="shared" ca="1" si="54"/>
        <v>0</v>
      </c>
      <c r="W197" s="13">
        <f t="shared" ca="1" si="55"/>
        <v>3964.9776174258936</v>
      </c>
      <c r="X197" s="4">
        <f t="shared" ca="1" si="56"/>
        <v>0</v>
      </c>
      <c r="AE197" s="4"/>
    </row>
    <row r="198" spans="1:31">
      <c r="A198">
        <v>1</v>
      </c>
      <c r="B198">
        <v>1</v>
      </c>
      <c r="C198">
        <f t="shared" si="38"/>
        <v>4</v>
      </c>
      <c r="D198">
        <f t="shared" si="39"/>
        <v>2</v>
      </c>
      <c r="E198">
        <f t="shared" si="40"/>
        <v>1</v>
      </c>
      <c r="F198" s="100">
        <f t="shared" ca="1" si="41"/>
        <v>9.703225E-2</v>
      </c>
      <c r="G198">
        <v>0</v>
      </c>
      <c r="H198">
        <v>1</v>
      </c>
      <c r="I198">
        <v>3</v>
      </c>
      <c r="J198" s="1">
        <f t="shared" ca="1" si="42"/>
        <v>0</v>
      </c>
      <c r="K198" s="1">
        <f t="shared" ca="1" si="43"/>
        <v>0</v>
      </c>
      <c r="L198" s="13">
        <f t="shared" ca="1" si="44"/>
        <v>101</v>
      </c>
      <c r="M198" s="7">
        <f t="shared" ca="1" si="45"/>
        <v>899</v>
      </c>
      <c r="N198" s="44">
        <f t="shared" ca="1" si="46"/>
        <v>12</v>
      </c>
      <c r="O198" s="94">
        <f t="shared" ca="1" si="47"/>
        <v>3.0624018806381534</v>
      </c>
      <c r="P198" s="94">
        <f t="shared" ca="1" si="48"/>
        <v>30.624018806381528</v>
      </c>
      <c r="Q198" s="94">
        <f t="shared" ca="1" si="49"/>
        <v>30.178615876294863</v>
      </c>
      <c r="R198" s="94">
        <f t="shared" ca="1" si="50"/>
        <v>3.0401317341338197</v>
      </c>
      <c r="S198" s="94">
        <f t="shared" ca="1" si="51"/>
        <v>3.0624018806381534</v>
      </c>
      <c r="T198" s="4">
        <f t="shared" ca="1" si="52"/>
        <v>0</v>
      </c>
      <c r="U198" s="46">
        <f t="shared" ca="1" si="53"/>
        <v>1405.7282638229713</v>
      </c>
      <c r="V198" s="4">
        <f t="shared" ca="1" si="54"/>
        <v>0</v>
      </c>
      <c r="W198" s="13">
        <f t="shared" ca="1" si="55"/>
        <v>3130.1611233789231</v>
      </c>
      <c r="X198" s="4">
        <f t="shared" ca="1" si="56"/>
        <v>0</v>
      </c>
      <c r="AE198" s="4"/>
    </row>
    <row r="199" spans="1:31">
      <c r="A199">
        <v>1</v>
      </c>
      <c r="B199">
        <v>1</v>
      </c>
      <c r="C199">
        <f t="shared" si="38"/>
        <v>4</v>
      </c>
      <c r="D199">
        <f t="shared" si="39"/>
        <v>2</v>
      </c>
      <c r="E199">
        <f t="shared" si="40"/>
        <v>1</v>
      </c>
      <c r="F199" s="100">
        <f t="shared" ca="1" si="41"/>
        <v>9.703225E-2</v>
      </c>
      <c r="G199">
        <v>0</v>
      </c>
      <c r="H199">
        <v>1</v>
      </c>
      <c r="I199">
        <v>2</v>
      </c>
      <c r="J199" s="1">
        <f t="shared" ca="1" si="42"/>
        <v>4.8514950000000001E-2</v>
      </c>
      <c r="K199" s="1">
        <f t="shared" ca="1" si="43"/>
        <v>4.7075147571374997E-3</v>
      </c>
      <c r="L199" s="13">
        <f t="shared" ca="1" si="44"/>
        <v>88</v>
      </c>
      <c r="M199" s="7">
        <f t="shared" ca="1" si="45"/>
        <v>912</v>
      </c>
      <c r="N199" s="44">
        <f t="shared" ca="1" si="46"/>
        <v>12</v>
      </c>
      <c r="O199" s="94">
        <f t="shared" ca="1" si="47"/>
        <v>3.0624018806381534</v>
      </c>
      <c r="P199" s="94">
        <f t="shared" ca="1" si="48"/>
        <v>30.624018806381528</v>
      </c>
      <c r="Q199" s="94">
        <f t="shared" ca="1" si="49"/>
        <v>30.624018806381528</v>
      </c>
      <c r="R199" s="94">
        <f t="shared" ca="1" si="50"/>
        <v>3.062401880638153</v>
      </c>
      <c r="S199" s="94">
        <f t="shared" ca="1" si="51"/>
        <v>3.0624018806381534</v>
      </c>
      <c r="T199" s="4">
        <f t="shared" ca="1" si="52"/>
        <v>1.4416302045389739E-2</v>
      </c>
      <c r="U199" s="46">
        <f t="shared" ca="1" si="53"/>
        <v>1392.7282638229713</v>
      </c>
      <c r="V199" s="4">
        <f t="shared" ca="1" si="54"/>
        <v>6.556288854629126</v>
      </c>
      <c r="W199" s="13">
        <f t="shared" ca="1" si="55"/>
        <v>2295.344629331953</v>
      </c>
      <c r="X199" s="4">
        <f t="shared" ca="1" si="56"/>
        <v>10.805368715296472</v>
      </c>
      <c r="AE199" s="4"/>
    </row>
    <row r="200" spans="1:31">
      <c r="A200">
        <v>1</v>
      </c>
      <c r="B200">
        <v>1</v>
      </c>
      <c r="C200">
        <f t="shared" si="38"/>
        <v>4</v>
      </c>
      <c r="D200">
        <f t="shared" si="39"/>
        <v>2</v>
      </c>
      <c r="E200">
        <f t="shared" si="40"/>
        <v>1</v>
      </c>
      <c r="F200" s="100">
        <f t="shared" ca="1" si="41"/>
        <v>9.703225E-2</v>
      </c>
      <c r="G200">
        <v>0</v>
      </c>
      <c r="H200">
        <v>1</v>
      </c>
      <c r="I200">
        <v>1</v>
      </c>
      <c r="J200" s="1">
        <f t="shared" ca="1" si="42"/>
        <v>9.8010000000000089E-4</v>
      </c>
      <c r="K200" s="1">
        <f t="shared" ca="1" si="43"/>
        <v>9.5101308225000085E-5</v>
      </c>
      <c r="L200" s="13">
        <f t="shared" ca="1" si="44"/>
        <v>75</v>
      </c>
      <c r="M200" s="7">
        <f t="shared" ca="1" si="45"/>
        <v>925</v>
      </c>
      <c r="N200" s="44">
        <f t="shared" ca="1" si="46"/>
        <v>12</v>
      </c>
      <c r="O200" s="94">
        <f t="shared" ca="1" si="47"/>
        <v>3.0624018806381534</v>
      </c>
      <c r="P200" s="94">
        <f t="shared" ca="1" si="48"/>
        <v>30.624018806381528</v>
      </c>
      <c r="Q200" s="94">
        <f t="shared" ca="1" si="49"/>
        <v>30.624018806381528</v>
      </c>
      <c r="R200" s="94">
        <f t="shared" ca="1" si="50"/>
        <v>3.062401880638153</v>
      </c>
      <c r="S200" s="94">
        <f t="shared" ca="1" si="51"/>
        <v>3.0624018806381534</v>
      </c>
      <c r="T200" s="4">
        <f t="shared" ca="1" si="52"/>
        <v>2.9123842515938896E-4</v>
      </c>
      <c r="U200" s="46">
        <f t="shared" ca="1" si="53"/>
        <v>1379.7282638229713</v>
      </c>
      <c r="V200" s="4">
        <f t="shared" ca="1" si="54"/>
        <v>0.13121396288457263</v>
      </c>
      <c r="W200" s="13">
        <f t="shared" ca="1" si="55"/>
        <v>1460.5281352849825</v>
      </c>
      <c r="X200" s="4">
        <f t="shared" ca="1" si="56"/>
        <v>0.13889813636502174</v>
      </c>
      <c r="AE200" s="4"/>
    </row>
    <row r="201" spans="1:31">
      <c r="A201">
        <v>1</v>
      </c>
      <c r="B201">
        <v>1</v>
      </c>
      <c r="C201">
        <f t="shared" si="38"/>
        <v>4</v>
      </c>
      <c r="D201">
        <f t="shared" si="39"/>
        <v>2</v>
      </c>
      <c r="E201">
        <f t="shared" si="40"/>
        <v>1</v>
      </c>
      <c r="F201" s="100">
        <f t="shared" ca="1" si="41"/>
        <v>9.703225E-2</v>
      </c>
      <c r="G201">
        <v>0</v>
      </c>
      <c r="H201">
        <v>1</v>
      </c>
      <c r="I201">
        <v>0</v>
      </c>
      <c r="J201" s="1">
        <f t="shared" ca="1" si="42"/>
        <v>4.9500000000000094E-6</v>
      </c>
      <c r="K201" s="1">
        <f t="shared" ca="1" si="43"/>
        <v>4.803096375000009E-7</v>
      </c>
      <c r="L201" s="13">
        <f t="shared" ca="1" si="44"/>
        <v>62</v>
      </c>
      <c r="M201" s="7">
        <f t="shared" ca="1" si="45"/>
        <v>938</v>
      </c>
      <c r="N201" s="44">
        <f t="shared" ca="1" si="46"/>
        <v>12</v>
      </c>
      <c r="O201" s="94">
        <f t="shared" ca="1" si="47"/>
        <v>3.0624018806381534</v>
      </c>
      <c r="P201" s="94">
        <f t="shared" ca="1" si="48"/>
        <v>30.624018806381528</v>
      </c>
      <c r="Q201" s="94">
        <f t="shared" ca="1" si="49"/>
        <v>30.624018806381528</v>
      </c>
      <c r="R201" s="94">
        <f t="shared" ca="1" si="50"/>
        <v>3.062401880638153</v>
      </c>
      <c r="S201" s="94">
        <f t="shared" ca="1" si="51"/>
        <v>3.0624018806381534</v>
      </c>
      <c r="T201" s="4">
        <f t="shared" ca="1" si="52"/>
        <v>1.4709011371686326E-6</v>
      </c>
      <c r="U201" s="46">
        <f t="shared" ca="1" si="53"/>
        <v>1366.7282638229713</v>
      </c>
      <c r="V201" s="4">
        <f t="shared" ca="1" si="54"/>
        <v>6.5645275695781693E-4</v>
      </c>
      <c r="W201" s="13">
        <f t="shared" ca="1" si="55"/>
        <v>625.71164123801225</v>
      </c>
      <c r="X201" s="4">
        <f t="shared" ca="1" si="56"/>
        <v>3.0053533158256029E-4</v>
      </c>
      <c r="AE201" s="4"/>
    </row>
    <row r="202" spans="1:31">
      <c r="A202">
        <v>1</v>
      </c>
      <c r="B202">
        <v>1</v>
      </c>
      <c r="C202">
        <f t="shared" si="38"/>
        <v>4</v>
      </c>
      <c r="D202">
        <f t="shared" si="39"/>
        <v>2</v>
      </c>
      <c r="E202">
        <f t="shared" si="40"/>
        <v>1</v>
      </c>
      <c r="F202" s="100">
        <f t="shared" ca="1" si="41"/>
        <v>9.703225E-2</v>
      </c>
      <c r="G202">
        <v>0</v>
      </c>
      <c r="H202">
        <v>0</v>
      </c>
      <c r="I202">
        <v>7</v>
      </c>
      <c r="J202" s="1">
        <f t="shared" ca="1" si="42"/>
        <v>0</v>
      </c>
      <c r="K202" s="1">
        <f t="shared" ca="1" si="43"/>
        <v>0</v>
      </c>
      <c r="L202" s="13">
        <f t="shared" ca="1" si="44"/>
        <v>91</v>
      </c>
      <c r="M202" s="7">
        <f t="shared" ca="1" si="45"/>
        <v>909</v>
      </c>
      <c r="N202" s="44">
        <f t="shared" ca="1" si="46"/>
        <v>12</v>
      </c>
      <c r="O202" s="94">
        <f t="shared" ca="1" si="47"/>
        <v>3.0624018806381534</v>
      </c>
      <c r="P202" s="94">
        <f t="shared" ca="1" si="48"/>
        <v>30.624018806381528</v>
      </c>
      <c r="Q202" s="94">
        <f t="shared" ca="1" si="49"/>
        <v>30.624018806381528</v>
      </c>
      <c r="R202" s="94">
        <f t="shared" ca="1" si="50"/>
        <v>3.062401880638153</v>
      </c>
      <c r="S202" s="94">
        <f t="shared" ca="1" si="51"/>
        <v>3.0624018806381534</v>
      </c>
      <c r="T202" s="4">
        <f t="shared" ca="1" si="52"/>
        <v>0</v>
      </c>
      <c r="U202" s="46">
        <f t="shared" ca="1" si="53"/>
        <v>1395.7282638229713</v>
      </c>
      <c r="V202" s="4">
        <f t="shared" ca="1" si="54"/>
        <v>0</v>
      </c>
      <c r="W202" s="13">
        <f t="shared" ca="1" si="55"/>
        <v>5843.715458328792</v>
      </c>
      <c r="X202" s="4">
        <f t="shared" ca="1" si="56"/>
        <v>0</v>
      </c>
      <c r="AE202" s="4"/>
    </row>
    <row r="203" spans="1:31">
      <c r="A203">
        <v>1</v>
      </c>
      <c r="B203">
        <v>1</v>
      </c>
      <c r="C203">
        <f t="shared" si="38"/>
        <v>4</v>
      </c>
      <c r="D203">
        <f t="shared" si="39"/>
        <v>2</v>
      </c>
      <c r="E203">
        <f t="shared" si="40"/>
        <v>1</v>
      </c>
      <c r="F203" s="100">
        <f t="shared" ca="1" si="41"/>
        <v>9.703225E-2</v>
      </c>
      <c r="G203">
        <v>0</v>
      </c>
      <c r="H203">
        <v>0</v>
      </c>
      <c r="I203">
        <v>6</v>
      </c>
      <c r="J203" s="1">
        <f t="shared" ca="1" si="42"/>
        <v>0</v>
      </c>
      <c r="K203" s="1">
        <f t="shared" ca="1" si="43"/>
        <v>0</v>
      </c>
      <c r="L203" s="13">
        <f t="shared" ca="1" si="44"/>
        <v>78</v>
      </c>
      <c r="M203" s="7">
        <f t="shared" ca="1" si="45"/>
        <v>922</v>
      </c>
      <c r="N203" s="44">
        <f t="shared" ca="1" si="46"/>
        <v>12</v>
      </c>
      <c r="O203" s="94">
        <f t="shared" ca="1" si="47"/>
        <v>3.0624018806381534</v>
      </c>
      <c r="P203" s="94">
        <f t="shared" ca="1" si="48"/>
        <v>30.624018806381528</v>
      </c>
      <c r="Q203" s="94">
        <f t="shared" ca="1" si="49"/>
        <v>30.624018806381528</v>
      </c>
      <c r="R203" s="94">
        <f t="shared" ca="1" si="50"/>
        <v>3.062401880638153</v>
      </c>
      <c r="S203" s="94">
        <f t="shared" ca="1" si="51"/>
        <v>3.0624018806381534</v>
      </c>
      <c r="T203" s="4">
        <f t="shared" ca="1" si="52"/>
        <v>0</v>
      </c>
      <c r="U203" s="46">
        <f t="shared" ca="1" si="53"/>
        <v>1382.7282638229713</v>
      </c>
      <c r="V203" s="4">
        <f t="shared" ca="1" si="54"/>
        <v>0</v>
      </c>
      <c r="W203" s="13">
        <f t="shared" ca="1" si="55"/>
        <v>5008.8989642818215</v>
      </c>
      <c r="X203" s="4">
        <f t="shared" ca="1" si="56"/>
        <v>0</v>
      </c>
      <c r="AE203" s="4"/>
    </row>
    <row r="204" spans="1:31">
      <c r="A204">
        <v>1</v>
      </c>
      <c r="B204">
        <v>1</v>
      </c>
      <c r="C204">
        <f t="shared" si="38"/>
        <v>4</v>
      </c>
      <c r="D204">
        <f t="shared" si="39"/>
        <v>2</v>
      </c>
      <c r="E204">
        <f t="shared" si="40"/>
        <v>1</v>
      </c>
      <c r="F204" s="100">
        <f t="shared" ca="1" si="41"/>
        <v>9.703225E-2</v>
      </c>
      <c r="G204">
        <v>0</v>
      </c>
      <c r="H204">
        <v>0</v>
      </c>
      <c r="I204">
        <v>5</v>
      </c>
      <c r="J204" s="1">
        <f t="shared" ca="1" si="42"/>
        <v>0</v>
      </c>
      <c r="K204" s="1">
        <f t="shared" ca="1" si="43"/>
        <v>0</v>
      </c>
      <c r="L204" s="13">
        <f t="shared" ca="1" si="44"/>
        <v>65</v>
      </c>
      <c r="M204" s="7">
        <f t="shared" ca="1" si="45"/>
        <v>935</v>
      </c>
      <c r="N204" s="44">
        <f t="shared" ca="1" si="46"/>
        <v>12</v>
      </c>
      <c r="O204" s="94">
        <f t="shared" ca="1" si="47"/>
        <v>3.0624018806381534</v>
      </c>
      <c r="P204" s="94">
        <f t="shared" ca="1" si="48"/>
        <v>30.624018806381528</v>
      </c>
      <c r="Q204" s="94">
        <f t="shared" ca="1" si="49"/>
        <v>30.624018806381528</v>
      </c>
      <c r="R204" s="94">
        <f t="shared" ca="1" si="50"/>
        <v>3.062401880638153</v>
      </c>
      <c r="S204" s="94">
        <f t="shared" ca="1" si="51"/>
        <v>3.0624018806381534</v>
      </c>
      <c r="T204" s="4">
        <f t="shared" ca="1" si="52"/>
        <v>0</v>
      </c>
      <c r="U204" s="46">
        <f t="shared" ca="1" si="53"/>
        <v>1369.7282638229713</v>
      </c>
      <c r="V204" s="4">
        <f t="shared" ca="1" si="54"/>
        <v>0</v>
      </c>
      <c r="W204" s="13">
        <f t="shared" ca="1" si="55"/>
        <v>4174.0824702348518</v>
      </c>
      <c r="X204" s="4">
        <f t="shared" ca="1" si="56"/>
        <v>0</v>
      </c>
      <c r="AE204" s="4"/>
    </row>
    <row r="205" spans="1:31">
      <c r="A205">
        <v>1</v>
      </c>
      <c r="B205">
        <v>1</v>
      </c>
      <c r="C205">
        <f t="shared" si="38"/>
        <v>4</v>
      </c>
      <c r="D205">
        <f t="shared" si="39"/>
        <v>2</v>
      </c>
      <c r="E205">
        <f t="shared" si="40"/>
        <v>1</v>
      </c>
      <c r="F205" s="100">
        <f t="shared" ca="1" si="41"/>
        <v>9.703225E-2</v>
      </c>
      <c r="G205">
        <v>0</v>
      </c>
      <c r="H205">
        <v>0</v>
      </c>
      <c r="I205">
        <v>4</v>
      </c>
      <c r="J205" s="1">
        <f t="shared" ca="1" si="42"/>
        <v>0</v>
      </c>
      <c r="K205" s="1">
        <f t="shared" ca="1" si="43"/>
        <v>0</v>
      </c>
      <c r="L205" s="13">
        <f t="shared" ca="1" si="44"/>
        <v>52</v>
      </c>
      <c r="M205" s="7">
        <f t="shared" ca="1" si="45"/>
        <v>948</v>
      </c>
      <c r="N205" s="44">
        <f t="shared" ca="1" si="46"/>
        <v>12</v>
      </c>
      <c r="O205" s="94">
        <f t="shared" ca="1" si="47"/>
        <v>3.0624018806381534</v>
      </c>
      <c r="P205" s="94">
        <f t="shared" ca="1" si="48"/>
        <v>30.624018806381528</v>
      </c>
      <c r="Q205" s="94">
        <f t="shared" ca="1" si="49"/>
        <v>30.624018806381528</v>
      </c>
      <c r="R205" s="94">
        <f t="shared" ca="1" si="50"/>
        <v>3.062401880638153</v>
      </c>
      <c r="S205" s="94">
        <f t="shared" ca="1" si="51"/>
        <v>3.0624018806381534</v>
      </c>
      <c r="T205" s="4">
        <f t="shared" ca="1" si="52"/>
        <v>0</v>
      </c>
      <c r="U205" s="46">
        <f t="shared" ca="1" si="53"/>
        <v>1356.7282638229713</v>
      </c>
      <c r="V205" s="4">
        <f t="shared" ca="1" si="54"/>
        <v>0</v>
      </c>
      <c r="W205" s="13">
        <f t="shared" ca="1" si="55"/>
        <v>3339.2659761878813</v>
      </c>
      <c r="X205" s="4">
        <f t="shared" ca="1" si="56"/>
        <v>0</v>
      </c>
      <c r="AE205" s="4"/>
    </row>
    <row r="206" spans="1:31">
      <c r="A206">
        <v>1</v>
      </c>
      <c r="B206">
        <v>1</v>
      </c>
      <c r="C206">
        <f t="shared" si="38"/>
        <v>4</v>
      </c>
      <c r="D206">
        <f t="shared" si="39"/>
        <v>2</v>
      </c>
      <c r="E206">
        <f t="shared" si="40"/>
        <v>1</v>
      </c>
      <c r="F206" s="100">
        <f t="shared" ca="1" si="41"/>
        <v>9.703225E-2</v>
      </c>
      <c r="G206">
        <v>0</v>
      </c>
      <c r="H206">
        <v>0</v>
      </c>
      <c r="I206">
        <v>3</v>
      </c>
      <c r="J206" s="1">
        <f t="shared" ca="1" si="42"/>
        <v>0</v>
      </c>
      <c r="K206" s="1">
        <f t="shared" ca="1" si="43"/>
        <v>0</v>
      </c>
      <c r="L206" s="13">
        <f t="shared" ca="1" si="44"/>
        <v>39</v>
      </c>
      <c r="M206" s="7">
        <f t="shared" ca="1" si="45"/>
        <v>961</v>
      </c>
      <c r="N206" s="44">
        <f t="shared" ca="1" si="46"/>
        <v>13</v>
      </c>
      <c r="O206" s="94">
        <f t="shared" ca="1" si="47"/>
        <v>3.2733204919050856</v>
      </c>
      <c r="P206" s="94">
        <f t="shared" ca="1" si="48"/>
        <v>30.624018806381528</v>
      </c>
      <c r="Q206" s="94">
        <f t="shared" ca="1" si="49"/>
        <v>30.624018806381528</v>
      </c>
      <c r="R206" s="94">
        <f t="shared" ca="1" si="50"/>
        <v>3.062401880638153</v>
      </c>
      <c r="S206" s="94">
        <f t="shared" ca="1" si="51"/>
        <v>3.2733204919050856</v>
      </c>
      <c r="T206" s="4">
        <f t="shared" ca="1" si="52"/>
        <v>0</v>
      </c>
      <c r="U206" s="46">
        <f t="shared" ca="1" si="53"/>
        <v>1420.9771208320408</v>
      </c>
      <c r="V206" s="4">
        <f t="shared" ca="1" si="54"/>
        <v>0</v>
      </c>
      <c r="W206" s="13">
        <f t="shared" ca="1" si="55"/>
        <v>2504.4494821409107</v>
      </c>
      <c r="X206" s="4">
        <f t="shared" ca="1" si="56"/>
        <v>0</v>
      </c>
      <c r="AE206" s="4"/>
    </row>
    <row r="207" spans="1:31">
      <c r="A207">
        <v>1</v>
      </c>
      <c r="B207">
        <v>1</v>
      </c>
      <c r="C207">
        <f t="shared" si="38"/>
        <v>4</v>
      </c>
      <c r="D207">
        <f t="shared" si="39"/>
        <v>2</v>
      </c>
      <c r="E207">
        <f t="shared" si="40"/>
        <v>1</v>
      </c>
      <c r="F207" s="100">
        <f t="shared" ca="1" si="41"/>
        <v>9.703225E-2</v>
      </c>
      <c r="G207">
        <v>0</v>
      </c>
      <c r="H207">
        <v>0</v>
      </c>
      <c r="I207">
        <v>2</v>
      </c>
      <c r="J207" s="1">
        <f t="shared" ca="1" si="42"/>
        <v>4.9005000000000045E-4</v>
      </c>
      <c r="K207" s="1">
        <f t="shared" ca="1" si="43"/>
        <v>4.7550654112500042E-5</v>
      </c>
      <c r="L207" s="13">
        <f t="shared" ca="1" si="44"/>
        <v>26</v>
      </c>
      <c r="M207" s="7">
        <f t="shared" ca="1" si="45"/>
        <v>974</v>
      </c>
      <c r="N207" s="44">
        <f t="shared" ca="1" si="46"/>
        <v>13</v>
      </c>
      <c r="O207" s="94">
        <f t="shared" ca="1" si="47"/>
        <v>3.2733204919050856</v>
      </c>
      <c r="P207" s="94">
        <f t="shared" ca="1" si="48"/>
        <v>32.733204919050856</v>
      </c>
      <c r="Q207" s="94">
        <f t="shared" ca="1" si="49"/>
        <v>31.256774640182325</v>
      </c>
      <c r="R207" s="94">
        <f t="shared" ca="1" si="50"/>
        <v>3.1994989779616589</v>
      </c>
      <c r="S207" s="94">
        <f t="shared" ca="1" si="51"/>
        <v>3.2733204919050856</v>
      </c>
      <c r="T207" s="4">
        <f t="shared" ca="1" si="52"/>
        <v>1.5564853050993721E-4</v>
      </c>
      <c r="U207" s="46">
        <f t="shared" ca="1" si="53"/>
        <v>1407.9771208320408</v>
      </c>
      <c r="V207" s="4">
        <f t="shared" ca="1" si="54"/>
        <v>6.6950233070998053E-2</v>
      </c>
      <c r="W207" s="13">
        <f t="shared" ca="1" si="55"/>
        <v>1669.6329880939406</v>
      </c>
      <c r="X207" s="4">
        <f t="shared" ca="1" si="56"/>
        <v>7.9392140711674872E-2</v>
      </c>
      <c r="AE207" s="4"/>
    </row>
    <row r="208" spans="1:31">
      <c r="A208">
        <v>1</v>
      </c>
      <c r="B208">
        <v>1</v>
      </c>
      <c r="C208">
        <f t="shared" si="38"/>
        <v>4</v>
      </c>
      <c r="D208">
        <f t="shared" si="39"/>
        <v>2</v>
      </c>
      <c r="E208">
        <f t="shared" si="40"/>
        <v>1</v>
      </c>
      <c r="F208" s="100">
        <f t="shared" ca="1" si="41"/>
        <v>9.703225E-2</v>
      </c>
      <c r="G208">
        <v>0</v>
      </c>
      <c r="H208">
        <v>0</v>
      </c>
      <c r="I208">
        <v>1</v>
      </c>
      <c r="J208" s="1">
        <f t="shared" ca="1" si="42"/>
        <v>9.9000000000000187E-6</v>
      </c>
      <c r="K208" s="1">
        <f t="shared" ca="1" si="43"/>
        <v>9.606192750000018E-7</v>
      </c>
      <c r="L208" s="13">
        <f t="shared" ca="1" si="44"/>
        <v>13</v>
      </c>
      <c r="M208" s="7">
        <f t="shared" ca="1" si="45"/>
        <v>987</v>
      </c>
      <c r="N208" s="44">
        <f t="shared" ca="1" si="46"/>
        <v>13</v>
      </c>
      <c r="O208" s="94">
        <f t="shared" ca="1" si="47"/>
        <v>3.2733204919050856</v>
      </c>
      <c r="P208" s="94">
        <f t="shared" ca="1" si="48"/>
        <v>32.733204919050856</v>
      </c>
      <c r="Q208" s="94">
        <f t="shared" ca="1" si="49"/>
        <v>32.733204919050856</v>
      </c>
      <c r="R208" s="94">
        <f t="shared" ca="1" si="50"/>
        <v>3.2733204919050856</v>
      </c>
      <c r="S208" s="94">
        <f t="shared" ca="1" si="51"/>
        <v>3.2733204919050856</v>
      </c>
      <c r="T208" s="4">
        <f t="shared" ca="1" si="52"/>
        <v>3.1444147577765123E-6</v>
      </c>
      <c r="U208" s="46">
        <f t="shared" ca="1" si="53"/>
        <v>1394.9771208320408</v>
      </c>
      <c r="V208" s="4">
        <f t="shared" ca="1" si="54"/>
        <v>1.3400419104552649E-3</v>
      </c>
      <c r="W208" s="13">
        <f t="shared" ca="1" si="55"/>
        <v>834.81649404697032</v>
      </c>
      <c r="X208" s="4">
        <f t="shared" ca="1" si="56"/>
        <v>8.0194081526944398E-4</v>
      </c>
      <c r="AE208" s="4"/>
    </row>
    <row r="209" spans="1:31">
      <c r="A209">
        <v>1</v>
      </c>
      <c r="B209">
        <v>1</v>
      </c>
      <c r="C209">
        <f t="shared" si="38"/>
        <v>4</v>
      </c>
      <c r="D209">
        <f t="shared" si="39"/>
        <v>2</v>
      </c>
      <c r="E209">
        <f t="shared" si="40"/>
        <v>1</v>
      </c>
      <c r="F209" s="100">
        <f t="shared" ca="1" si="41"/>
        <v>9.703225E-2</v>
      </c>
      <c r="G209">
        <v>0</v>
      </c>
      <c r="H209">
        <v>0</v>
      </c>
      <c r="I209">
        <v>0</v>
      </c>
      <c r="J209" s="1">
        <f t="shared" ca="1" si="42"/>
        <v>5.0000000000000137E-8</v>
      </c>
      <c r="K209" s="1">
        <f t="shared" ca="1" si="43"/>
        <v>4.8516125000000132E-9</v>
      </c>
      <c r="L209" s="13">
        <f t="shared" ca="1" si="44"/>
        <v>0</v>
      </c>
      <c r="M209" s="7">
        <f t="shared" ca="1" si="45"/>
        <v>1000</v>
      </c>
      <c r="N209" s="44">
        <f t="shared" ca="1" si="46"/>
        <v>13</v>
      </c>
      <c r="O209" s="94">
        <f t="shared" ca="1" si="47"/>
        <v>3.2733204919050856</v>
      </c>
      <c r="P209" s="94">
        <f t="shared" ca="1" si="48"/>
        <v>32.733204919050856</v>
      </c>
      <c r="Q209" s="94">
        <f t="shared" ca="1" si="49"/>
        <v>32.733204919050856</v>
      </c>
      <c r="R209" s="94">
        <f t="shared" ca="1" si="50"/>
        <v>3.2733204919050856</v>
      </c>
      <c r="S209" s="94">
        <f t="shared" ca="1" si="51"/>
        <v>3.2733204919050856</v>
      </c>
      <c r="T209" s="4">
        <f t="shared" ca="1" si="52"/>
        <v>1.5880882615032907E-8</v>
      </c>
      <c r="U209" s="46">
        <f t="shared" ca="1" si="53"/>
        <v>1381.9771208320408</v>
      </c>
      <c r="V209" s="4">
        <f t="shared" ca="1" si="54"/>
        <v>6.7048174741427575E-6</v>
      </c>
      <c r="W209" s="13">
        <f t="shared" ca="1" si="55"/>
        <v>0</v>
      </c>
      <c r="X209" s="4">
        <f t="shared" ca="1" si="56"/>
        <v>0</v>
      </c>
      <c r="AE209" s="4"/>
    </row>
    <row r="210" spans="1:31">
      <c r="A210">
        <v>1</v>
      </c>
      <c r="B210">
        <v>2</v>
      </c>
      <c r="C210">
        <f t="shared" ref="C210:C273" si="57">MIN(8, 1+$B$10+$B$9+A210+B210)</f>
        <v>5</v>
      </c>
      <c r="D210">
        <f t="shared" ref="D210:D273" si="58">C210-(1+$B$10)</f>
        <v>3</v>
      </c>
      <c r="E210">
        <f t="shared" ref="E210:E273" si="59">MIN(A210, C210-(1+$B$10+$B$9))</f>
        <v>1</v>
      </c>
      <c r="F210" s="100">
        <f t="shared" ref="F210:F273" ca="1" si="60">IF(A210=3, Set1QA, IF(A210=2, (1-Set1QA)*Set1TA + (1-Set1QA)*(1-Set1TA)*(1-Set1DA)*Set1AM3*Set1AM33, IF(A210=1, (1-Set1QA)*(1-Set1TA)*Set1DA + (1-Set1QA)*(1-Set1TA)*(1-Set1DA)*Set1AM3*Set1AM32, (1-Set1QA)*(1-Set1TA)*(1-Set1DA)*(1-Set1AM3)))) * IF($B$9+$B$10&gt;0, IF(B210=3, Set1QA, IF(B210=2, (1-Set1QA)*Set1TA, IF(B210=1, (1-Set1QA)*(1-Set1TA)*Set1DA, (1-Set1QA)*(1-Set1TA)*(1-Set1DA)))), IF(B210=0, 1, 0))</f>
        <v>3.4264999999999997E-2</v>
      </c>
      <c r="G210">
        <v>1</v>
      </c>
      <c r="H210">
        <v>1</v>
      </c>
      <c r="I210">
        <v>7</v>
      </c>
      <c r="J210" s="1">
        <f t="shared" ref="J210:J273" ca="1" si="61">POWER(95%,G210)*POWER(5%, 1-G210) * IF($B$10=0, IF(H210=0, 1, 0), POWER(Set1WSHitRate,H210)*POWER(1-Set1WSHitRate, 1-H210)) * IF(I210&lt;=D210, POWER(Set1WSHitRate, I210)*POWER(1-Set1WSHitRate, D210-I210)*COMBIN(D210,I210), 0)</f>
        <v>0</v>
      </c>
      <c r="K210" s="1">
        <f t="shared" ref="K210:K273" ca="1" si="62">F210*J210</f>
        <v>0</v>
      </c>
      <c r="L210" s="13">
        <f t="shared" ref="L210:L273" ca="1" si="63">MAX((G210+H210)*Set1WSTP + I210*$B$6, Set1SaveTP)</f>
        <v>215</v>
      </c>
      <c r="M210" s="7">
        <f t="shared" ref="M210:M273" ca="1" si="64">MAX(Set1MinTP-(L210+Set1Regain), 0)</f>
        <v>785</v>
      </c>
      <c r="N210" s="44">
        <f t="shared" ref="N210:N273" ca="1" si="65">CEILING(M210/Set1MeleeTP, 1)</f>
        <v>10</v>
      </c>
      <c r="O210" s="94">
        <f t="shared" ref="O210:O273" ca="1" si="66">VLOOKUP(N210,AvgRoundsSet1,2)</f>
        <v>2.5999636871582168</v>
      </c>
      <c r="P210" s="94">
        <f t="shared" ref="P210:P273" ca="1" si="67">VLOOKUP(CEILING(MAX(M210-1, 0)/Set1MeleeTP, 1), AvgRoundsSet1, 2) + VLOOKUP(CEILING(MAX(M210-2, 0)/Set1MeleeTP, 1), AvgRoundsSet1, 2) + VLOOKUP(CEILING(MAX(M210-3, 0)/Set1MeleeTP, 1), AvgRoundsSet1, 2) + VLOOKUP(CEILING(MAX(M210-4, 0)/Set1MeleeTP, 1), AvgRoundsSet1, 2) + VLOOKUP(CEILING(MAX(M210-5, 0)/Set1MeleeTP, 1), AvgRoundsSet1, 2) + VLOOKUP(CEILING(MAX(M210-6, 0)/Set1MeleeTP, 1), AvgRoundsSet1, 2) + VLOOKUP(CEILING(MAX(M210-7, 0)/Set1MeleeTP, 1), AvgRoundsSet1, 2) + VLOOKUP(CEILING(MAX(M210-8, 0)/Set1MeleeTP, 1), AvgRoundsSet1, 2) + VLOOKUP(CEILING(MAX(M210-9, 0)/Set1MeleeTP, 1), AvgRoundsSet1, 2) + VLOOKUP(CEILING(MAX(M210-10, 0)/Set1MeleeTP, 1), AvgRoundsSet1, 2)</f>
        <v>25.999636871582165</v>
      </c>
      <c r="Q210" s="94">
        <f t="shared" ref="Q210:Q273" ca="1" si="68">VLOOKUP(CEILING(MAX(M210-11, 0)/Set1MeleeTP, 1), AvgRoundsSet1, 2) + VLOOKUP(CEILING(MAX(M210-12, 0)/Set1MeleeTP, 1), AvgRoundsSet1, 2) + VLOOKUP(CEILING(MAX(M210-13, 0)/Set1MeleeTP, 1), AvgRoundsSet1, 2) + VLOOKUP(CEILING(MAX(M210-14, 0)/Set1MeleeTP, 1), AvgRoundsSet1, 2) + VLOOKUP(CEILING(MAX(M210-15, 0)/Set1MeleeTP, 1), AvgRoundsSet1, 2) + VLOOKUP(CEILING(MAX(M210-16, 0)/Set1MeleeTP, 1), AvgRoundsSet1, 2) + VLOOKUP(CEILING(MAX(M210-17, 0)/Set1MeleeTP, 1), AvgRoundsSet1, 2) + VLOOKUP(CEILING(MAX(M210-18, 0)/Set1MeleeTP, 1), AvgRoundsSet1, 2) + VLOOKUP(CEILING(MAX(M210-19, 0)/Set1MeleeTP, 1), AvgRoundsSet1, 2) + VLOOKUP(CEILING(MAX(M210-20, 0)/Set1MeleeTP, 1), AvgRoundsSet1, 2)</f>
        <v>25.999636871582165</v>
      </c>
      <c r="R210" s="94">
        <f t="shared" ref="R210:R273" ca="1" si="69">(P210+Q210)/20</f>
        <v>2.5999636871582164</v>
      </c>
      <c r="S210" s="94">
        <f t="shared" ref="S210:S273" ca="1" si="70">R210*Set1ConserveTP + O210*(1-Set1ConserveTP)</f>
        <v>2.5999636871582168</v>
      </c>
      <c r="T210" s="4">
        <f t="shared" ref="T210:T273" ca="1" si="71">K210*S210</f>
        <v>0</v>
      </c>
      <c r="U210" s="46">
        <f t="shared" ref="U210:U273" ca="1" si="72">MIN(L210+(S210+Set1OverTP)*AvgHitsPerRound1*Set1MeleeTP + Set1Regain + 10.5*Set1ConserveTP, 3000)</f>
        <v>1350.360460436222</v>
      </c>
      <c r="V210" s="4">
        <f t="shared" ref="V210:V273" ca="1" si="73">U210*K210</f>
        <v>0</v>
      </c>
      <c r="W210" s="13">
        <f t="shared" ref="W210:W273" ca="1" si="74">G210*$K$10*((1-$L$10)*$L$14 + $L$10*$M$14*$M$10)*Set1WSDmg + H210*$K$13*((1-$L$13)*$L$15 + $L$13*$M$15*$M$11) + I210*$K$11*((1-$L$11)*$L$14 + $L$11*$M$14*$M$11) + E210*$K$12*$L$12*$M$10</f>
        <v>12313.142557895597</v>
      </c>
      <c r="X210" s="4">
        <f t="shared" ref="X210:X273" ca="1" si="75">K210*W210</f>
        <v>0</v>
      </c>
      <c r="AE210" s="4"/>
    </row>
    <row r="211" spans="1:31">
      <c r="A211">
        <v>1</v>
      </c>
      <c r="B211">
        <v>2</v>
      </c>
      <c r="C211">
        <f t="shared" si="57"/>
        <v>5</v>
      </c>
      <c r="D211">
        <f t="shared" si="58"/>
        <v>3</v>
      </c>
      <c r="E211">
        <f t="shared" si="59"/>
        <v>1</v>
      </c>
      <c r="F211" s="100">
        <f t="shared" ca="1" si="60"/>
        <v>3.4264999999999997E-2</v>
      </c>
      <c r="G211">
        <v>1</v>
      </c>
      <c r="H211">
        <v>1</v>
      </c>
      <c r="I211">
        <v>6</v>
      </c>
      <c r="J211" s="1">
        <f t="shared" ca="1" si="61"/>
        <v>0</v>
      </c>
      <c r="K211" s="1">
        <f t="shared" ca="1" si="62"/>
        <v>0</v>
      </c>
      <c r="L211" s="13">
        <f t="shared" ca="1" si="63"/>
        <v>202</v>
      </c>
      <c r="M211" s="7">
        <f t="shared" ca="1" si="64"/>
        <v>798</v>
      </c>
      <c r="N211" s="44">
        <f t="shared" ca="1" si="65"/>
        <v>10</v>
      </c>
      <c r="O211" s="94">
        <f t="shared" ca="1" si="66"/>
        <v>2.5999636871582168</v>
      </c>
      <c r="P211" s="94">
        <f t="shared" ca="1" si="67"/>
        <v>25.999636871582165</v>
      </c>
      <c r="Q211" s="94">
        <f t="shared" ca="1" si="68"/>
        <v>25.999636871582165</v>
      </c>
      <c r="R211" s="94">
        <f t="shared" ca="1" si="69"/>
        <v>2.5999636871582164</v>
      </c>
      <c r="S211" s="94">
        <f t="shared" ca="1" si="70"/>
        <v>2.5999636871582168</v>
      </c>
      <c r="T211" s="4">
        <f t="shared" ca="1" si="71"/>
        <v>0</v>
      </c>
      <c r="U211" s="46">
        <f t="shared" ca="1" si="72"/>
        <v>1337.360460436222</v>
      </c>
      <c r="V211" s="4">
        <f t="shared" ca="1" si="73"/>
        <v>0</v>
      </c>
      <c r="W211" s="13">
        <f t="shared" ca="1" si="74"/>
        <v>11478.326063848626</v>
      </c>
      <c r="X211" s="4">
        <f t="shared" ca="1" si="75"/>
        <v>0</v>
      </c>
      <c r="AE211" s="4"/>
    </row>
    <row r="212" spans="1:31">
      <c r="A212">
        <v>1</v>
      </c>
      <c r="B212">
        <v>2</v>
      </c>
      <c r="C212">
        <f t="shared" si="57"/>
        <v>5</v>
      </c>
      <c r="D212">
        <f t="shared" si="58"/>
        <v>3</v>
      </c>
      <c r="E212">
        <f t="shared" si="59"/>
        <v>1</v>
      </c>
      <c r="F212" s="100">
        <f t="shared" ca="1" si="60"/>
        <v>3.4264999999999997E-2</v>
      </c>
      <c r="G212">
        <v>1</v>
      </c>
      <c r="H212">
        <v>1</v>
      </c>
      <c r="I212">
        <v>5</v>
      </c>
      <c r="J212" s="1">
        <f t="shared" ca="1" si="61"/>
        <v>0</v>
      </c>
      <c r="K212" s="1">
        <f t="shared" ca="1" si="62"/>
        <v>0</v>
      </c>
      <c r="L212" s="13">
        <f t="shared" ca="1" si="63"/>
        <v>189</v>
      </c>
      <c r="M212" s="7">
        <f t="shared" ca="1" si="64"/>
        <v>811</v>
      </c>
      <c r="N212" s="44">
        <f t="shared" ca="1" si="65"/>
        <v>11</v>
      </c>
      <c r="O212" s="94">
        <f t="shared" ca="1" si="66"/>
        <v>2.8397004155948178</v>
      </c>
      <c r="P212" s="94">
        <f t="shared" ca="1" si="67"/>
        <v>28.397004155948181</v>
      </c>
      <c r="Q212" s="94">
        <f t="shared" ca="1" si="68"/>
        <v>25.999636871582165</v>
      </c>
      <c r="R212" s="94">
        <f t="shared" ca="1" si="69"/>
        <v>2.7198320513765175</v>
      </c>
      <c r="S212" s="94">
        <f t="shared" ca="1" si="70"/>
        <v>2.8397004155948178</v>
      </c>
      <c r="T212" s="4">
        <f t="shared" ca="1" si="71"/>
        <v>0</v>
      </c>
      <c r="U212" s="46">
        <f t="shared" ca="1" si="72"/>
        <v>1412.1639413314356</v>
      </c>
      <c r="V212" s="4">
        <f t="shared" ca="1" si="73"/>
        <v>0</v>
      </c>
      <c r="W212" s="13">
        <f t="shared" ca="1" si="74"/>
        <v>10643.509569801656</v>
      </c>
      <c r="X212" s="4">
        <f t="shared" ca="1" si="75"/>
        <v>0</v>
      </c>
      <c r="AE212" s="4"/>
    </row>
    <row r="213" spans="1:31">
      <c r="A213">
        <v>1</v>
      </c>
      <c r="B213">
        <v>2</v>
      </c>
      <c r="C213">
        <f t="shared" si="57"/>
        <v>5</v>
      </c>
      <c r="D213">
        <f t="shared" si="58"/>
        <v>3</v>
      </c>
      <c r="E213">
        <f t="shared" si="59"/>
        <v>1</v>
      </c>
      <c r="F213" s="100">
        <f t="shared" ca="1" si="60"/>
        <v>3.4264999999999997E-2</v>
      </c>
      <c r="G213">
        <v>1</v>
      </c>
      <c r="H213">
        <v>1</v>
      </c>
      <c r="I213">
        <v>4</v>
      </c>
      <c r="J213" s="1">
        <f t="shared" ca="1" si="61"/>
        <v>0</v>
      </c>
      <c r="K213" s="1">
        <f t="shared" ca="1" si="62"/>
        <v>0</v>
      </c>
      <c r="L213" s="13">
        <f t="shared" ca="1" si="63"/>
        <v>176</v>
      </c>
      <c r="M213" s="7">
        <f t="shared" ca="1" si="64"/>
        <v>824</v>
      </c>
      <c r="N213" s="44">
        <f t="shared" ca="1" si="65"/>
        <v>11</v>
      </c>
      <c r="O213" s="94">
        <f t="shared" ca="1" si="66"/>
        <v>2.8397004155948178</v>
      </c>
      <c r="P213" s="94">
        <f t="shared" ca="1" si="67"/>
        <v>28.397004155948181</v>
      </c>
      <c r="Q213" s="94">
        <f t="shared" ca="1" si="68"/>
        <v>28.397004155948181</v>
      </c>
      <c r="R213" s="94">
        <f t="shared" ca="1" si="69"/>
        <v>2.8397004155948182</v>
      </c>
      <c r="S213" s="94">
        <f t="shared" ca="1" si="70"/>
        <v>2.8397004155948178</v>
      </c>
      <c r="T213" s="4">
        <f t="shared" ca="1" si="71"/>
        <v>0</v>
      </c>
      <c r="U213" s="46">
        <f t="shared" ca="1" si="72"/>
        <v>1399.1639413314356</v>
      </c>
      <c r="V213" s="4">
        <f t="shared" ca="1" si="73"/>
        <v>0</v>
      </c>
      <c r="W213" s="13">
        <f t="shared" ca="1" si="74"/>
        <v>9808.693075754687</v>
      </c>
      <c r="X213" s="4">
        <f t="shared" ca="1" si="75"/>
        <v>0</v>
      </c>
      <c r="AE213" s="4"/>
    </row>
    <row r="214" spans="1:31">
      <c r="A214">
        <v>1</v>
      </c>
      <c r="B214">
        <v>2</v>
      </c>
      <c r="C214">
        <f t="shared" si="57"/>
        <v>5</v>
      </c>
      <c r="D214">
        <f t="shared" si="58"/>
        <v>3</v>
      </c>
      <c r="E214">
        <f t="shared" si="59"/>
        <v>1</v>
      </c>
      <c r="F214" s="100">
        <f t="shared" ca="1" si="60"/>
        <v>3.4264999999999997E-2</v>
      </c>
      <c r="G214">
        <v>1</v>
      </c>
      <c r="H214">
        <v>1</v>
      </c>
      <c r="I214">
        <v>3</v>
      </c>
      <c r="J214" s="1">
        <f t="shared" ca="1" si="61"/>
        <v>0.91256620949999989</v>
      </c>
      <c r="K214" s="1">
        <f t="shared" ca="1" si="62"/>
        <v>3.1269081168517496E-2</v>
      </c>
      <c r="L214" s="13">
        <f t="shared" ca="1" si="63"/>
        <v>163</v>
      </c>
      <c r="M214" s="7">
        <f t="shared" ca="1" si="64"/>
        <v>837</v>
      </c>
      <c r="N214" s="44">
        <f t="shared" ca="1" si="65"/>
        <v>11</v>
      </c>
      <c r="O214" s="94">
        <f t="shared" ca="1" si="66"/>
        <v>2.8397004155948178</v>
      </c>
      <c r="P214" s="94">
        <f t="shared" ca="1" si="67"/>
        <v>28.397004155948181</v>
      </c>
      <c r="Q214" s="94">
        <f t="shared" ca="1" si="68"/>
        <v>28.397004155948181</v>
      </c>
      <c r="R214" s="94">
        <f t="shared" ca="1" si="69"/>
        <v>2.8397004155948182</v>
      </c>
      <c r="S214" s="94">
        <f t="shared" ca="1" si="70"/>
        <v>2.8397004155948178</v>
      </c>
      <c r="T214" s="4">
        <f t="shared" ca="1" si="71"/>
        <v>8.8794822789507219E-2</v>
      </c>
      <c r="U214" s="46">
        <f t="shared" ca="1" si="72"/>
        <v>1386.1639413314356</v>
      </c>
      <c r="V214" s="4">
        <f t="shared" ca="1" si="73"/>
        <v>43.344072794364784</v>
      </c>
      <c r="W214" s="13">
        <f t="shared" ca="1" si="74"/>
        <v>8973.8765817077146</v>
      </c>
      <c r="X214" s="4">
        <f t="shared" ca="1" si="75"/>
        <v>280.60487522967685</v>
      </c>
      <c r="AE214" s="4"/>
    </row>
    <row r="215" spans="1:31">
      <c r="A215">
        <v>1</v>
      </c>
      <c r="B215">
        <v>2</v>
      </c>
      <c r="C215">
        <f t="shared" si="57"/>
        <v>5</v>
      </c>
      <c r="D215">
        <f t="shared" si="58"/>
        <v>3</v>
      </c>
      <c r="E215">
        <f t="shared" si="59"/>
        <v>1</v>
      </c>
      <c r="F215" s="100">
        <f t="shared" ca="1" si="60"/>
        <v>3.4264999999999997E-2</v>
      </c>
      <c r="G215">
        <v>1</v>
      </c>
      <c r="H215">
        <v>1</v>
      </c>
      <c r="I215">
        <v>2</v>
      </c>
      <c r="J215" s="1">
        <f t="shared" ca="1" si="61"/>
        <v>2.7653521500000021E-2</v>
      </c>
      <c r="K215" s="1">
        <f t="shared" ca="1" si="62"/>
        <v>9.4754791419750066E-4</v>
      </c>
      <c r="L215" s="13">
        <f t="shared" ca="1" si="63"/>
        <v>150</v>
      </c>
      <c r="M215" s="7">
        <f t="shared" ca="1" si="64"/>
        <v>850</v>
      </c>
      <c r="N215" s="44">
        <f t="shared" ca="1" si="65"/>
        <v>11</v>
      </c>
      <c r="O215" s="94">
        <f t="shared" ca="1" si="66"/>
        <v>2.8397004155948178</v>
      </c>
      <c r="P215" s="94">
        <f t="shared" ca="1" si="67"/>
        <v>28.397004155948181</v>
      </c>
      <c r="Q215" s="94">
        <f t="shared" ca="1" si="68"/>
        <v>28.397004155948181</v>
      </c>
      <c r="R215" s="94">
        <f t="shared" ca="1" si="69"/>
        <v>2.8397004155948182</v>
      </c>
      <c r="S215" s="94">
        <f t="shared" ca="1" si="70"/>
        <v>2.8397004155948178</v>
      </c>
      <c r="T215" s="4">
        <f t="shared" ca="1" si="71"/>
        <v>2.6907522057426454E-3</v>
      </c>
      <c r="U215" s="46">
        <f t="shared" ca="1" si="72"/>
        <v>1373.1639413314356</v>
      </c>
      <c r="V215" s="4">
        <f t="shared" ca="1" si="73"/>
        <v>1.301138628459821</v>
      </c>
      <c r="W215" s="13">
        <f t="shared" ca="1" si="74"/>
        <v>8139.0600876607459</v>
      </c>
      <c r="X215" s="4">
        <f t="shared" ca="1" si="75"/>
        <v>7.712149409591067</v>
      </c>
      <c r="AE215" s="4"/>
    </row>
    <row r="216" spans="1:31">
      <c r="A216">
        <v>1</v>
      </c>
      <c r="B216">
        <v>2</v>
      </c>
      <c r="C216">
        <f t="shared" si="57"/>
        <v>5</v>
      </c>
      <c r="D216">
        <f t="shared" si="58"/>
        <v>3</v>
      </c>
      <c r="E216">
        <f t="shared" si="59"/>
        <v>1</v>
      </c>
      <c r="F216" s="100">
        <f t="shared" ca="1" si="60"/>
        <v>3.4264999999999997E-2</v>
      </c>
      <c r="G216">
        <v>1</v>
      </c>
      <c r="H216">
        <v>1</v>
      </c>
      <c r="I216">
        <v>1</v>
      </c>
      <c r="J216" s="1">
        <f t="shared" ca="1" si="61"/>
        <v>2.7932850000000052E-4</v>
      </c>
      <c r="K216" s="1">
        <f t="shared" ca="1" si="62"/>
        <v>9.5711910525000163E-6</v>
      </c>
      <c r="L216" s="13">
        <f t="shared" ca="1" si="63"/>
        <v>137</v>
      </c>
      <c r="M216" s="7">
        <f t="shared" ca="1" si="64"/>
        <v>863</v>
      </c>
      <c r="N216" s="44">
        <f t="shared" ca="1" si="65"/>
        <v>11</v>
      </c>
      <c r="O216" s="94">
        <f t="shared" ca="1" si="66"/>
        <v>2.8397004155948178</v>
      </c>
      <c r="P216" s="94">
        <f t="shared" ca="1" si="67"/>
        <v>28.397004155948181</v>
      </c>
      <c r="Q216" s="94">
        <f t="shared" ca="1" si="68"/>
        <v>28.397004155948181</v>
      </c>
      <c r="R216" s="94">
        <f t="shared" ca="1" si="69"/>
        <v>2.8397004155948182</v>
      </c>
      <c r="S216" s="94">
        <f t="shared" ca="1" si="70"/>
        <v>2.8397004155948178</v>
      </c>
      <c r="T216" s="4">
        <f t="shared" ca="1" si="71"/>
        <v>2.7179315209521697E-5</v>
      </c>
      <c r="U216" s="46">
        <f t="shared" ca="1" si="72"/>
        <v>1360.1639413314356</v>
      </c>
      <c r="V216" s="4">
        <f t="shared" ca="1" si="73"/>
        <v>1.3018388945204594E-2</v>
      </c>
      <c r="W216" s="13">
        <f t="shared" ca="1" si="74"/>
        <v>7304.2435936137754</v>
      </c>
      <c r="X216" s="4">
        <f t="shared" ca="1" si="75"/>
        <v>6.9910310928476729E-2</v>
      </c>
      <c r="AE216" s="4"/>
    </row>
    <row r="217" spans="1:31">
      <c r="A217">
        <v>1</v>
      </c>
      <c r="B217">
        <v>2</v>
      </c>
      <c r="C217">
        <f t="shared" si="57"/>
        <v>5</v>
      </c>
      <c r="D217">
        <f t="shared" si="58"/>
        <v>3</v>
      </c>
      <c r="E217">
        <f t="shared" si="59"/>
        <v>1</v>
      </c>
      <c r="F217" s="100">
        <f t="shared" ca="1" si="60"/>
        <v>3.4264999999999997E-2</v>
      </c>
      <c r="G217">
        <v>1</v>
      </c>
      <c r="H217">
        <v>1</v>
      </c>
      <c r="I217">
        <v>0</v>
      </c>
      <c r="J217" s="1">
        <f t="shared" ca="1" si="61"/>
        <v>9.4050000000000258E-7</v>
      </c>
      <c r="K217" s="1">
        <f t="shared" ca="1" si="62"/>
        <v>3.2226232500000083E-8</v>
      </c>
      <c r="L217" s="13">
        <f t="shared" ca="1" si="63"/>
        <v>124</v>
      </c>
      <c r="M217" s="7">
        <f t="shared" ca="1" si="64"/>
        <v>876</v>
      </c>
      <c r="N217" s="44">
        <f t="shared" ca="1" si="65"/>
        <v>11</v>
      </c>
      <c r="O217" s="94">
        <f t="shared" ca="1" si="66"/>
        <v>2.8397004155948178</v>
      </c>
      <c r="P217" s="94">
        <f t="shared" ca="1" si="67"/>
        <v>28.397004155948181</v>
      </c>
      <c r="Q217" s="94">
        <f t="shared" ca="1" si="68"/>
        <v>28.397004155948181</v>
      </c>
      <c r="R217" s="94">
        <f t="shared" ca="1" si="69"/>
        <v>2.8397004155948182</v>
      </c>
      <c r="S217" s="94">
        <f t="shared" ca="1" si="70"/>
        <v>2.8397004155948178</v>
      </c>
      <c r="T217" s="4">
        <f t="shared" ca="1" si="71"/>
        <v>9.1512845823305464E-8</v>
      </c>
      <c r="U217" s="46">
        <f t="shared" ca="1" si="72"/>
        <v>1347.1639413314356</v>
      </c>
      <c r="V217" s="4">
        <f t="shared" ca="1" si="73"/>
        <v>4.3414018388963314E-5</v>
      </c>
      <c r="W217" s="13">
        <f t="shared" ca="1" si="74"/>
        <v>6469.4270995668048</v>
      </c>
      <c r="X217" s="4">
        <f t="shared" ca="1" si="75"/>
        <v>2.0848526185244102E-4</v>
      </c>
      <c r="AE217" s="4"/>
    </row>
    <row r="218" spans="1:31">
      <c r="A218">
        <v>1</v>
      </c>
      <c r="B218">
        <v>2</v>
      </c>
      <c r="C218">
        <f t="shared" si="57"/>
        <v>5</v>
      </c>
      <c r="D218">
        <f t="shared" si="58"/>
        <v>3</v>
      </c>
      <c r="E218">
        <f t="shared" si="59"/>
        <v>1</v>
      </c>
      <c r="F218" s="100">
        <f t="shared" ca="1" si="60"/>
        <v>3.4264999999999997E-2</v>
      </c>
      <c r="G218">
        <v>1</v>
      </c>
      <c r="H218">
        <v>0</v>
      </c>
      <c r="I218">
        <v>7</v>
      </c>
      <c r="J218" s="1">
        <f t="shared" ca="1" si="61"/>
        <v>0</v>
      </c>
      <c r="K218" s="1">
        <f t="shared" ca="1" si="62"/>
        <v>0</v>
      </c>
      <c r="L218" s="13">
        <f t="shared" ca="1" si="63"/>
        <v>153</v>
      </c>
      <c r="M218" s="7">
        <f t="shared" ca="1" si="64"/>
        <v>847</v>
      </c>
      <c r="N218" s="44">
        <f t="shared" ca="1" si="65"/>
        <v>11</v>
      </c>
      <c r="O218" s="94">
        <f t="shared" ca="1" si="66"/>
        <v>2.8397004155948178</v>
      </c>
      <c r="P218" s="94">
        <f t="shared" ca="1" si="67"/>
        <v>28.397004155948181</v>
      </c>
      <c r="Q218" s="94">
        <f t="shared" ca="1" si="68"/>
        <v>28.397004155948181</v>
      </c>
      <c r="R218" s="94">
        <f t="shared" ca="1" si="69"/>
        <v>2.8397004155948182</v>
      </c>
      <c r="S218" s="94">
        <f t="shared" ca="1" si="70"/>
        <v>2.8397004155948178</v>
      </c>
      <c r="T218" s="4">
        <f t="shared" ca="1" si="71"/>
        <v>0</v>
      </c>
      <c r="U218" s="46">
        <f t="shared" ca="1" si="72"/>
        <v>1376.1639413314356</v>
      </c>
      <c r="V218" s="4">
        <f t="shared" ca="1" si="73"/>
        <v>0</v>
      </c>
      <c r="W218" s="13">
        <f t="shared" ca="1" si="74"/>
        <v>11687.430916657584</v>
      </c>
      <c r="X218" s="4">
        <f t="shared" ca="1" si="75"/>
        <v>0</v>
      </c>
      <c r="AE218" s="4"/>
    </row>
    <row r="219" spans="1:31">
      <c r="A219">
        <v>1</v>
      </c>
      <c r="B219">
        <v>2</v>
      </c>
      <c r="C219">
        <f t="shared" si="57"/>
        <v>5</v>
      </c>
      <c r="D219">
        <f t="shared" si="58"/>
        <v>3</v>
      </c>
      <c r="E219">
        <f t="shared" si="59"/>
        <v>1</v>
      </c>
      <c r="F219" s="100">
        <f t="shared" ca="1" si="60"/>
        <v>3.4264999999999997E-2</v>
      </c>
      <c r="G219">
        <v>1</v>
      </c>
      <c r="H219">
        <v>0</v>
      </c>
      <c r="I219">
        <v>6</v>
      </c>
      <c r="J219" s="1">
        <f t="shared" ca="1" si="61"/>
        <v>0</v>
      </c>
      <c r="K219" s="1">
        <f t="shared" ca="1" si="62"/>
        <v>0</v>
      </c>
      <c r="L219" s="13">
        <f t="shared" ca="1" si="63"/>
        <v>140</v>
      </c>
      <c r="M219" s="7">
        <f t="shared" ca="1" si="64"/>
        <v>860</v>
      </c>
      <c r="N219" s="44">
        <f t="shared" ca="1" si="65"/>
        <v>11</v>
      </c>
      <c r="O219" s="94">
        <f t="shared" ca="1" si="66"/>
        <v>2.8397004155948178</v>
      </c>
      <c r="P219" s="94">
        <f t="shared" ca="1" si="67"/>
        <v>28.397004155948181</v>
      </c>
      <c r="Q219" s="94">
        <f t="shared" ca="1" si="68"/>
        <v>28.397004155948181</v>
      </c>
      <c r="R219" s="94">
        <f t="shared" ca="1" si="69"/>
        <v>2.8397004155948182</v>
      </c>
      <c r="S219" s="94">
        <f t="shared" ca="1" si="70"/>
        <v>2.8397004155948178</v>
      </c>
      <c r="T219" s="4">
        <f t="shared" ca="1" si="71"/>
        <v>0</v>
      </c>
      <c r="U219" s="46">
        <f t="shared" ca="1" si="72"/>
        <v>1363.1639413314356</v>
      </c>
      <c r="V219" s="4">
        <f t="shared" ca="1" si="73"/>
        <v>0</v>
      </c>
      <c r="W219" s="13">
        <f t="shared" ca="1" si="74"/>
        <v>10852.614422610615</v>
      </c>
      <c r="X219" s="4">
        <f t="shared" ca="1" si="75"/>
        <v>0</v>
      </c>
      <c r="AE219" s="4"/>
    </row>
    <row r="220" spans="1:31">
      <c r="A220">
        <v>1</v>
      </c>
      <c r="B220">
        <v>2</v>
      </c>
      <c r="C220">
        <f t="shared" si="57"/>
        <v>5</v>
      </c>
      <c r="D220">
        <f t="shared" si="58"/>
        <v>3</v>
      </c>
      <c r="E220">
        <f t="shared" si="59"/>
        <v>1</v>
      </c>
      <c r="F220" s="100">
        <f t="shared" ca="1" si="60"/>
        <v>3.4264999999999997E-2</v>
      </c>
      <c r="G220">
        <v>1</v>
      </c>
      <c r="H220">
        <v>0</v>
      </c>
      <c r="I220">
        <v>5</v>
      </c>
      <c r="J220" s="1">
        <f t="shared" ca="1" si="61"/>
        <v>0</v>
      </c>
      <c r="K220" s="1">
        <f t="shared" ca="1" si="62"/>
        <v>0</v>
      </c>
      <c r="L220" s="13">
        <f t="shared" ca="1" si="63"/>
        <v>127</v>
      </c>
      <c r="M220" s="7">
        <f t="shared" ca="1" si="64"/>
        <v>873</v>
      </c>
      <c r="N220" s="44">
        <f t="shared" ca="1" si="65"/>
        <v>11</v>
      </c>
      <c r="O220" s="94">
        <f t="shared" ca="1" si="66"/>
        <v>2.8397004155948178</v>
      </c>
      <c r="P220" s="94">
        <f t="shared" ca="1" si="67"/>
        <v>28.397004155948181</v>
      </c>
      <c r="Q220" s="94">
        <f t="shared" ca="1" si="68"/>
        <v>28.397004155948181</v>
      </c>
      <c r="R220" s="94">
        <f t="shared" ca="1" si="69"/>
        <v>2.8397004155948182</v>
      </c>
      <c r="S220" s="94">
        <f t="shared" ca="1" si="70"/>
        <v>2.8397004155948178</v>
      </c>
      <c r="T220" s="4">
        <f t="shared" ca="1" si="71"/>
        <v>0</v>
      </c>
      <c r="U220" s="46">
        <f t="shared" ca="1" si="72"/>
        <v>1350.1639413314356</v>
      </c>
      <c r="V220" s="4">
        <f t="shared" ca="1" si="73"/>
        <v>0</v>
      </c>
      <c r="W220" s="13">
        <f t="shared" ca="1" si="74"/>
        <v>10017.797928563645</v>
      </c>
      <c r="X220" s="4">
        <f t="shared" ca="1" si="75"/>
        <v>0</v>
      </c>
      <c r="AE220" s="4"/>
    </row>
    <row r="221" spans="1:31">
      <c r="A221">
        <v>1</v>
      </c>
      <c r="B221">
        <v>2</v>
      </c>
      <c r="C221">
        <f t="shared" si="57"/>
        <v>5</v>
      </c>
      <c r="D221">
        <f t="shared" si="58"/>
        <v>3</v>
      </c>
      <c r="E221">
        <f t="shared" si="59"/>
        <v>1</v>
      </c>
      <c r="F221" s="100">
        <f t="shared" ca="1" si="60"/>
        <v>3.4264999999999997E-2</v>
      </c>
      <c r="G221">
        <v>1</v>
      </c>
      <c r="H221">
        <v>0</v>
      </c>
      <c r="I221">
        <v>4</v>
      </c>
      <c r="J221" s="1">
        <f t="shared" ca="1" si="61"/>
        <v>0</v>
      </c>
      <c r="K221" s="1">
        <f t="shared" ca="1" si="62"/>
        <v>0</v>
      </c>
      <c r="L221" s="13">
        <f t="shared" ca="1" si="63"/>
        <v>114</v>
      </c>
      <c r="M221" s="7">
        <f t="shared" ca="1" si="64"/>
        <v>886</v>
      </c>
      <c r="N221" s="44">
        <f t="shared" ca="1" si="65"/>
        <v>12</v>
      </c>
      <c r="O221" s="94">
        <f t="shared" ca="1" si="66"/>
        <v>3.0624018806381534</v>
      </c>
      <c r="P221" s="94">
        <f t="shared" ca="1" si="67"/>
        <v>29.510511481164862</v>
      </c>
      <c r="Q221" s="94">
        <f t="shared" ca="1" si="68"/>
        <v>28.397004155948181</v>
      </c>
      <c r="R221" s="94">
        <f t="shared" ca="1" si="69"/>
        <v>2.8953757818556523</v>
      </c>
      <c r="S221" s="94">
        <f t="shared" ca="1" si="70"/>
        <v>3.0624018806381534</v>
      </c>
      <c r="T221" s="4">
        <f t="shared" ca="1" si="71"/>
        <v>0</v>
      </c>
      <c r="U221" s="46">
        <f t="shared" ca="1" si="72"/>
        <v>1418.7282638229713</v>
      </c>
      <c r="V221" s="4">
        <f t="shared" ca="1" si="73"/>
        <v>0</v>
      </c>
      <c r="W221" s="13">
        <f t="shared" ca="1" si="74"/>
        <v>9182.9814345166742</v>
      </c>
      <c r="X221" s="4">
        <f t="shared" ca="1" si="75"/>
        <v>0</v>
      </c>
      <c r="AE221" s="4"/>
    </row>
    <row r="222" spans="1:31">
      <c r="A222">
        <v>1</v>
      </c>
      <c r="B222">
        <v>2</v>
      </c>
      <c r="C222">
        <f t="shared" si="57"/>
        <v>5</v>
      </c>
      <c r="D222">
        <f t="shared" si="58"/>
        <v>3</v>
      </c>
      <c r="E222">
        <f t="shared" si="59"/>
        <v>1</v>
      </c>
      <c r="F222" s="100">
        <f t="shared" ca="1" si="60"/>
        <v>3.4264999999999997E-2</v>
      </c>
      <c r="G222">
        <v>1</v>
      </c>
      <c r="H222">
        <v>0</v>
      </c>
      <c r="I222">
        <v>3</v>
      </c>
      <c r="J222" s="1">
        <f t="shared" ca="1" si="61"/>
        <v>9.2178405000000081E-3</v>
      </c>
      <c r="K222" s="1">
        <f t="shared" ca="1" si="62"/>
        <v>3.1584930473250024E-4</v>
      </c>
      <c r="L222" s="13">
        <f t="shared" ca="1" si="63"/>
        <v>101</v>
      </c>
      <c r="M222" s="7">
        <f t="shared" ca="1" si="64"/>
        <v>899</v>
      </c>
      <c r="N222" s="44">
        <f t="shared" ca="1" si="65"/>
        <v>12</v>
      </c>
      <c r="O222" s="94">
        <f t="shared" ca="1" si="66"/>
        <v>3.0624018806381534</v>
      </c>
      <c r="P222" s="94">
        <f t="shared" ca="1" si="67"/>
        <v>30.624018806381528</v>
      </c>
      <c r="Q222" s="94">
        <f t="shared" ca="1" si="68"/>
        <v>30.178615876294863</v>
      </c>
      <c r="R222" s="94">
        <f t="shared" ca="1" si="69"/>
        <v>3.0401317341338197</v>
      </c>
      <c r="S222" s="94">
        <f t="shared" ca="1" si="70"/>
        <v>3.0624018806381534</v>
      </c>
      <c r="T222" s="4">
        <f t="shared" ca="1" si="71"/>
        <v>9.67257504811062E-4</v>
      </c>
      <c r="U222" s="46">
        <f t="shared" ca="1" si="72"/>
        <v>1405.7282638229713</v>
      </c>
      <c r="V222" s="4">
        <f t="shared" ca="1" si="73"/>
        <v>0.44399829477131014</v>
      </c>
      <c r="W222" s="13">
        <f t="shared" ca="1" si="74"/>
        <v>8348.1649404697037</v>
      </c>
      <c r="X222" s="4">
        <f t="shared" ca="1" si="75"/>
        <v>2.6367620922395902</v>
      </c>
      <c r="AE222" s="4"/>
    </row>
    <row r="223" spans="1:31">
      <c r="A223">
        <v>1</v>
      </c>
      <c r="B223">
        <v>2</v>
      </c>
      <c r="C223">
        <f t="shared" si="57"/>
        <v>5</v>
      </c>
      <c r="D223">
        <f t="shared" si="58"/>
        <v>3</v>
      </c>
      <c r="E223">
        <f t="shared" si="59"/>
        <v>1</v>
      </c>
      <c r="F223" s="100">
        <f t="shared" ca="1" si="60"/>
        <v>3.4264999999999997E-2</v>
      </c>
      <c r="G223">
        <v>1</v>
      </c>
      <c r="H223">
        <v>0</v>
      </c>
      <c r="I223">
        <v>2</v>
      </c>
      <c r="J223" s="1">
        <f t="shared" ca="1" si="61"/>
        <v>2.7932850000000046E-4</v>
      </c>
      <c r="K223" s="1">
        <f t="shared" ca="1" si="62"/>
        <v>9.5711910525000147E-6</v>
      </c>
      <c r="L223" s="13">
        <f t="shared" ca="1" si="63"/>
        <v>88</v>
      </c>
      <c r="M223" s="7">
        <f t="shared" ca="1" si="64"/>
        <v>912</v>
      </c>
      <c r="N223" s="44">
        <f t="shared" ca="1" si="65"/>
        <v>12</v>
      </c>
      <c r="O223" s="94">
        <f t="shared" ca="1" si="66"/>
        <v>3.0624018806381534</v>
      </c>
      <c r="P223" s="94">
        <f t="shared" ca="1" si="67"/>
        <v>30.624018806381528</v>
      </c>
      <c r="Q223" s="94">
        <f t="shared" ca="1" si="68"/>
        <v>30.624018806381528</v>
      </c>
      <c r="R223" s="94">
        <f t="shared" ca="1" si="69"/>
        <v>3.062401880638153</v>
      </c>
      <c r="S223" s="94">
        <f t="shared" ca="1" si="70"/>
        <v>3.0624018806381534</v>
      </c>
      <c r="T223" s="4">
        <f t="shared" ca="1" si="71"/>
        <v>2.9310833479123114E-5</v>
      </c>
      <c r="U223" s="46">
        <f t="shared" ca="1" si="72"/>
        <v>1392.7282638229713</v>
      </c>
      <c r="V223" s="4">
        <f t="shared" ca="1" si="73"/>
        <v>1.3330068297266302E-2</v>
      </c>
      <c r="W223" s="13">
        <f t="shared" ca="1" si="74"/>
        <v>7513.3484464227331</v>
      </c>
      <c r="X223" s="4">
        <f t="shared" ca="1" si="75"/>
        <v>7.191169342471615E-2</v>
      </c>
      <c r="AE223" s="4"/>
    </row>
    <row r="224" spans="1:31">
      <c r="A224">
        <v>1</v>
      </c>
      <c r="B224">
        <v>2</v>
      </c>
      <c r="C224">
        <f t="shared" si="57"/>
        <v>5</v>
      </c>
      <c r="D224">
        <f t="shared" si="58"/>
        <v>3</v>
      </c>
      <c r="E224">
        <f t="shared" si="59"/>
        <v>1</v>
      </c>
      <c r="F224" s="100">
        <f t="shared" ca="1" si="60"/>
        <v>3.4264999999999997E-2</v>
      </c>
      <c r="G224">
        <v>1</v>
      </c>
      <c r="H224">
        <v>0</v>
      </c>
      <c r="I224">
        <v>1</v>
      </c>
      <c r="J224" s="1">
        <f t="shared" ca="1" si="61"/>
        <v>2.8215000000000076E-6</v>
      </c>
      <c r="K224" s="1">
        <f t="shared" ca="1" si="62"/>
        <v>9.6678697500000254E-8</v>
      </c>
      <c r="L224" s="13">
        <f t="shared" ca="1" si="63"/>
        <v>75</v>
      </c>
      <c r="M224" s="7">
        <f t="shared" ca="1" si="64"/>
        <v>925</v>
      </c>
      <c r="N224" s="44">
        <f t="shared" ca="1" si="65"/>
        <v>12</v>
      </c>
      <c r="O224" s="94">
        <f t="shared" ca="1" si="66"/>
        <v>3.0624018806381534</v>
      </c>
      <c r="P224" s="94">
        <f t="shared" ca="1" si="67"/>
        <v>30.624018806381528</v>
      </c>
      <c r="Q224" s="94">
        <f t="shared" ca="1" si="68"/>
        <v>30.624018806381528</v>
      </c>
      <c r="R224" s="94">
        <f t="shared" ca="1" si="69"/>
        <v>3.062401880638153</v>
      </c>
      <c r="S224" s="94">
        <f t="shared" ca="1" si="70"/>
        <v>3.0624018806381534</v>
      </c>
      <c r="T224" s="4">
        <f t="shared" ca="1" si="71"/>
        <v>2.9606902504164791E-7</v>
      </c>
      <c r="U224" s="46">
        <f t="shared" ca="1" si="72"/>
        <v>1379.7282638229713</v>
      </c>
      <c r="V224" s="4">
        <f t="shared" ca="1" si="73"/>
        <v>1.3339033145034159E-4</v>
      </c>
      <c r="W224" s="13">
        <f t="shared" ca="1" si="74"/>
        <v>6678.5319523757635</v>
      </c>
      <c r="X224" s="4">
        <f t="shared" ca="1" si="75"/>
        <v>6.4567177036782249E-4</v>
      </c>
      <c r="AE224" s="4"/>
    </row>
    <row r="225" spans="1:31">
      <c r="A225">
        <v>1</v>
      </c>
      <c r="B225">
        <v>2</v>
      </c>
      <c r="C225">
        <f t="shared" si="57"/>
        <v>5</v>
      </c>
      <c r="D225">
        <f t="shared" si="58"/>
        <v>3</v>
      </c>
      <c r="E225">
        <f t="shared" si="59"/>
        <v>1</v>
      </c>
      <c r="F225" s="100">
        <f t="shared" ca="1" si="60"/>
        <v>3.4264999999999997E-2</v>
      </c>
      <c r="G225">
        <v>1</v>
      </c>
      <c r="H225">
        <v>0</v>
      </c>
      <c r="I225">
        <v>0</v>
      </c>
      <c r="J225" s="1">
        <f t="shared" ca="1" si="61"/>
        <v>9.5000000000000338E-9</v>
      </c>
      <c r="K225" s="1">
        <f t="shared" ca="1" si="62"/>
        <v>3.2551750000000115E-10</v>
      </c>
      <c r="L225" s="13">
        <f t="shared" ca="1" si="63"/>
        <v>62</v>
      </c>
      <c r="M225" s="7">
        <f t="shared" ca="1" si="64"/>
        <v>938</v>
      </c>
      <c r="N225" s="44">
        <f t="shared" ca="1" si="65"/>
        <v>12</v>
      </c>
      <c r="O225" s="94">
        <f t="shared" ca="1" si="66"/>
        <v>3.0624018806381534</v>
      </c>
      <c r="P225" s="94">
        <f t="shared" ca="1" si="67"/>
        <v>30.624018806381528</v>
      </c>
      <c r="Q225" s="94">
        <f t="shared" ca="1" si="68"/>
        <v>30.624018806381528</v>
      </c>
      <c r="R225" s="94">
        <f t="shared" ca="1" si="69"/>
        <v>3.062401880638153</v>
      </c>
      <c r="S225" s="94">
        <f t="shared" ca="1" si="70"/>
        <v>3.0624018806381534</v>
      </c>
      <c r="T225" s="4">
        <f t="shared" ca="1" si="71"/>
        <v>9.9686540418063355E-10</v>
      </c>
      <c r="U225" s="46">
        <f t="shared" ca="1" si="72"/>
        <v>1366.7282638229713</v>
      </c>
      <c r="V225" s="4">
        <f t="shared" ca="1" si="73"/>
        <v>4.4489396761899564E-7</v>
      </c>
      <c r="W225" s="13">
        <f t="shared" ca="1" si="74"/>
        <v>5843.7154583287929</v>
      </c>
      <c r="X225" s="4">
        <f t="shared" ca="1" si="75"/>
        <v>1.9022316467065496E-6</v>
      </c>
      <c r="AE225" s="4"/>
    </row>
    <row r="226" spans="1:31">
      <c r="A226">
        <v>1</v>
      </c>
      <c r="B226">
        <v>2</v>
      </c>
      <c r="C226">
        <f t="shared" si="57"/>
        <v>5</v>
      </c>
      <c r="D226">
        <f t="shared" si="58"/>
        <v>3</v>
      </c>
      <c r="E226">
        <f t="shared" si="59"/>
        <v>1</v>
      </c>
      <c r="F226" s="100">
        <f t="shared" ca="1" si="60"/>
        <v>3.4264999999999997E-2</v>
      </c>
      <c r="G226">
        <v>0</v>
      </c>
      <c r="H226">
        <v>1</v>
      </c>
      <c r="I226">
        <v>7</v>
      </c>
      <c r="J226" s="1">
        <f t="shared" ca="1" si="61"/>
        <v>0</v>
      </c>
      <c r="K226" s="1">
        <f t="shared" ca="1" si="62"/>
        <v>0</v>
      </c>
      <c r="L226" s="13">
        <f t="shared" ca="1" si="63"/>
        <v>153</v>
      </c>
      <c r="M226" s="7">
        <f t="shared" ca="1" si="64"/>
        <v>847</v>
      </c>
      <c r="N226" s="44">
        <f t="shared" ca="1" si="65"/>
        <v>11</v>
      </c>
      <c r="O226" s="94">
        <f t="shared" ca="1" si="66"/>
        <v>2.8397004155948178</v>
      </c>
      <c r="P226" s="94">
        <f t="shared" ca="1" si="67"/>
        <v>28.397004155948181</v>
      </c>
      <c r="Q226" s="94">
        <f t="shared" ca="1" si="68"/>
        <v>28.397004155948181</v>
      </c>
      <c r="R226" s="94">
        <f t="shared" ca="1" si="69"/>
        <v>2.8397004155948182</v>
      </c>
      <c r="S226" s="94">
        <f t="shared" ca="1" si="70"/>
        <v>2.8397004155948178</v>
      </c>
      <c r="T226" s="4">
        <f t="shared" ca="1" si="71"/>
        <v>0</v>
      </c>
      <c r="U226" s="46">
        <f t="shared" ca="1" si="72"/>
        <v>1376.1639413314356</v>
      </c>
      <c r="V226" s="4">
        <f t="shared" ca="1" si="73"/>
        <v>0</v>
      </c>
      <c r="W226" s="13">
        <f t="shared" ca="1" si="74"/>
        <v>6469.4270995668039</v>
      </c>
      <c r="X226" s="4">
        <f t="shared" ca="1" si="75"/>
        <v>0</v>
      </c>
      <c r="AE226" s="4"/>
    </row>
    <row r="227" spans="1:31">
      <c r="A227">
        <v>1</v>
      </c>
      <c r="B227">
        <v>2</v>
      </c>
      <c r="C227">
        <f t="shared" si="57"/>
        <v>5</v>
      </c>
      <c r="D227">
        <f t="shared" si="58"/>
        <v>3</v>
      </c>
      <c r="E227">
        <f t="shared" si="59"/>
        <v>1</v>
      </c>
      <c r="F227" s="100">
        <f t="shared" ca="1" si="60"/>
        <v>3.4264999999999997E-2</v>
      </c>
      <c r="G227">
        <v>0</v>
      </c>
      <c r="H227">
        <v>1</v>
      </c>
      <c r="I227">
        <v>6</v>
      </c>
      <c r="J227" s="1">
        <f t="shared" ca="1" si="61"/>
        <v>0</v>
      </c>
      <c r="K227" s="1">
        <f t="shared" ca="1" si="62"/>
        <v>0</v>
      </c>
      <c r="L227" s="13">
        <f t="shared" ca="1" si="63"/>
        <v>140</v>
      </c>
      <c r="M227" s="7">
        <f t="shared" ca="1" si="64"/>
        <v>860</v>
      </c>
      <c r="N227" s="44">
        <f t="shared" ca="1" si="65"/>
        <v>11</v>
      </c>
      <c r="O227" s="94">
        <f t="shared" ca="1" si="66"/>
        <v>2.8397004155948178</v>
      </c>
      <c r="P227" s="94">
        <f t="shared" ca="1" si="67"/>
        <v>28.397004155948181</v>
      </c>
      <c r="Q227" s="94">
        <f t="shared" ca="1" si="68"/>
        <v>28.397004155948181</v>
      </c>
      <c r="R227" s="94">
        <f t="shared" ca="1" si="69"/>
        <v>2.8397004155948182</v>
      </c>
      <c r="S227" s="94">
        <f t="shared" ca="1" si="70"/>
        <v>2.8397004155948178</v>
      </c>
      <c r="T227" s="4">
        <f t="shared" ca="1" si="71"/>
        <v>0</v>
      </c>
      <c r="U227" s="46">
        <f t="shared" ca="1" si="72"/>
        <v>1363.1639413314356</v>
      </c>
      <c r="V227" s="4">
        <f t="shared" ca="1" si="73"/>
        <v>0</v>
      </c>
      <c r="W227" s="13">
        <f t="shared" ca="1" si="74"/>
        <v>5634.6106055198334</v>
      </c>
      <c r="X227" s="4">
        <f t="shared" ca="1" si="75"/>
        <v>0</v>
      </c>
      <c r="AE227" s="4"/>
    </row>
    <row r="228" spans="1:31">
      <c r="A228">
        <v>1</v>
      </c>
      <c r="B228">
        <v>2</v>
      </c>
      <c r="C228">
        <f t="shared" si="57"/>
        <v>5</v>
      </c>
      <c r="D228">
        <f t="shared" si="58"/>
        <v>3</v>
      </c>
      <c r="E228">
        <f t="shared" si="59"/>
        <v>1</v>
      </c>
      <c r="F228" s="100">
        <f t="shared" ca="1" si="60"/>
        <v>3.4264999999999997E-2</v>
      </c>
      <c r="G228">
        <v>0</v>
      </c>
      <c r="H228">
        <v>1</v>
      </c>
      <c r="I228">
        <v>5</v>
      </c>
      <c r="J228" s="1">
        <f t="shared" ca="1" si="61"/>
        <v>0</v>
      </c>
      <c r="K228" s="1">
        <f t="shared" ca="1" si="62"/>
        <v>0</v>
      </c>
      <c r="L228" s="13">
        <f t="shared" ca="1" si="63"/>
        <v>127</v>
      </c>
      <c r="M228" s="7">
        <f t="shared" ca="1" si="64"/>
        <v>873</v>
      </c>
      <c r="N228" s="44">
        <f t="shared" ca="1" si="65"/>
        <v>11</v>
      </c>
      <c r="O228" s="94">
        <f t="shared" ca="1" si="66"/>
        <v>2.8397004155948178</v>
      </c>
      <c r="P228" s="94">
        <f t="shared" ca="1" si="67"/>
        <v>28.397004155948181</v>
      </c>
      <c r="Q228" s="94">
        <f t="shared" ca="1" si="68"/>
        <v>28.397004155948181</v>
      </c>
      <c r="R228" s="94">
        <f t="shared" ca="1" si="69"/>
        <v>2.8397004155948182</v>
      </c>
      <c r="S228" s="94">
        <f t="shared" ca="1" si="70"/>
        <v>2.8397004155948178</v>
      </c>
      <c r="T228" s="4">
        <f t="shared" ca="1" si="71"/>
        <v>0</v>
      </c>
      <c r="U228" s="46">
        <f t="shared" ca="1" si="72"/>
        <v>1350.1639413314356</v>
      </c>
      <c r="V228" s="4">
        <f t="shared" ca="1" si="73"/>
        <v>0</v>
      </c>
      <c r="W228" s="13">
        <f t="shared" ca="1" si="74"/>
        <v>4799.7941114728637</v>
      </c>
      <c r="X228" s="4">
        <f t="shared" ca="1" si="75"/>
        <v>0</v>
      </c>
      <c r="AE228" s="4"/>
    </row>
    <row r="229" spans="1:31">
      <c r="A229">
        <v>1</v>
      </c>
      <c r="B229">
        <v>2</v>
      </c>
      <c r="C229">
        <f t="shared" si="57"/>
        <v>5</v>
      </c>
      <c r="D229">
        <f t="shared" si="58"/>
        <v>3</v>
      </c>
      <c r="E229">
        <f t="shared" si="59"/>
        <v>1</v>
      </c>
      <c r="F229" s="100">
        <f t="shared" ca="1" si="60"/>
        <v>3.4264999999999997E-2</v>
      </c>
      <c r="G229">
        <v>0</v>
      </c>
      <c r="H229">
        <v>1</v>
      </c>
      <c r="I229">
        <v>4</v>
      </c>
      <c r="J229" s="1">
        <f t="shared" ca="1" si="61"/>
        <v>0</v>
      </c>
      <c r="K229" s="1">
        <f t="shared" ca="1" si="62"/>
        <v>0</v>
      </c>
      <c r="L229" s="13">
        <f t="shared" ca="1" si="63"/>
        <v>114</v>
      </c>
      <c r="M229" s="7">
        <f t="shared" ca="1" si="64"/>
        <v>886</v>
      </c>
      <c r="N229" s="44">
        <f t="shared" ca="1" si="65"/>
        <v>12</v>
      </c>
      <c r="O229" s="94">
        <f t="shared" ca="1" si="66"/>
        <v>3.0624018806381534</v>
      </c>
      <c r="P229" s="94">
        <f t="shared" ca="1" si="67"/>
        <v>29.510511481164862</v>
      </c>
      <c r="Q229" s="94">
        <f t="shared" ca="1" si="68"/>
        <v>28.397004155948181</v>
      </c>
      <c r="R229" s="94">
        <f t="shared" ca="1" si="69"/>
        <v>2.8953757818556523</v>
      </c>
      <c r="S229" s="94">
        <f t="shared" ca="1" si="70"/>
        <v>3.0624018806381534</v>
      </c>
      <c r="T229" s="4">
        <f t="shared" ca="1" si="71"/>
        <v>0</v>
      </c>
      <c r="U229" s="46">
        <f t="shared" ca="1" si="72"/>
        <v>1418.7282638229713</v>
      </c>
      <c r="V229" s="4">
        <f t="shared" ca="1" si="73"/>
        <v>0</v>
      </c>
      <c r="W229" s="13">
        <f t="shared" ca="1" si="74"/>
        <v>3964.9776174258936</v>
      </c>
      <c r="X229" s="4">
        <f t="shared" ca="1" si="75"/>
        <v>0</v>
      </c>
      <c r="AE229" s="4"/>
    </row>
    <row r="230" spans="1:31">
      <c r="A230">
        <v>1</v>
      </c>
      <c r="B230">
        <v>2</v>
      </c>
      <c r="C230">
        <f t="shared" si="57"/>
        <v>5</v>
      </c>
      <c r="D230">
        <f t="shared" si="58"/>
        <v>3</v>
      </c>
      <c r="E230">
        <f t="shared" si="59"/>
        <v>1</v>
      </c>
      <c r="F230" s="100">
        <f t="shared" ca="1" si="60"/>
        <v>3.4264999999999997E-2</v>
      </c>
      <c r="G230">
        <v>0</v>
      </c>
      <c r="H230">
        <v>1</v>
      </c>
      <c r="I230">
        <v>3</v>
      </c>
      <c r="J230" s="1">
        <f t="shared" ca="1" si="61"/>
        <v>4.8029800499999997E-2</v>
      </c>
      <c r="K230" s="1">
        <f t="shared" ca="1" si="62"/>
        <v>1.6457411141324997E-3</v>
      </c>
      <c r="L230" s="13">
        <f t="shared" ca="1" si="63"/>
        <v>101</v>
      </c>
      <c r="M230" s="7">
        <f t="shared" ca="1" si="64"/>
        <v>899</v>
      </c>
      <c r="N230" s="44">
        <f t="shared" ca="1" si="65"/>
        <v>12</v>
      </c>
      <c r="O230" s="94">
        <f t="shared" ca="1" si="66"/>
        <v>3.0624018806381534</v>
      </c>
      <c r="P230" s="94">
        <f t="shared" ca="1" si="67"/>
        <v>30.624018806381528</v>
      </c>
      <c r="Q230" s="94">
        <f t="shared" ca="1" si="68"/>
        <v>30.178615876294863</v>
      </c>
      <c r="R230" s="94">
        <f t="shared" ca="1" si="69"/>
        <v>3.0401317341338197</v>
      </c>
      <c r="S230" s="94">
        <f t="shared" ca="1" si="70"/>
        <v>3.0624018806381534</v>
      </c>
      <c r="T230" s="4">
        <f t="shared" ca="1" si="71"/>
        <v>5.039920682962897E-3</v>
      </c>
      <c r="U230" s="46">
        <f t="shared" ca="1" si="72"/>
        <v>1405.7282638229713</v>
      </c>
      <c r="V230" s="4">
        <f t="shared" ca="1" si="73"/>
        <v>2.3134647990715611</v>
      </c>
      <c r="W230" s="13">
        <f t="shared" ca="1" si="74"/>
        <v>3130.1611233789231</v>
      </c>
      <c r="X230" s="4">
        <f t="shared" ca="1" si="75"/>
        <v>5.151434854603866</v>
      </c>
      <c r="AE230" s="4"/>
    </row>
    <row r="231" spans="1:31">
      <c r="A231">
        <v>1</v>
      </c>
      <c r="B231">
        <v>2</v>
      </c>
      <c r="C231">
        <f t="shared" si="57"/>
        <v>5</v>
      </c>
      <c r="D231">
        <f t="shared" si="58"/>
        <v>3</v>
      </c>
      <c r="E231">
        <f t="shared" si="59"/>
        <v>1</v>
      </c>
      <c r="F231" s="100">
        <f t="shared" ca="1" si="60"/>
        <v>3.4264999999999997E-2</v>
      </c>
      <c r="G231">
        <v>0</v>
      </c>
      <c r="H231">
        <v>1</v>
      </c>
      <c r="I231">
        <v>2</v>
      </c>
      <c r="J231" s="1">
        <f t="shared" ca="1" si="61"/>
        <v>1.4554485000000013E-3</v>
      </c>
      <c r="K231" s="1">
        <f t="shared" ca="1" si="62"/>
        <v>4.9870942852500042E-5</v>
      </c>
      <c r="L231" s="13">
        <f t="shared" ca="1" si="63"/>
        <v>88</v>
      </c>
      <c r="M231" s="7">
        <f t="shared" ca="1" si="64"/>
        <v>912</v>
      </c>
      <c r="N231" s="44">
        <f t="shared" ca="1" si="65"/>
        <v>12</v>
      </c>
      <c r="O231" s="94">
        <f t="shared" ca="1" si="66"/>
        <v>3.0624018806381534</v>
      </c>
      <c r="P231" s="94">
        <f t="shared" ca="1" si="67"/>
        <v>30.624018806381528</v>
      </c>
      <c r="Q231" s="94">
        <f t="shared" ca="1" si="68"/>
        <v>30.624018806381528</v>
      </c>
      <c r="R231" s="94">
        <f t="shared" ca="1" si="69"/>
        <v>3.062401880638153</v>
      </c>
      <c r="S231" s="94">
        <f t="shared" ca="1" si="70"/>
        <v>3.0624018806381534</v>
      </c>
      <c r="T231" s="4">
        <f t="shared" ca="1" si="71"/>
        <v>1.52724869180694E-4</v>
      </c>
      <c r="U231" s="46">
        <f t="shared" ca="1" si="72"/>
        <v>1392.7282638229713</v>
      </c>
      <c r="V231" s="4">
        <f t="shared" ca="1" si="73"/>
        <v>6.9456671654177002E-2</v>
      </c>
      <c r="W231" s="13">
        <f t="shared" ca="1" si="74"/>
        <v>2295.344629331953</v>
      </c>
      <c r="X231" s="4">
        <f t="shared" ca="1" si="75"/>
        <v>0.11447100083620672</v>
      </c>
      <c r="AE231" s="4"/>
    </row>
    <row r="232" spans="1:31">
      <c r="A232">
        <v>1</v>
      </c>
      <c r="B232">
        <v>2</v>
      </c>
      <c r="C232">
        <f t="shared" si="57"/>
        <v>5</v>
      </c>
      <c r="D232">
        <f t="shared" si="58"/>
        <v>3</v>
      </c>
      <c r="E232">
        <f t="shared" si="59"/>
        <v>1</v>
      </c>
      <c r="F232" s="100">
        <f t="shared" ca="1" si="60"/>
        <v>3.4264999999999997E-2</v>
      </c>
      <c r="G232">
        <v>0</v>
      </c>
      <c r="H232">
        <v>1</v>
      </c>
      <c r="I232">
        <v>1</v>
      </c>
      <c r="J232" s="1">
        <f t="shared" ca="1" si="61"/>
        <v>1.4701500000000029E-5</v>
      </c>
      <c r="K232" s="1">
        <f t="shared" ca="1" si="62"/>
        <v>5.0374689750000092E-7</v>
      </c>
      <c r="L232" s="13">
        <f t="shared" ca="1" si="63"/>
        <v>75</v>
      </c>
      <c r="M232" s="7">
        <f t="shared" ca="1" si="64"/>
        <v>925</v>
      </c>
      <c r="N232" s="44">
        <f t="shared" ca="1" si="65"/>
        <v>12</v>
      </c>
      <c r="O232" s="94">
        <f t="shared" ca="1" si="66"/>
        <v>3.0624018806381534</v>
      </c>
      <c r="P232" s="94">
        <f t="shared" ca="1" si="67"/>
        <v>30.624018806381528</v>
      </c>
      <c r="Q232" s="94">
        <f t="shared" ca="1" si="68"/>
        <v>30.624018806381528</v>
      </c>
      <c r="R232" s="94">
        <f t="shared" ca="1" si="69"/>
        <v>3.062401880638153</v>
      </c>
      <c r="S232" s="94">
        <f t="shared" ca="1" si="70"/>
        <v>3.0624018806381534</v>
      </c>
      <c r="T232" s="4">
        <f t="shared" ca="1" si="71"/>
        <v>1.5426754462696378E-6</v>
      </c>
      <c r="U232" s="46">
        <f t="shared" ca="1" si="72"/>
        <v>1379.7282638229713</v>
      </c>
      <c r="V232" s="4">
        <f t="shared" ca="1" si="73"/>
        <v>6.9503383229388449E-4</v>
      </c>
      <c r="W232" s="13">
        <f t="shared" ca="1" si="74"/>
        <v>1460.5281352849825</v>
      </c>
      <c r="X232" s="4">
        <f t="shared" ca="1" si="75"/>
        <v>7.3573651686127152E-4</v>
      </c>
      <c r="AE232" s="4"/>
    </row>
    <row r="233" spans="1:31">
      <c r="A233">
        <v>1</v>
      </c>
      <c r="B233">
        <v>2</v>
      </c>
      <c r="C233">
        <f t="shared" si="57"/>
        <v>5</v>
      </c>
      <c r="D233">
        <f t="shared" si="58"/>
        <v>3</v>
      </c>
      <c r="E233">
        <f t="shared" si="59"/>
        <v>1</v>
      </c>
      <c r="F233" s="100">
        <f t="shared" ca="1" si="60"/>
        <v>3.4264999999999997E-2</v>
      </c>
      <c r="G233">
        <v>0</v>
      </c>
      <c r="H233">
        <v>1</v>
      </c>
      <c r="I233">
        <v>0</v>
      </c>
      <c r="J233" s="1">
        <f t="shared" ca="1" si="61"/>
        <v>4.9500000000000139E-8</v>
      </c>
      <c r="K233" s="1">
        <f t="shared" ca="1" si="62"/>
        <v>1.6961175000000045E-9</v>
      </c>
      <c r="L233" s="13">
        <f t="shared" ca="1" si="63"/>
        <v>62</v>
      </c>
      <c r="M233" s="7">
        <f t="shared" ca="1" si="64"/>
        <v>938</v>
      </c>
      <c r="N233" s="44">
        <f t="shared" ca="1" si="65"/>
        <v>12</v>
      </c>
      <c r="O233" s="94">
        <f t="shared" ca="1" si="66"/>
        <v>3.0624018806381534</v>
      </c>
      <c r="P233" s="94">
        <f t="shared" ca="1" si="67"/>
        <v>30.624018806381528</v>
      </c>
      <c r="Q233" s="94">
        <f t="shared" ca="1" si="68"/>
        <v>30.624018806381528</v>
      </c>
      <c r="R233" s="94">
        <f t="shared" ca="1" si="69"/>
        <v>3.062401880638153</v>
      </c>
      <c r="S233" s="94">
        <f t="shared" ca="1" si="70"/>
        <v>3.0624018806381534</v>
      </c>
      <c r="T233" s="4">
        <f t="shared" ca="1" si="71"/>
        <v>5.1941934217832973E-9</v>
      </c>
      <c r="U233" s="46">
        <f t="shared" ca="1" si="72"/>
        <v>1366.7282638229713</v>
      </c>
      <c r="V233" s="4">
        <f t="shared" ca="1" si="73"/>
        <v>2.3181317260147646E-6</v>
      </c>
      <c r="W233" s="13">
        <f t="shared" ca="1" si="74"/>
        <v>625.71164123801225</v>
      </c>
      <c r="X233" s="4">
        <f t="shared" ca="1" si="75"/>
        <v>1.0612804646575171E-6</v>
      </c>
      <c r="AE233" s="4"/>
    </row>
    <row r="234" spans="1:31">
      <c r="A234">
        <v>1</v>
      </c>
      <c r="B234">
        <v>2</v>
      </c>
      <c r="C234">
        <f t="shared" si="57"/>
        <v>5</v>
      </c>
      <c r="D234">
        <f t="shared" si="58"/>
        <v>3</v>
      </c>
      <c r="E234">
        <f t="shared" si="59"/>
        <v>1</v>
      </c>
      <c r="F234" s="100">
        <f t="shared" ca="1" si="60"/>
        <v>3.4264999999999997E-2</v>
      </c>
      <c r="G234">
        <v>0</v>
      </c>
      <c r="H234">
        <v>0</v>
      </c>
      <c r="I234">
        <v>7</v>
      </c>
      <c r="J234" s="1">
        <f t="shared" ca="1" si="61"/>
        <v>0</v>
      </c>
      <c r="K234" s="1">
        <f t="shared" ca="1" si="62"/>
        <v>0</v>
      </c>
      <c r="L234" s="13">
        <f t="shared" ca="1" si="63"/>
        <v>91</v>
      </c>
      <c r="M234" s="7">
        <f t="shared" ca="1" si="64"/>
        <v>909</v>
      </c>
      <c r="N234" s="44">
        <f t="shared" ca="1" si="65"/>
        <v>12</v>
      </c>
      <c r="O234" s="94">
        <f t="shared" ca="1" si="66"/>
        <v>3.0624018806381534</v>
      </c>
      <c r="P234" s="94">
        <f t="shared" ca="1" si="67"/>
        <v>30.624018806381528</v>
      </c>
      <c r="Q234" s="94">
        <f t="shared" ca="1" si="68"/>
        <v>30.624018806381528</v>
      </c>
      <c r="R234" s="94">
        <f t="shared" ca="1" si="69"/>
        <v>3.062401880638153</v>
      </c>
      <c r="S234" s="94">
        <f t="shared" ca="1" si="70"/>
        <v>3.0624018806381534</v>
      </c>
      <c r="T234" s="4">
        <f t="shared" ca="1" si="71"/>
        <v>0</v>
      </c>
      <c r="U234" s="46">
        <f t="shared" ca="1" si="72"/>
        <v>1395.7282638229713</v>
      </c>
      <c r="V234" s="4">
        <f t="shared" ca="1" si="73"/>
        <v>0</v>
      </c>
      <c r="W234" s="13">
        <f t="shared" ca="1" si="74"/>
        <v>5843.715458328792</v>
      </c>
      <c r="X234" s="4">
        <f t="shared" ca="1" si="75"/>
        <v>0</v>
      </c>
      <c r="AE234" s="4"/>
    </row>
    <row r="235" spans="1:31">
      <c r="A235">
        <v>1</v>
      </c>
      <c r="B235">
        <v>2</v>
      </c>
      <c r="C235">
        <f t="shared" si="57"/>
        <v>5</v>
      </c>
      <c r="D235">
        <f t="shared" si="58"/>
        <v>3</v>
      </c>
      <c r="E235">
        <f t="shared" si="59"/>
        <v>1</v>
      </c>
      <c r="F235" s="100">
        <f t="shared" ca="1" si="60"/>
        <v>3.4264999999999997E-2</v>
      </c>
      <c r="G235">
        <v>0</v>
      </c>
      <c r="H235">
        <v>0</v>
      </c>
      <c r="I235">
        <v>6</v>
      </c>
      <c r="J235" s="1">
        <f t="shared" ca="1" si="61"/>
        <v>0</v>
      </c>
      <c r="K235" s="1">
        <f t="shared" ca="1" si="62"/>
        <v>0</v>
      </c>
      <c r="L235" s="13">
        <f t="shared" ca="1" si="63"/>
        <v>78</v>
      </c>
      <c r="M235" s="7">
        <f t="shared" ca="1" si="64"/>
        <v>922</v>
      </c>
      <c r="N235" s="44">
        <f t="shared" ca="1" si="65"/>
        <v>12</v>
      </c>
      <c r="O235" s="94">
        <f t="shared" ca="1" si="66"/>
        <v>3.0624018806381534</v>
      </c>
      <c r="P235" s="94">
        <f t="shared" ca="1" si="67"/>
        <v>30.624018806381528</v>
      </c>
      <c r="Q235" s="94">
        <f t="shared" ca="1" si="68"/>
        <v>30.624018806381528</v>
      </c>
      <c r="R235" s="94">
        <f t="shared" ca="1" si="69"/>
        <v>3.062401880638153</v>
      </c>
      <c r="S235" s="94">
        <f t="shared" ca="1" si="70"/>
        <v>3.0624018806381534</v>
      </c>
      <c r="T235" s="4">
        <f t="shared" ca="1" si="71"/>
        <v>0</v>
      </c>
      <c r="U235" s="46">
        <f t="shared" ca="1" si="72"/>
        <v>1382.7282638229713</v>
      </c>
      <c r="V235" s="4">
        <f t="shared" ca="1" si="73"/>
        <v>0</v>
      </c>
      <c r="W235" s="13">
        <f t="shared" ca="1" si="74"/>
        <v>5008.8989642818215</v>
      </c>
      <c r="X235" s="4">
        <f t="shared" ca="1" si="75"/>
        <v>0</v>
      </c>
      <c r="AE235" s="4"/>
    </row>
    <row r="236" spans="1:31">
      <c r="A236">
        <v>1</v>
      </c>
      <c r="B236">
        <v>2</v>
      </c>
      <c r="C236">
        <f t="shared" si="57"/>
        <v>5</v>
      </c>
      <c r="D236">
        <f t="shared" si="58"/>
        <v>3</v>
      </c>
      <c r="E236">
        <f t="shared" si="59"/>
        <v>1</v>
      </c>
      <c r="F236" s="100">
        <f t="shared" ca="1" si="60"/>
        <v>3.4264999999999997E-2</v>
      </c>
      <c r="G236">
        <v>0</v>
      </c>
      <c r="H236">
        <v>0</v>
      </c>
      <c r="I236">
        <v>5</v>
      </c>
      <c r="J236" s="1">
        <f t="shared" ca="1" si="61"/>
        <v>0</v>
      </c>
      <c r="K236" s="1">
        <f t="shared" ca="1" si="62"/>
        <v>0</v>
      </c>
      <c r="L236" s="13">
        <f t="shared" ca="1" si="63"/>
        <v>65</v>
      </c>
      <c r="M236" s="7">
        <f t="shared" ca="1" si="64"/>
        <v>935</v>
      </c>
      <c r="N236" s="44">
        <f t="shared" ca="1" si="65"/>
        <v>12</v>
      </c>
      <c r="O236" s="94">
        <f t="shared" ca="1" si="66"/>
        <v>3.0624018806381534</v>
      </c>
      <c r="P236" s="94">
        <f t="shared" ca="1" si="67"/>
        <v>30.624018806381528</v>
      </c>
      <c r="Q236" s="94">
        <f t="shared" ca="1" si="68"/>
        <v>30.624018806381528</v>
      </c>
      <c r="R236" s="94">
        <f t="shared" ca="1" si="69"/>
        <v>3.062401880638153</v>
      </c>
      <c r="S236" s="94">
        <f t="shared" ca="1" si="70"/>
        <v>3.0624018806381534</v>
      </c>
      <c r="T236" s="4">
        <f t="shared" ca="1" si="71"/>
        <v>0</v>
      </c>
      <c r="U236" s="46">
        <f t="shared" ca="1" si="72"/>
        <v>1369.7282638229713</v>
      </c>
      <c r="V236" s="4">
        <f t="shared" ca="1" si="73"/>
        <v>0</v>
      </c>
      <c r="W236" s="13">
        <f t="shared" ca="1" si="74"/>
        <v>4174.0824702348518</v>
      </c>
      <c r="X236" s="4">
        <f t="shared" ca="1" si="75"/>
        <v>0</v>
      </c>
      <c r="AE236" s="4"/>
    </row>
    <row r="237" spans="1:31">
      <c r="A237">
        <v>1</v>
      </c>
      <c r="B237">
        <v>2</v>
      </c>
      <c r="C237">
        <f t="shared" si="57"/>
        <v>5</v>
      </c>
      <c r="D237">
        <f t="shared" si="58"/>
        <v>3</v>
      </c>
      <c r="E237">
        <f t="shared" si="59"/>
        <v>1</v>
      </c>
      <c r="F237" s="100">
        <f t="shared" ca="1" si="60"/>
        <v>3.4264999999999997E-2</v>
      </c>
      <c r="G237">
        <v>0</v>
      </c>
      <c r="H237">
        <v>0</v>
      </c>
      <c r="I237">
        <v>4</v>
      </c>
      <c r="J237" s="1">
        <f t="shared" ca="1" si="61"/>
        <v>0</v>
      </c>
      <c r="K237" s="1">
        <f t="shared" ca="1" si="62"/>
        <v>0</v>
      </c>
      <c r="L237" s="13">
        <f t="shared" ca="1" si="63"/>
        <v>52</v>
      </c>
      <c r="M237" s="7">
        <f t="shared" ca="1" si="64"/>
        <v>948</v>
      </c>
      <c r="N237" s="44">
        <f t="shared" ca="1" si="65"/>
        <v>12</v>
      </c>
      <c r="O237" s="94">
        <f t="shared" ca="1" si="66"/>
        <v>3.0624018806381534</v>
      </c>
      <c r="P237" s="94">
        <f t="shared" ca="1" si="67"/>
        <v>30.624018806381528</v>
      </c>
      <c r="Q237" s="94">
        <f t="shared" ca="1" si="68"/>
        <v>30.624018806381528</v>
      </c>
      <c r="R237" s="94">
        <f t="shared" ca="1" si="69"/>
        <v>3.062401880638153</v>
      </c>
      <c r="S237" s="94">
        <f t="shared" ca="1" si="70"/>
        <v>3.0624018806381534</v>
      </c>
      <c r="T237" s="4">
        <f t="shared" ca="1" si="71"/>
        <v>0</v>
      </c>
      <c r="U237" s="46">
        <f t="shared" ca="1" si="72"/>
        <v>1356.7282638229713</v>
      </c>
      <c r="V237" s="4">
        <f t="shared" ca="1" si="73"/>
        <v>0</v>
      </c>
      <c r="W237" s="13">
        <f t="shared" ca="1" si="74"/>
        <v>3339.2659761878813</v>
      </c>
      <c r="X237" s="4">
        <f t="shared" ca="1" si="75"/>
        <v>0</v>
      </c>
      <c r="AE237" s="4"/>
    </row>
    <row r="238" spans="1:31">
      <c r="A238">
        <v>1</v>
      </c>
      <c r="B238">
        <v>2</v>
      </c>
      <c r="C238">
        <f t="shared" si="57"/>
        <v>5</v>
      </c>
      <c r="D238">
        <f t="shared" si="58"/>
        <v>3</v>
      </c>
      <c r="E238">
        <f t="shared" si="59"/>
        <v>1</v>
      </c>
      <c r="F238" s="100">
        <f t="shared" ca="1" si="60"/>
        <v>3.4264999999999997E-2</v>
      </c>
      <c r="G238">
        <v>0</v>
      </c>
      <c r="H238">
        <v>0</v>
      </c>
      <c r="I238">
        <v>3</v>
      </c>
      <c r="J238" s="1">
        <f t="shared" ca="1" si="61"/>
        <v>4.8514950000000037E-4</v>
      </c>
      <c r="K238" s="1">
        <f t="shared" ca="1" si="62"/>
        <v>1.6623647617500012E-5</v>
      </c>
      <c r="L238" s="13">
        <f t="shared" ca="1" si="63"/>
        <v>39</v>
      </c>
      <c r="M238" s="7">
        <f t="shared" ca="1" si="64"/>
        <v>961</v>
      </c>
      <c r="N238" s="44">
        <f t="shared" ca="1" si="65"/>
        <v>13</v>
      </c>
      <c r="O238" s="94">
        <f t="shared" ca="1" si="66"/>
        <v>3.2733204919050856</v>
      </c>
      <c r="P238" s="94">
        <f t="shared" ca="1" si="67"/>
        <v>30.624018806381528</v>
      </c>
      <c r="Q238" s="94">
        <f t="shared" ca="1" si="68"/>
        <v>30.624018806381528</v>
      </c>
      <c r="R238" s="94">
        <f t="shared" ca="1" si="69"/>
        <v>3.062401880638153</v>
      </c>
      <c r="S238" s="94">
        <f t="shared" ca="1" si="70"/>
        <v>3.2733204919050856</v>
      </c>
      <c r="T238" s="4">
        <f t="shared" ca="1" si="71"/>
        <v>5.4414526396571946E-5</v>
      </c>
      <c r="U238" s="46">
        <f t="shared" ca="1" si="72"/>
        <v>1420.9771208320408</v>
      </c>
      <c r="V238" s="4">
        <f t="shared" ca="1" si="73"/>
        <v>2.362182292924158E-2</v>
      </c>
      <c r="W238" s="13">
        <f t="shared" ca="1" si="74"/>
        <v>2504.4494821409107</v>
      </c>
      <c r="X238" s="4">
        <f t="shared" ca="1" si="75"/>
        <v>4.1633085666940892E-2</v>
      </c>
      <c r="AE238" s="4"/>
    </row>
    <row r="239" spans="1:31">
      <c r="A239">
        <v>1</v>
      </c>
      <c r="B239">
        <v>2</v>
      </c>
      <c r="C239">
        <f t="shared" si="57"/>
        <v>5</v>
      </c>
      <c r="D239">
        <f t="shared" si="58"/>
        <v>3</v>
      </c>
      <c r="E239">
        <f t="shared" si="59"/>
        <v>1</v>
      </c>
      <c r="F239" s="100">
        <f t="shared" ca="1" si="60"/>
        <v>3.4264999999999997E-2</v>
      </c>
      <c r="G239">
        <v>0</v>
      </c>
      <c r="H239">
        <v>0</v>
      </c>
      <c r="I239">
        <v>2</v>
      </c>
      <c r="J239" s="1">
        <f t="shared" ca="1" si="61"/>
        <v>1.4701500000000025E-5</v>
      </c>
      <c r="K239" s="1">
        <f t="shared" ca="1" si="62"/>
        <v>5.0374689750000081E-7</v>
      </c>
      <c r="L239" s="13">
        <f t="shared" ca="1" si="63"/>
        <v>26</v>
      </c>
      <c r="M239" s="7">
        <f t="shared" ca="1" si="64"/>
        <v>974</v>
      </c>
      <c r="N239" s="44">
        <f t="shared" ca="1" si="65"/>
        <v>13</v>
      </c>
      <c r="O239" s="94">
        <f t="shared" ca="1" si="66"/>
        <v>3.2733204919050856</v>
      </c>
      <c r="P239" s="94">
        <f t="shared" ca="1" si="67"/>
        <v>32.733204919050856</v>
      </c>
      <c r="Q239" s="94">
        <f t="shared" ca="1" si="68"/>
        <v>31.256774640182325</v>
      </c>
      <c r="R239" s="94">
        <f t="shared" ca="1" si="69"/>
        <v>3.1994989779616589</v>
      </c>
      <c r="S239" s="94">
        <f t="shared" ca="1" si="70"/>
        <v>3.2733204919050856</v>
      </c>
      <c r="T239" s="4">
        <f t="shared" ca="1" si="71"/>
        <v>1.6489250423203633E-6</v>
      </c>
      <c r="U239" s="46">
        <f t="shared" ca="1" si="72"/>
        <v>1407.9771208320408</v>
      </c>
      <c r="V239" s="4">
        <f t="shared" ca="1" si="73"/>
        <v>7.0926410637012433E-4</v>
      </c>
      <c r="W239" s="13">
        <f t="shared" ca="1" si="74"/>
        <v>1669.6329880939406</v>
      </c>
      <c r="X239" s="4">
        <f t="shared" ca="1" si="75"/>
        <v>8.4107243771597837E-4</v>
      </c>
      <c r="AE239" s="4"/>
    </row>
    <row r="240" spans="1:31">
      <c r="A240">
        <v>1</v>
      </c>
      <c r="B240">
        <v>2</v>
      </c>
      <c r="C240">
        <f t="shared" si="57"/>
        <v>5</v>
      </c>
      <c r="D240">
        <f t="shared" si="58"/>
        <v>3</v>
      </c>
      <c r="E240">
        <f t="shared" si="59"/>
        <v>1</v>
      </c>
      <c r="F240" s="100">
        <f t="shared" ca="1" si="60"/>
        <v>3.4264999999999997E-2</v>
      </c>
      <c r="G240">
        <v>0</v>
      </c>
      <c r="H240">
        <v>0</v>
      </c>
      <c r="I240">
        <v>1</v>
      </c>
      <c r="J240" s="1">
        <f t="shared" ca="1" si="61"/>
        <v>1.4850000000000041E-7</v>
      </c>
      <c r="K240" s="1">
        <f t="shared" ca="1" si="62"/>
        <v>5.0883525000000137E-9</v>
      </c>
      <c r="L240" s="13">
        <f t="shared" ca="1" si="63"/>
        <v>13</v>
      </c>
      <c r="M240" s="7">
        <f t="shared" ca="1" si="64"/>
        <v>987</v>
      </c>
      <c r="N240" s="44">
        <f t="shared" ca="1" si="65"/>
        <v>13</v>
      </c>
      <c r="O240" s="94">
        <f t="shared" ca="1" si="66"/>
        <v>3.2733204919050856</v>
      </c>
      <c r="P240" s="94">
        <f t="shared" ca="1" si="67"/>
        <v>32.733204919050856</v>
      </c>
      <c r="Q240" s="94">
        <f t="shared" ca="1" si="68"/>
        <v>32.733204919050856</v>
      </c>
      <c r="R240" s="94">
        <f t="shared" ca="1" si="69"/>
        <v>3.2733204919050856</v>
      </c>
      <c r="S240" s="94">
        <f t="shared" ca="1" si="70"/>
        <v>3.2733204919050856</v>
      </c>
      <c r="T240" s="4">
        <f t="shared" ca="1" si="71"/>
        <v>1.6655808508286517E-8</v>
      </c>
      <c r="U240" s="46">
        <f t="shared" ca="1" si="72"/>
        <v>1394.9771208320408</v>
      </c>
      <c r="V240" s="4">
        <f t="shared" ca="1" si="73"/>
        <v>7.0981353202285363E-6</v>
      </c>
      <c r="W240" s="13">
        <f t="shared" ca="1" si="74"/>
        <v>834.81649404697032</v>
      </c>
      <c r="X240" s="4">
        <f t="shared" ca="1" si="75"/>
        <v>4.2478405945251476E-6</v>
      </c>
      <c r="AE240" s="4"/>
    </row>
    <row r="241" spans="1:31">
      <c r="A241">
        <v>1</v>
      </c>
      <c r="B241">
        <v>2</v>
      </c>
      <c r="C241">
        <f t="shared" si="57"/>
        <v>5</v>
      </c>
      <c r="D241">
        <f t="shared" si="58"/>
        <v>3</v>
      </c>
      <c r="E241">
        <f t="shared" si="59"/>
        <v>1</v>
      </c>
      <c r="F241" s="100">
        <f t="shared" ca="1" si="60"/>
        <v>3.4264999999999997E-2</v>
      </c>
      <c r="G241">
        <v>0</v>
      </c>
      <c r="H241">
        <v>0</v>
      </c>
      <c r="I241">
        <v>0</v>
      </c>
      <c r="J241" s="1">
        <f t="shared" ca="1" si="61"/>
        <v>5.0000000000000179E-10</v>
      </c>
      <c r="K241" s="1">
        <f t="shared" ca="1" si="62"/>
        <v>1.713250000000006E-11</v>
      </c>
      <c r="L241" s="13">
        <f t="shared" ca="1" si="63"/>
        <v>0</v>
      </c>
      <c r="M241" s="7">
        <f t="shared" ca="1" si="64"/>
        <v>1000</v>
      </c>
      <c r="N241" s="44">
        <f t="shared" ca="1" si="65"/>
        <v>13</v>
      </c>
      <c r="O241" s="94">
        <f t="shared" ca="1" si="66"/>
        <v>3.2733204919050856</v>
      </c>
      <c r="P241" s="94">
        <f t="shared" ca="1" si="67"/>
        <v>32.733204919050856</v>
      </c>
      <c r="Q241" s="94">
        <f t="shared" ca="1" si="68"/>
        <v>32.733204919050856</v>
      </c>
      <c r="R241" s="94">
        <f t="shared" ca="1" si="69"/>
        <v>3.2733204919050856</v>
      </c>
      <c r="S241" s="94">
        <f t="shared" ca="1" si="70"/>
        <v>3.2733204919050856</v>
      </c>
      <c r="T241" s="4">
        <f t="shared" ca="1" si="71"/>
        <v>5.6080163327564077E-11</v>
      </c>
      <c r="U241" s="46">
        <f t="shared" ca="1" si="72"/>
        <v>1381.9771208320408</v>
      </c>
      <c r="V241" s="4">
        <f t="shared" ca="1" si="73"/>
        <v>2.3676723022655023E-8</v>
      </c>
      <c r="W241" s="13">
        <f t="shared" ca="1" si="74"/>
        <v>0</v>
      </c>
      <c r="X241" s="4">
        <f t="shared" ca="1" si="75"/>
        <v>0</v>
      </c>
      <c r="AE241" s="4"/>
    </row>
    <row r="242" spans="1:31">
      <c r="A242">
        <v>1</v>
      </c>
      <c r="B242">
        <v>3</v>
      </c>
      <c r="C242">
        <f t="shared" si="57"/>
        <v>6</v>
      </c>
      <c r="D242">
        <f t="shared" si="58"/>
        <v>4</v>
      </c>
      <c r="E242">
        <f t="shared" si="59"/>
        <v>1</v>
      </c>
      <c r="F242" s="100">
        <f t="shared" ca="1" si="60"/>
        <v>0</v>
      </c>
      <c r="G242">
        <v>1</v>
      </c>
      <c r="H242">
        <v>1</v>
      </c>
      <c r="I242">
        <v>7</v>
      </c>
      <c r="J242" s="1">
        <f t="shared" ca="1" si="61"/>
        <v>0</v>
      </c>
      <c r="K242" s="1">
        <f t="shared" ca="1" si="62"/>
        <v>0</v>
      </c>
      <c r="L242" s="13">
        <f t="shared" ca="1" si="63"/>
        <v>215</v>
      </c>
      <c r="M242" s="7">
        <f t="shared" ca="1" si="64"/>
        <v>785</v>
      </c>
      <c r="N242" s="44">
        <f t="shared" ca="1" si="65"/>
        <v>10</v>
      </c>
      <c r="O242" s="94">
        <f t="shared" ca="1" si="66"/>
        <v>2.5999636871582168</v>
      </c>
      <c r="P242" s="94">
        <f t="shared" ca="1" si="67"/>
        <v>25.999636871582165</v>
      </c>
      <c r="Q242" s="94">
        <f t="shared" ca="1" si="68"/>
        <v>25.999636871582165</v>
      </c>
      <c r="R242" s="94">
        <f t="shared" ca="1" si="69"/>
        <v>2.5999636871582164</v>
      </c>
      <c r="S242" s="94">
        <f t="shared" ca="1" si="70"/>
        <v>2.5999636871582168</v>
      </c>
      <c r="T242" s="4">
        <f t="shared" ca="1" si="71"/>
        <v>0</v>
      </c>
      <c r="U242" s="46">
        <f t="shared" ca="1" si="72"/>
        <v>1350.360460436222</v>
      </c>
      <c r="V242" s="4">
        <f t="shared" ca="1" si="73"/>
        <v>0</v>
      </c>
      <c r="W242" s="13">
        <f t="shared" ca="1" si="74"/>
        <v>12313.142557895597</v>
      </c>
      <c r="X242" s="4">
        <f t="shared" ca="1" si="75"/>
        <v>0</v>
      </c>
      <c r="AE242" s="4"/>
    </row>
    <row r="243" spans="1:31">
      <c r="A243">
        <v>1</v>
      </c>
      <c r="B243">
        <v>3</v>
      </c>
      <c r="C243">
        <f t="shared" si="57"/>
        <v>6</v>
      </c>
      <c r="D243">
        <f t="shared" si="58"/>
        <v>4</v>
      </c>
      <c r="E243">
        <f t="shared" si="59"/>
        <v>1</v>
      </c>
      <c r="F243" s="100">
        <f t="shared" ca="1" si="60"/>
        <v>0</v>
      </c>
      <c r="G243">
        <v>1</v>
      </c>
      <c r="H243">
        <v>1</v>
      </c>
      <c r="I243">
        <v>6</v>
      </c>
      <c r="J243" s="1">
        <f t="shared" ca="1" si="61"/>
        <v>0</v>
      </c>
      <c r="K243" s="1">
        <f t="shared" ca="1" si="62"/>
        <v>0</v>
      </c>
      <c r="L243" s="13">
        <f t="shared" ca="1" si="63"/>
        <v>202</v>
      </c>
      <c r="M243" s="7">
        <f t="shared" ca="1" si="64"/>
        <v>798</v>
      </c>
      <c r="N243" s="44">
        <f t="shared" ca="1" si="65"/>
        <v>10</v>
      </c>
      <c r="O243" s="94">
        <f t="shared" ca="1" si="66"/>
        <v>2.5999636871582168</v>
      </c>
      <c r="P243" s="94">
        <f t="shared" ca="1" si="67"/>
        <v>25.999636871582165</v>
      </c>
      <c r="Q243" s="94">
        <f t="shared" ca="1" si="68"/>
        <v>25.999636871582165</v>
      </c>
      <c r="R243" s="94">
        <f t="shared" ca="1" si="69"/>
        <v>2.5999636871582164</v>
      </c>
      <c r="S243" s="94">
        <f t="shared" ca="1" si="70"/>
        <v>2.5999636871582168</v>
      </c>
      <c r="T243" s="4">
        <f t="shared" ca="1" si="71"/>
        <v>0</v>
      </c>
      <c r="U243" s="46">
        <f t="shared" ca="1" si="72"/>
        <v>1337.360460436222</v>
      </c>
      <c r="V243" s="4">
        <f t="shared" ca="1" si="73"/>
        <v>0</v>
      </c>
      <c r="W243" s="13">
        <f t="shared" ca="1" si="74"/>
        <v>11478.326063848626</v>
      </c>
      <c r="X243" s="4">
        <f t="shared" ca="1" si="75"/>
        <v>0</v>
      </c>
      <c r="AE243" s="4"/>
    </row>
    <row r="244" spans="1:31">
      <c r="A244">
        <v>1</v>
      </c>
      <c r="B244">
        <v>3</v>
      </c>
      <c r="C244">
        <f t="shared" si="57"/>
        <v>6</v>
      </c>
      <c r="D244">
        <f t="shared" si="58"/>
        <v>4</v>
      </c>
      <c r="E244">
        <f t="shared" si="59"/>
        <v>1</v>
      </c>
      <c r="F244" s="100">
        <f t="shared" ca="1" si="60"/>
        <v>0</v>
      </c>
      <c r="G244">
        <v>1</v>
      </c>
      <c r="H244">
        <v>1</v>
      </c>
      <c r="I244">
        <v>5</v>
      </c>
      <c r="J244" s="1">
        <f t="shared" ca="1" si="61"/>
        <v>0</v>
      </c>
      <c r="K244" s="1">
        <f t="shared" ca="1" si="62"/>
        <v>0</v>
      </c>
      <c r="L244" s="13">
        <f t="shared" ca="1" si="63"/>
        <v>189</v>
      </c>
      <c r="M244" s="7">
        <f t="shared" ca="1" si="64"/>
        <v>811</v>
      </c>
      <c r="N244" s="44">
        <f t="shared" ca="1" si="65"/>
        <v>11</v>
      </c>
      <c r="O244" s="94">
        <f t="shared" ca="1" si="66"/>
        <v>2.8397004155948178</v>
      </c>
      <c r="P244" s="94">
        <f t="shared" ca="1" si="67"/>
        <v>28.397004155948181</v>
      </c>
      <c r="Q244" s="94">
        <f t="shared" ca="1" si="68"/>
        <v>25.999636871582165</v>
      </c>
      <c r="R244" s="94">
        <f t="shared" ca="1" si="69"/>
        <v>2.7198320513765175</v>
      </c>
      <c r="S244" s="94">
        <f t="shared" ca="1" si="70"/>
        <v>2.8397004155948178</v>
      </c>
      <c r="T244" s="4">
        <f t="shared" ca="1" si="71"/>
        <v>0</v>
      </c>
      <c r="U244" s="46">
        <f t="shared" ca="1" si="72"/>
        <v>1412.1639413314356</v>
      </c>
      <c r="V244" s="4">
        <f t="shared" ca="1" si="73"/>
        <v>0</v>
      </c>
      <c r="W244" s="13">
        <f t="shared" ca="1" si="74"/>
        <v>10643.509569801656</v>
      </c>
      <c r="X244" s="4">
        <f t="shared" ca="1" si="75"/>
        <v>0</v>
      </c>
      <c r="AE244" s="4"/>
    </row>
    <row r="245" spans="1:31">
      <c r="A245">
        <v>1</v>
      </c>
      <c r="B245">
        <v>3</v>
      </c>
      <c r="C245">
        <f t="shared" si="57"/>
        <v>6</v>
      </c>
      <c r="D245">
        <f t="shared" si="58"/>
        <v>4</v>
      </c>
      <c r="E245">
        <f t="shared" si="59"/>
        <v>1</v>
      </c>
      <c r="F245" s="100">
        <f t="shared" ca="1" si="60"/>
        <v>0</v>
      </c>
      <c r="G245">
        <v>1</v>
      </c>
      <c r="H245">
        <v>1</v>
      </c>
      <c r="I245">
        <v>4</v>
      </c>
      <c r="J245" s="1">
        <f t="shared" ca="1" si="61"/>
        <v>0.90344054740499991</v>
      </c>
      <c r="K245" s="1">
        <f t="shared" ca="1" si="62"/>
        <v>0</v>
      </c>
      <c r="L245" s="13">
        <f t="shared" ca="1" si="63"/>
        <v>176</v>
      </c>
      <c r="M245" s="7">
        <f t="shared" ca="1" si="64"/>
        <v>824</v>
      </c>
      <c r="N245" s="44">
        <f t="shared" ca="1" si="65"/>
        <v>11</v>
      </c>
      <c r="O245" s="94">
        <f t="shared" ca="1" si="66"/>
        <v>2.8397004155948178</v>
      </c>
      <c r="P245" s="94">
        <f t="shared" ca="1" si="67"/>
        <v>28.397004155948181</v>
      </c>
      <c r="Q245" s="94">
        <f t="shared" ca="1" si="68"/>
        <v>28.397004155948181</v>
      </c>
      <c r="R245" s="94">
        <f t="shared" ca="1" si="69"/>
        <v>2.8397004155948182</v>
      </c>
      <c r="S245" s="94">
        <f t="shared" ca="1" si="70"/>
        <v>2.8397004155948178</v>
      </c>
      <c r="T245" s="4">
        <f t="shared" ca="1" si="71"/>
        <v>0</v>
      </c>
      <c r="U245" s="46">
        <f t="shared" ca="1" si="72"/>
        <v>1399.1639413314356</v>
      </c>
      <c r="V245" s="4">
        <f t="shared" ca="1" si="73"/>
        <v>0</v>
      </c>
      <c r="W245" s="13">
        <f t="shared" ca="1" si="74"/>
        <v>9808.693075754687</v>
      </c>
      <c r="X245" s="4">
        <f t="shared" ca="1" si="75"/>
        <v>0</v>
      </c>
      <c r="AE245" s="4"/>
    </row>
    <row r="246" spans="1:31">
      <c r="A246">
        <v>1</v>
      </c>
      <c r="B246">
        <v>3</v>
      </c>
      <c r="C246">
        <f t="shared" si="57"/>
        <v>6</v>
      </c>
      <c r="D246">
        <f t="shared" si="58"/>
        <v>4</v>
      </c>
      <c r="E246">
        <f t="shared" si="59"/>
        <v>1</v>
      </c>
      <c r="F246" s="100">
        <f t="shared" ca="1" si="60"/>
        <v>0</v>
      </c>
      <c r="G246">
        <v>1</v>
      </c>
      <c r="H246">
        <v>1</v>
      </c>
      <c r="I246">
        <v>3</v>
      </c>
      <c r="J246" s="1">
        <f t="shared" ca="1" si="61"/>
        <v>3.650264838000003E-2</v>
      </c>
      <c r="K246" s="1">
        <f t="shared" ca="1" si="62"/>
        <v>0</v>
      </c>
      <c r="L246" s="13">
        <f t="shared" ca="1" si="63"/>
        <v>163</v>
      </c>
      <c r="M246" s="7">
        <f t="shared" ca="1" si="64"/>
        <v>837</v>
      </c>
      <c r="N246" s="44">
        <f t="shared" ca="1" si="65"/>
        <v>11</v>
      </c>
      <c r="O246" s="94">
        <f t="shared" ca="1" si="66"/>
        <v>2.8397004155948178</v>
      </c>
      <c r="P246" s="94">
        <f t="shared" ca="1" si="67"/>
        <v>28.397004155948181</v>
      </c>
      <c r="Q246" s="94">
        <f t="shared" ca="1" si="68"/>
        <v>28.397004155948181</v>
      </c>
      <c r="R246" s="94">
        <f t="shared" ca="1" si="69"/>
        <v>2.8397004155948182</v>
      </c>
      <c r="S246" s="94">
        <f t="shared" ca="1" si="70"/>
        <v>2.8397004155948178</v>
      </c>
      <c r="T246" s="4">
        <f t="shared" ca="1" si="71"/>
        <v>0</v>
      </c>
      <c r="U246" s="46">
        <f t="shared" ca="1" si="72"/>
        <v>1386.1639413314356</v>
      </c>
      <c r="V246" s="4">
        <f t="shared" ca="1" si="73"/>
        <v>0</v>
      </c>
      <c r="W246" s="13">
        <f t="shared" ca="1" si="74"/>
        <v>8973.8765817077146</v>
      </c>
      <c r="X246" s="4">
        <f t="shared" ca="1" si="75"/>
        <v>0</v>
      </c>
      <c r="AE246" s="4"/>
    </row>
    <row r="247" spans="1:31">
      <c r="A247">
        <v>1</v>
      </c>
      <c r="B247">
        <v>3</v>
      </c>
      <c r="C247">
        <f t="shared" si="57"/>
        <v>6</v>
      </c>
      <c r="D247">
        <f t="shared" si="58"/>
        <v>4</v>
      </c>
      <c r="E247">
        <f t="shared" si="59"/>
        <v>1</v>
      </c>
      <c r="F247" s="100">
        <f t="shared" ca="1" si="60"/>
        <v>0</v>
      </c>
      <c r="G247">
        <v>1</v>
      </c>
      <c r="H247">
        <v>1</v>
      </c>
      <c r="I247">
        <v>2</v>
      </c>
      <c r="J247" s="1">
        <f t="shared" ca="1" si="61"/>
        <v>5.5307043000000101E-4</v>
      </c>
      <c r="K247" s="1">
        <f t="shared" ca="1" si="62"/>
        <v>0</v>
      </c>
      <c r="L247" s="13">
        <f t="shared" ca="1" si="63"/>
        <v>150</v>
      </c>
      <c r="M247" s="7">
        <f t="shared" ca="1" si="64"/>
        <v>850</v>
      </c>
      <c r="N247" s="44">
        <f t="shared" ca="1" si="65"/>
        <v>11</v>
      </c>
      <c r="O247" s="94">
        <f t="shared" ca="1" si="66"/>
        <v>2.8397004155948178</v>
      </c>
      <c r="P247" s="94">
        <f t="shared" ca="1" si="67"/>
        <v>28.397004155948181</v>
      </c>
      <c r="Q247" s="94">
        <f t="shared" ca="1" si="68"/>
        <v>28.397004155948181</v>
      </c>
      <c r="R247" s="94">
        <f t="shared" ca="1" si="69"/>
        <v>2.8397004155948182</v>
      </c>
      <c r="S247" s="94">
        <f t="shared" ca="1" si="70"/>
        <v>2.8397004155948178</v>
      </c>
      <c r="T247" s="4">
        <f t="shared" ca="1" si="71"/>
        <v>0</v>
      </c>
      <c r="U247" s="46">
        <f t="shared" ca="1" si="72"/>
        <v>1373.1639413314356</v>
      </c>
      <c r="V247" s="4">
        <f t="shared" ca="1" si="73"/>
        <v>0</v>
      </c>
      <c r="W247" s="13">
        <f t="shared" ca="1" si="74"/>
        <v>8139.0600876607459</v>
      </c>
      <c r="X247" s="4">
        <f t="shared" ca="1" si="75"/>
        <v>0</v>
      </c>
      <c r="AE247" s="4"/>
    </row>
    <row r="248" spans="1:31">
      <c r="A248">
        <v>1</v>
      </c>
      <c r="B248">
        <v>3</v>
      </c>
      <c r="C248">
        <f t="shared" si="57"/>
        <v>6</v>
      </c>
      <c r="D248">
        <f t="shared" si="58"/>
        <v>4</v>
      </c>
      <c r="E248">
        <f t="shared" si="59"/>
        <v>1</v>
      </c>
      <c r="F248" s="100">
        <f t="shared" ca="1" si="60"/>
        <v>0</v>
      </c>
      <c r="G248">
        <v>1</v>
      </c>
      <c r="H248">
        <v>1</v>
      </c>
      <c r="I248">
        <v>1</v>
      </c>
      <c r="J248" s="1">
        <f t="shared" ca="1" si="61"/>
        <v>3.7243800000000099E-6</v>
      </c>
      <c r="K248" s="1">
        <f t="shared" ca="1" si="62"/>
        <v>0</v>
      </c>
      <c r="L248" s="13">
        <f t="shared" ca="1" si="63"/>
        <v>137</v>
      </c>
      <c r="M248" s="7">
        <f t="shared" ca="1" si="64"/>
        <v>863</v>
      </c>
      <c r="N248" s="44">
        <f t="shared" ca="1" si="65"/>
        <v>11</v>
      </c>
      <c r="O248" s="94">
        <f t="shared" ca="1" si="66"/>
        <v>2.8397004155948178</v>
      </c>
      <c r="P248" s="94">
        <f t="shared" ca="1" si="67"/>
        <v>28.397004155948181</v>
      </c>
      <c r="Q248" s="94">
        <f t="shared" ca="1" si="68"/>
        <v>28.397004155948181</v>
      </c>
      <c r="R248" s="94">
        <f t="shared" ca="1" si="69"/>
        <v>2.8397004155948182</v>
      </c>
      <c r="S248" s="94">
        <f t="shared" ca="1" si="70"/>
        <v>2.8397004155948178</v>
      </c>
      <c r="T248" s="4">
        <f t="shared" ca="1" si="71"/>
        <v>0</v>
      </c>
      <c r="U248" s="46">
        <f t="shared" ca="1" si="72"/>
        <v>1360.1639413314356</v>
      </c>
      <c r="V248" s="4">
        <f t="shared" ca="1" si="73"/>
        <v>0</v>
      </c>
      <c r="W248" s="13">
        <f t="shared" ca="1" si="74"/>
        <v>7304.2435936137754</v>
      </c>
      <c r="X248" s="4">
        <f t="shared" ca="1" si="75"/>
        <v>0</v>
      </c>
      <c r="AE248" s="4"/>
    </row>
    <row r="249" spans="1:31">
      <c r="A249">
        <v>1</v>
      </c>
      <c r="B249">
        <v>3</v>
      </c>
      <c r="C249">
        <f t="shared" si="57"/>
        <v>6</v>
      </c>
      <c r="D249">
        <f t="shared" si="58"/>
        <v>4</v>
      </c>
      <c r="E249">
        <f t="shared" si="59"/>
        <v>1</v>
      </c>
      <c r="F249" s="100">
        <f t="shared" ca="1" si="60"/>
        <v>0</v>
      </c>
      <c r="G249">
        <v>1</v>
      </c>
      <c r="H249">
        <v>1</v>
      </c>
      <c r="I249">
        <v>0</v>
      </c>
      <c r="J249" s="1">
        <f t="shared" ca="1" si="61"/>
        <v>9.4050000000000352E-9</v>
      </c>
      <c r="K249" s="1">
        <f t="shared" ca="1" si="62"/>
        <v>0</v>
      </c>
      <c r="L249" s="13">
        <f t="shared" ca="1" si="63"/>
        <v>124</v>
      </c>
      <c r="M249" s="7">
        <f t="shared" ca="1" si="64"/>
        <v>876</v>
      </c>
      <c r="N249" s="44">
        <f t="shared" ca="1" si="65"/>
        <v>11</v>
      </c>
      <c r="O249" s="94">
        <f t="shared" ca="1" si="66"/>
        <v>2.8397004155948178</v>
      </c>
      <c r="P249" s="94">
        <f t="shared" ca="1" si="67"/>
        <v>28.397004155948181</v>
      </c>
      <c r="Q249" s="94">
        <f t="shared" ca="1" si="68"/>
        <v>28.397004155948181</v>
      </c>
      <c r="R249" s="94">
        <f t="shared" ca="1" si="69"/>
        <v>2.8397004155948182</v>
      </c>
      <c r="S249" s="94">
        <f t="shared" ca="1" si="70"/>
        <v>2.8397004155948178</v>
      </c>
      <c r="T249" s="4">
        <f t="shared" ca="1" si="71"/>
        <v>0</v>
      </c>
      <c r="U249" s="46">
        <f t="shared" ca="1" si="72"/>
        <v>1347.1639413314356</v>
      </c>
      <c r="V249" s="4">
        <f t="shared" ca="1" si="73"/>
        <v>0</v>
      </c>
      <c r="W249" s="13">
        <f t="shared" ca="1" si="74"/>
        <v>6469.4270995668048</v>
      </c>
      <c r="X249" s="4">
        <f t="shared" ca="1" si="75"/>
        <v>0</v>
      </c>
      <c r="AE249" s="4"/>
    </row>
    <row r="250" spans="1:31">
      <c r="A250">
        <v>1</v>
      </c>
      <c r="B250">
        <v>3</v>
      </c>
      <c r="C250">
        <f t="shared" si="57"/>
        <v>6</v>
      </c>
      <c r="D250">
        <f t="shared" si="58"/>
        <v>4</v>
      </c>
      <c r="E250">
        <f t="shared" si="59"/>
        <v>1</v>
      </c>
      <c r="F250" s="100">
        <f t="shared" ca="1" si="60"/>
        <v>0</v>
      </c>
      <c r="G250">
        <v>1</v>
      </c>
      <c r="H250">
        <v>0</v>
      </c>
      <c r="I250">
        <v>7</v>
      </c>
      <c r="J250" s="1">
        <f t="shared" ca="1" si="61"/>
        <v>0</v>
      </c>
      <c r="K250" s="1">
        <f t="shared" ca="1" si="62"/>
        <v>0</v>
      </c>
      <c r="L250" s="13">
        <f t="shared" ca="1" si="63"/>
        <v>153</v>
      </c>
      <c r="M250" s="7">
        <f t="shared" ca="1" si="64"/>
        <v>847</v>
      </c>
      <c r="N250" s="44">
        <f t="shared" ca="1" si="65"/>
        <v>11</v>
      </c>
      <c r="O250" s="94">
        <f t="shared" ca="1" si="66"/>
        <v>2.8397004155948178</v>
      </c>
      <c r="P250" s="94">
        <f t="shared" ca="1" si="67"/>
        <v>28.397004155948181</v>
      </c>
      <c r="Q250" s="94">
        <f t="shared" ca="1" si="68"/>
        <v>28.397004155948181</v>
      </c>
      <c r="R250" s="94">
        <f t="shared" ca="1" si="69"/>
        <v>2.8397004155948182</v>
      </c>
      <c r="S250" s="94">
        <f t="shared" ca="1" si="70"/>
        <v>2.8397004155948178</v>
      </c>
      <c r="T250" s="4">
        <f t="shared" ca="1" si="71"/>
        <v>0</v>
      </c>
      <c r="U250" s="46">
        <f t="shared" ca="1" si="72"/>
        <v>1376.1639413314356</v>
      </c>
      <c r="V250" s="4">
        <f t="shared" ca="1" si="73"/>
        <v>0</v>
      </c>
      <c r="W250" s="13">
        <f t="shared" ca="1" si="74"/>
        <v>11687.430916657584</v>
      </c>
      <c r="X250" s="4">
        <f t="shared" ca="1" si="75"/>
        <v>0</v>
      </c>
      <c r="AE250" s="4"/>
    </row>
    <row r="251" spans="1:31">
      <c r="A251">
        <v>1</v>
      </c>
      <c r="B251">
        <v>3</v>
      </c>
      <c r="C251">
        <f t="shared" si="57"/>
        <v>6</v>
      </c>
      <c r="D251">
        <f t="shared" si="58"/>
        <v>4</v>
      </c>
      <c r="E251">
        <f t="shared" si="59"/>
        <v>1</v>
      </c>
      <c r="F251" s="100">
        <f t="shared" ca="1" si="60"/>
        <v>0</v>
      </c>
      <c r="G251">
        <v>1</v>
      </c>
      <c r="H251">
        <v>0</v>
      </c>
      <c r="I251">
        <v>6</v>
      </c>
      <c r="J251" s="1">
        <f t="shared" ca="1" si="61"/>
        <v>0</v>
      </c>
      <c r="K251" s="1">
        <f t="shared" ca="1" si="62"/>
        <v>0</v>
      </c>
      <c r="L251" s="13">
        <f t="shared" ca="1" si="63"/>
        <v>140</v>
      </c>
      <c r="M251" s="7">
        <f t="shared" ca="1" si="64"/>
        <v>860</v>
      </c>
      <c r="N251" s="44">
        <f t="shared" ca="1" si="65"/>
        <v>11</v>
      </c>
      <c r="O251" s="94">
        <f t="shared" ca="1" si="66"/>
        <v>2.8397004155948178</v>
      </c>
      <c r="P251" s="94">
        <f t="shared" ca="1" si="67"/>
        <v>28.397004155948181</v>
      </c>
      <c r="Q251" s="94">
        <f t="shared" ca="1" si="68"/>
        <v>28.397004155948181</v>
      </c>
      <c r="R251" s="94">
        <f t="shared" ca="1" si="69"/>
        <v>2.8397004155948182</v>
      </c>
      <c r="S251" s="94">
        <f t="shared" ca="1" si="70"/>
        <v>2.8397004155948178</v>
      </c>
      <c r="T251" s="4">
        <f t="shared" ca="1" si="71"/>
        <v>0</v>
      </c>
      <c r="U251" s="46">
        <f t="shared" ca="1" si="72"/>
        <v>1363.1639413314356</v>
      </c>
      <c r="V251" s="4">
        <f t="shared" ca="1" si="73"/>
        <v>0</v>
      </c>
      <c r="W251" s="13">
        <f t="shared" ca="1" si="74"/>
        <v>10852.614422610615</v>
      </c>
      <c r="X251" s="4">
        <f t="shared" ca="1" si="75"/>
        <v>0</v>
      </c>
      <c r="AE251" s="4"/>
    </row>
    <row r="252" spans="1:31">
      <c r="A252">
        <v>1</v>
      </c>
      <c r="B252">
        <v>3</v>
      </c>
      <c r="C252">
        <f t="shared" si="57"/>
        <v>6</v>
      </c>
      <c r="D252">
        <f t="shared" si="58"/>
        <v>4</v>
      </c>
      <c r="E252">
        <f t="shared" si="59"/>
        <v>1</v>
      </c>
      <c r="F252" s="100">
        <f t="shared" ca="1" si="60"/>
        <v>0</v>
      </c>
      <c r="G252">
        <v>1</v>
      </c>
      <c r="H252">
        <v>0</v>
      </c>
      <c r="I252">
        <v>5</v>
      </c>
      <c r="J252" s="1">
        <f t="shared" ca="1" si="61"/>
        <v>0</v>
      </c>
      <c r="K252" s="1">
        <f t="shared" ca="1" si="62"/>
        <v>0</v>
      </c>
      <c r="L252" s="13">
        <f t="shared" ca="1" si="63"/>
        <v>127</v>
      </c>
      <c r="M252" s="7">
        <f t="shared" ca="1" si="64"/>
        <v>873</v>
      </c>
      <c r="N252" s="44">
        <f t="shared" ca="1" si="65"/>
        <v>11</v>
      </c>
      <c r="O252" s="94">
        <f t="shared" ca="1" si="66"/>
        <v>2.8397004155948178</v>
      </c>
      <c r="P252" s="94">
        <f t="shared" ca="1" si="67"/>
        <v>28.397004155948181</v>
      </c>
      <c r="Q252" s="94">
        <f t="shared" ca="1" si="68"/>
        <v>28.397004155948181</v>
      </c>
      <c r="R252" s="94">
        <f t="shared" ca="1" si="69"/>
        <v>2.8397004155948182</v>
      </c>
      <c r="S252" s="94">
        <f t="shared" ca="1" si="70"/>
        <v>2.8397004155948178</v>
      </c>
      <c r="T252" s="4">
        <f t="shared" ca="1" si="71"/>
        <v>0</v>
      </c>
      <c r="U252" s="46">
        <f t="shared" ca="1" si="72"/>
        <v>1350.1639413314356</v>
      </c>
      <c r="V252" s="4">
        <f t="shared" ca="1" si="73"/>
        <v>0</v>
      </c>
      <c r="W252" s="13">
        <f t="shared" ca="1" si="74"/>
        <v>10017.797928563645</v>
      </c>
      <c r="X252" s="4">
        <f t="shared" ca="1" si="75"/>
        <v>0</v>
      </c>
      <c r="AE252" s="4"/>
    </row>
    <row r="253" spans="1:31">
      <c r="A253">
        <v>1</v>
      </c>
      <c r="B253">
        <v>3</v>
      </c>
      <c r="C253">
        <f t="shared" si="57"/>
        <v>6</v>
      </c>
      <c r="D253">
        <f t="shared" si="58"/>
        <v>4</v>
      </c>
      <c r="E253">
        <f t="shared" si="59"/>
        <v>1</v>
      </c>
      <c r="F253" s="100">
        <f t="shared" ca="1" si="60"/>
        <v>0</v>
      </c>
      <c r="G253">
        <v>1</v>
      </c>
      <c r="H253">
        <v>0</v>
      </c>
      <c r="I253">
        <v>4</v>
      </c>
      <c r="J253" s="1">
        <f t="shared" ca="1" si="61"/>
        <v>9.1256620950000075E-3</v>
      </c>
      <c r="K253" s="1">
        <f t="shared" ca="1" si="62"/>
        <v>0</v>
      </c>
      <c r="L253" s="13">
        <f t="shared" ca="1" si="63"/>
        <v>114</v>
      </c>
      <c r="M253" s="7">
        <f t="shared" ca="1" si="64"/>
        <v>886</v>
      </c>
      <c r="N253" s="44">
        <f t="shared" ca="1" si="65"/>
        <v>12</v>
      </c>
      <c r="O253" s="94">
        <f t="shared" ca="1" si="66"/>
        <v>3.0624018806381534</v>
      </c>
      <c r="P253" s="94">
        <f t="shared" ca="1" si="67"/>
        <v>29.510511481164862</v>
      </c>
      <c r="Q253" s="94">
        <f t="shared" ca="1" si="68"/>
        <v>28.397004155948181</v>
      </c>
      <c r="R253" s="94">
        <f t="shared" ca="1" si="69"/>
        <v>2.8953757818556523</v>
      </c>
      <c r="S253" s="94">
        <f t="shared" ca="1" si="70"/>
        <v>3.0624018806381534</v>
      </c>
      <c r="T253" s="4">
        <f t="shared" ca="1" si="71"/>
        <v>0</v>
      </c>
      <c r="U253" s="46">
        <f t="shared" ca="1" si="72"/>
        <v>1418.7282638229713</v>
      </c>
      <c r="V253" s="4">
        <f t="shared" ca="1" si="73"/>
        <v>0</v>
      </c>
      <c r="W253" s="13">
        <f t="shared" ca="1" si="74"/>
        <v>9182.9814345166742</v>
      </c>
      <c r="X253" s="4">
        <f t="shared" ca="1" si="75"/>
        <v>0</v>
      </c>
      <c r="AE253" s="4"/>
    </row>
    <row r="254" spans="1:31">
      <c r="A254">
        <v>1</v>
      </c>
      <c r="B254">
        <v>3</v>
      </c>
      <c r="C254">
        <f t="shared" si="57"/>
        <v>6</v>
      </c>
      <c r="D254">
        <f t="shared" si="58"/>
        <v>4</v>
      </c>
      <c r="E254">
        <f t="shared" si="59"/>
        <v>1</v>
      </c>
      <c r="F254" s="100">
        <f t="shared" ca="1" si="60"/>
        <v>0</v>
      </c>
      <c r="G254">
        <v>1</v>
      </c>
      <c r="H254">
        <v>0</v>
      </c>
      <c r="I254">
        <v>3</v>
      </c>
      <c r="J254" s="1">
        <f t="shared" ca="1" si="61"/>
        <v>3.6871362000000067E-4</v>
      </c>
      <c r="K254" s="1">
        <f t="shared" ca="1" si="62"/>
        <v>0</v>
      </c>
      <c r="L254" s="13">
        <f t="shared" ca="1" si="63"/>
        <v>101</v>
      </c>
      <c r="M254" s="7">
        <f t="shared" ca="1" si="64"/>
        <v>899</v>
      </c>
      <c r="N254" s="44">
        <f t="shared" ca="1" si="65"/>
        <v>12</v>
      </c>
      <c r="O254" s="94">
        <f t="shared" ca="1" si="66"/>
        <v>3.0624018806381534</v>
      </c>
      <c r="P254" s="94">
        <f t="shared" ca="1" si="67"/>
        <v>30.624018806381528</v>
      </c>
      <c r="Q254" s="94">
        <f t="shared" ca="1" si="68"/>
        <v>30.178615876294863</v>
      </c>
      <c r="R254" s="94">
        <f t="shared" ca="1" si="69"/>
        <v>3.0401317341338197</v>
      </c>
      <c r="S254" s="94">
        <f t="shared" ca="1" si="70"/>
        <v>3.0624018806381534</v>
      </c>
      <c r="T254" s="4">
        <f t="shared" ca="1" si="71"/>
        <v>0</v>
      </c>
      <c r="U254" s="46">
        <f t="shared" ca="1" si="72"/>
        <v>1405.7282638229713</v>
      </c>
      <c r="V254" s="4">
        <f t="shared" ca="1" si="73"/>
        <v>0</v>
      </c>
      <c r="W254" s="13">
        <f t="shared" ca="1" si="74"/>
        <v>8348.1649404697037</v>
      </c>
      <c r="X254" s="4">
        <f t="shared" ca="1" si="75"/>
        <v>0</v>
      </c>
      <c r="AE254" s="4"/>
    </row>
    <row r="255" spans="1:31">
      <c r="A255">
        <v>1</v>
      </c>
      <c r="B255">
        <v>3</v>
      </c>
      <c r="C255">
        <f t="shared" si="57"/>
        <v>6</v>
      </c>
      <c r="D255">
        <f t="shared" si="58"/>
        <v>4</v>
      </c>
      <c r="E255">
        <f t="shared" si="59"/>
        <v>1</v>
      </c>
      <c r="F255" s="100">
        <f t="shared" ca="1" si="60"/>
        <v>0</v>
      </c>
      <c r="G255">
        <v>1</v>
      </c>
      <c r="H255">
        <v>0</v>
      </c>
      <c r="I255">
        <v>2</v>
      </c>
      <c r="J255" s="1">
        <f t="shared" ca="1" si="61"/>
        <v>5.5865700000000149E-6</v>
      </c>
      <c r="K255" s="1">
        <f t="shared" ca="1" si="62"/>
        <v>0</v>
      </c>
      <c r="L255" s="13">
        <f t="shared" ca="1" si="63"/>
        <v>88</v>
      </c>
      <c r="M255" s="7">
        <f t="shared" ca="1" si="64"/>
        <v>912</v>
      </c>
      <c r="N255" s="44">
        <f t="shared" ca="1" si="65"/>
        <v>12</v>
      </c>
      <c r="O255" s="94">
        <f t="shared" ca="1" si="66"/>
        <v>3.0624018806381534</v>
      </c>
      <c r="P255" s="94">
        <f t="shared" ca="1" si="67"/>
        <v>30.624018806381528</v>
      </c>
      <c r="Q255" s="94">
        <f t="shared" ca="1" si="68"/>
        <v>30.624018806381528</v>
      </c>
      <c r="R255" s="94">
        <f t="shared" ca="1" si="69"/>
        <v>3.062401880638153</v>
      </c>
      <c r="S255" s="94">
        <f t="shared" ca="1" si="70"/>
        <v>3.0624018806381534</v>
      </c>
      <c r="T255" s="4">
        <f t="shared" ca="1" si="71"/>
        <v>0</v>
      </c>
      <c r="U255" s="46">
        <f t="shared" ca="1" si="72"/>
        <v>1392.7282638229713</v>
      </c>
      <c r="V255" s="4">
        <f t="shared" ca="1" si="73"/>
        <v>0</v>
      </c>
      <c r="W255" s="13">
        <f t="shared" ca="1" si="74"/>
        <v>7513.3484464227331</v>
      </c>
      <c r="X255" s="4">
        <f t="shared" ca="1" si="75"/>
        <v>0</v>
      </c>
      <c r="AE255" s="4"/>
    </row>
    <row r="256" spans="1:31">
      <c r="A256">
        <v>1</v>
      </c>
      <c r="B256">
        <v>3</v>
      </c>
      <c r="C256">
        <f t="shared" si="57"/>
        <v>6</v>
      </c>
      <c r="D256">
        <f t="shared" si="58"/>
        <v>4</v>
      </c>
      <c r="E256">
        <f t="shared" si="59"/>
        <v>1</v>
      </c>
      <c r="F256" s="100">
        <f t="shared" ca="1" si="60"/>
        <v>0</v>
      </c>
      <c r="G256">
        <v>1</v>
      </c>
      <c r="H256">
        <v>0</v>
      </c>
      <c r="I256">
        <v>1</v>
      </c>
      <c r="J256" s="1">
        <f t="shared" ca="1" si="61"/>
        <v>3.7620000000000134E-8</v>
      </c>
      <c r="K256" s="1">
        <f t="shared" ca="1" si="62"/>
        <v>0</v>
      </c>
      <c r="L256" s="13">
        <f t="shared" ca="1" si="63"/>
        <v>75</v>
      </c>
      <c r="M256" s="7">
        <f t="shared" ca="1" si="64"/>
        <v>925</v>
      </c>
      <c r="N256" s="44">
        <f t="shared" ca="1" si="65"/>
        <v>12</v>
      </c>
      <c r="O256" s="94">
        <f t="shared" ca="1" si="66"/>
        <v>3.0624018806381534</v>
      </c>
      <c r="P256" s="94">
        <f t="shared" ca="1" si="67"/>
        <v>30.624018806381528</v>
      </c>
      <c r="Q256" s="94">
        <f t="shared" ca="1" si="68"/>
        <v>30.624018806381528</v>
      </c>
      <c r="R256" s="94">
        <f t="shared" ca="1" si="69"/>
        <v>3.062401880638153</v>
      </c>
      <c r="S256" s="94">
        <f t="shared" ca="1" si="70"/>
        <v>3.0624018806381534</v>
      </c>
      <c r="T256" s="4">
        <f t="shared" ca="1" si="71"/>
        <v>0</v>
      </c>
      <c r="U256" s="46">
        <f t="shared" ca="1" si="72"/>
        <v>1379.7282638229713</v>
      </c>
      <c r="V256" s="4">
        <f t="shared" ca="1" si="73"/>
        <v>0</v>
      </c>
      <c r="W256" s="13">
        <f t="shared" ca="1" si="74"/>
        <v>6678.5319523757635</v>
      </c>
      <c r="X256" s="4">
        <f t="shared" ca="1" si="75"/>
        <v>0</v>
      </c>
      <c r="AE256" s="4"/>
    </row>
    <row r="257" spans="1:31">
      <c r="A257">
        <v>1</v>
      </c>
      <c r="B257">
        <v>3</v>
      </c>
      <c r="C257">
        <f t="shared" si="57"/>
        <v>6</v>
      </c>
      <c r="D257">
        <f t="shared" si="58"/>
        <v>4</v>
      </c>
      <c r="E257">
        <f t="shared" si="59"/>
        <v>1</v>
      </c>
      <c r="F257" s="100">
        <f t="shared" ca="1" si="60"/>
        <v>0</v>
      </c>
      <c r="G257">
        <v>1</v>
      </c>
      <c r="H257">
        <v>0</v>
      </c>
      <c r="I257">
        <v>0</v>
      </c>
      <c r="J257" s="1">
        <f t="shared" ca="1" si="61"/>
        <v>9.5000000000000434E-11</v>
      </c>
      <c r="K257" s="1">
        <f t="shared" ca="1" si="62"/>
        <v>0</v>
      </c>
      <c r="L257" s="13">
        <f t="shared" ca="1" si="63"/>
        <v>62</v>
      </c>
      <c r="M257" s="7">
        <f t="shared" ca="1" si="64"/>
        <v>938</v>
      </c>
      <c r="N257" s="44">
        <f t="shared" ca="1" si="65"/>
        <v>12</v>
      </c>
      <c r="O257" s="94">
        <f t="shared" ca="1" si="66"/>
        <v>3.0624018806381534</v>
      </c>
      <c r="P257" s="94">
        <f t="shared" ca="1" si="67"/>
        <v>30.624018806381528</v>
      </c>
      <c r="Q257" s="94">
        <f t="shared" ca="1" si="68"/>
        <v>30.624018806381528</v>
      </c>
      <c r="R257" s="94">
        <f t="shared" ca="1" si="69"/>
        <v>3.062401880638153</v>
      </c>
      <c r="S257" s="94">
        <f t="shared" ca="1" si="70"/>
        <v>3.0624018806381534</v>
      </c>
      <c r="T257" s="4">
        <f t="shared" ca="1" si="71"/>
        <v>0</v>
      </c>
      <c r="U257" s="46">
        <f t="shared" ca="1" si="72"/>
        <v>1366.7282638229713</v>
      </c>
      <c r="V257" s="4">
        <f t="shared" ca="1" si="73"/>
        <v>0</v>
      </c>
      <c r="W257" s="13">
        <f t="shared" ca="1" si="74"/>
        <v>5843.7154583287929</v>
      </c>
      <c r="X257" s="4">
        <f t="shared" ca="1" si="75"/>
        <v>0</v>
      </c>
      <c r="AE257" s="4"/>
    </row>
    <row r="258" spans="1:31">
      <c r="A258">
        <v>1</v>
      </c>
      <c r="B258">
        <v>3</v>
      </c>
      <c r="C258">
        <f t="shared" si="57"/>
        <v>6</v>
      </c>
      <c r="D258">
        <f t="shared" si="58"/>
        <v>4</v>
      </c>
      <c r="E258">
        <f t="shared" si="59"/>
        <v>1</v>
      </c>
      <c r="F258" s="100">
        <f t="shared" ca="1" si="60"/>
        <v>0</v>
      </c>
      <c r="G258">
        <v>0</v>
      </c>
      <c r="H258">
        <v>1</v>
      </c>
      <c r="I258">
        <v>7</v>
      </c>
      <c r="J258" s="1">
        <f t="shared" ca="1" si="61"/>
        <v>0</v>
      </c>
      <c r="K258" s="1">
        <f t="shared" ca="1" si="62"/>
        <v>0</v>
      </c>
      <c r="L258" s="13">
        <f t="shared" ca="1" si="63"/>
        <v>153</v>
      </c>
      <c r="M258" s="7">
        <f t="shared" ca="1" si="64"/>
        <v>847</v>
      </c>
      <c r="N258" s="44">
        <f t="shared" ca="1" si="65"/>
        <v>11</v>
      </c>
      <c r="O258" s="94">
        <f t="shared" ca="1" si="66"/>
        <v>2.8397004155948178</v>
      </c>
      <c r="P258" s="94">
        <f t="shared" ca="1" si="67"/>
        <v>28.397004155948181</v>
      </c>
      <c r="Q258" s="94">
        <f t="shared" ca="1" si="68"/>
        <v>28.397004155948181</v>
      </c>
      <c r="R258" s="94">
        <f t="shared" ca="1" si="69"/>
        <v>2.8397004155948182</v>
      </c>
      <c r="S258" s="94">
        <f t="shared" ca="1" si="70"/>
        <v>2.8397004155948178</v>
      </c>
      <c r="T258" s="4">
        <f t="shared" ca="1" si="71"/>
        <v>0</v>
      </c>
      <c r="U258" s="46">
        <f t="shared" ca="1" si="72"/>
        <v>1376.1639413314356</v>
      </c>
      <c r="V258" s="4">
        <f t="shared" ca="1" si="73"/>
        <v>0</v>
      </c>
      <c r="W258" s="13">
        <f t="shared" ca="1" si="74"/>
        <v>6469.4270995668039</v>
      </c>
      <c r="X258" s="4">
        <f t="shared" ca="1" si="75"/>
        <v>0</v>
      </c>
      <c r="AE258" s="4"/>
    </row>
    <row r="259" spans="1:31">
      <c r="A259">
        <v>1</v>
      </c>
      <c r="B259">
        <v>3</v>
      </c>
      <c r="C259">
        <f t="shared" si="57"/>
        <v>6</v>
      </c>
      <c r="D259">
        <f t="shared" si="58"/>
        <v>4</v>
      </c>
      <c r="E259">
        <f t="shared" si="59"/>
        <v>1</v>
      </c>
      <c r="F259" s="100">
        <f t="shared" ca="1" si="60"/>
        <v>0</v>
      </c>
      <c r="G259">
        <v>0</v>
      </c>
      <c r="H259">
        <v>1</v>
      </c>
      <c r="I259">
        <v>6</v>
      </c>
      <c r="J259" s="1">
        <f t="shared" ca="1" si="61"/>
        <v>0</v>
      </c>
      <c r="K259" s="1">
        <f t="shared" ca="1" si="62"/>
        <v>0</v>
      </c>
      <c r="L259" s="13">
        <f t="shared" ca="1" si="63"/>
        <v>140</v>
      </c>
      <c r="M259" s="7">
        <f t="shared" ca="1" si="64"/>
        <v>860</v>
      </c>
      <c r="N259" s="44">
        <f t="shared" ca="1" si="65"/>
        <v>11</v>
      </c>
      <c r="O259" s="94">
        <f t="shared" ca="1" si="66"/>
        <v>2.8397004155948178</v>
      </c>
      <c r="P259" s="94">
        <f t="shared" ca="1" si="67"/>
        <v>28.397004155948181</v>
      </c>
      <c r="Q259" s="94">
        <f t="shared" ca="1" si="68"/>
        <v>28.397004155948181</v>
      </c>
      <c r="R259" s="94">
        <f t="shared" ca="1" si="69"/>
        <v>2.8397004155948182</v>
      </c>
      <c r="S259" s="94">
        <f t="shared" ca="1" si="70"/>
        <v>2.8397004155948178</v>
      </c>
      <c r="T259" s="4">
        <f t="shared" ca="1" si="71"/>
        <v>0</v>
      </c>
      <c r="U259" s="46">
        <f t="shared" ca="1" si="72"/>
        <v>1363.1639413314356</v>
      </c>
      <c r="V259" s="4">
        <f t="shared" ca="1" si="73"/>
        <v>0</v>
      </c>
      <c r="W259" s="13">
        <f t="shared" ca="1" si="74"/>
        <v>5634.6106055198334</v>
      </c>
      <c r="X259" s="4">
        <f t="shared" ca="1" si="75"/>
        <v>0</v>
      </c>
      <c r="AE259" s="4"/>
    </row>
    <row r="260" spans="1:31">
      <c r="A260">
        <v>1</v>
      </c>
      <c r="B260">
        <v>3</v>
      </c>
      <c r="C260">
        <f t="shared" si="57"/>
        <v>6</v>
      </c>
      <c r="D260">
        <f t="shared" si="58"/>
        <v>4</v>
      </c>
      <c r="E260">
        <f t="shared" si="59"/>
        <v>1</v>
      </c>
      <c r="F260" s="100">
        <f t="shared" ca="1" si="60"/>
        <v>0</v>
      </c>
      <c r="G260">
        <v>0</v>
      </c>
      <c r="H260">
        <v>1</v>
      </c>
      <c r="I260">
        <v>5</v>
      </c>
      <c r="J260" s="1">
        <f t="shared" ca="1" si="61"/>
        <v>0</v>
      </c>
      <c r="K260" s="1">
        <f t="shared" ca="1" si="62"/>
        <v>0</v>
      </c>
      <c r="L260" s="13">
        <f t="shared" ca="1" si="63"/>
        <v>127</v>
      </c>
      <c r="M260" s="7">
        <f t="shared" ca="1" si="64"/>
        <v>873</v>
      </c>
      <c r="N260" s="44">
        <f t="shared" ca="1" si="65"/>
        <v>11</v>
      </c>
      <c r="O260" s="94">
        <f t="shared" ca="1" si="66"/>
        <v>2.8397004155948178</v>
      </c>
      <c r="P260" s="94">
        <f t="shared" ca="1" si="67"/>
        <v>28.397004155948181</v>
      </c>
      <c r="Q260" s="94">
        <f t="shared" ca="1" si="68"/>
        <v>28.397004155948181</v>
      </c>
      <c r="R260" s="94">
        <f t="shared" ca="1" si="69"/>
        <v>2.8397004155948182</v>
      </c>
      <c r="S260" s="94">
        <f t="shared" ca="1" si="70"/>
        <v>2.8397004155948178</v>
      </c>
      <c r="T260" s="4">
        <f t="shared" ca="1" si="71"/>
        <v>0</v>
      </c>
      <c r="U260" s="46">
        <f t="shared" ca="1" si="72"/>
        <v>1350.1639413314356</v>
      </c>
      <c r="V260" s="4">
        <f t="shared" ca="1" si="73"/>
        <v>0</v>
      </c>
      <c r="W260" s="13">
        <f t="shared" ca="1" si="74"/>
        <v>4799.7941114728637</v>
      </c>
      <c r="X260" s="4">
        <f t="shared" ca="1" si="75"/>
        <v>0</v>
      </c>
      <c r="AE260" s="4"/>
    </row>
    <row r="261" spans="1:31">
      <c r="A261">
        <v>1</v>
      </c>
      <c r="B261">
        <v>3</v>
      </c>
      <c r="C261">
        <f t="shared" si="57"/>
        <v>6</v>
      </c>
      <c r="D261">
        <f t="shared" si="58"/>
        <v>4</v>
      </c>
      <c r="E261">
        <f t="shared" si="59"/>
        <v>1</v>
      </c>
      <c r="F261" s="100">
        <f t="shared" ca="1" si="60"/>
        <v>0</v>
      </c>
      <c r="G261">
        <v>0</v>
      </c>
      <c r="H261">
        <v>1</v>
      </c>
      <c r="I261">
        <v>4</v>
      </c>
      <c r="J261" s="1">
        <f t="shared" ca="1" si="61"/>
        <v>4.7549502495E-2</v>
      </c>
      <c r="K261" s="1">
        <f t="shared" ca="1" si="62"/>
        <v>0</v>
      </c>
      <c r="L261" s="13">
        <f t="shared" ca="1" si="63"/>
        <v>114</v>
      </c>
      <c r="M261" s="7">
        <f t="shared" ca="1" si="64"/>
        <v>886</v>
      </c>
      <c r="N261" s="44">
        <f t="shared" ca="1" si="65"/>
        <v>12</v>
      </c>
      <c r="O261" s="94">
        <f t="shared" ca="1" si="66"/>
        <v>3.0624018806381534</v>
      </c>
      <c r="P261" s="94">
        <f t="shared" ca="1" si="67"/>
        <v>29.510511481164862</v>
      </c>
      <c r="Q261" s="94">
        <f t="shared" ca="1" si="68"/>
        <v>28.397004155948181</v>
      </c>
      <c r="R261" s="94">
        <f t="shared" ca="1" si="69"/>
        <v>2.8953757818556523</v>
      </c>
      <c r="S261" s="94">
        <f t="shared" ca="1" si="70"/>
        <v>3.0624018806381534</v>
      </c>
      <c r="T261" s="4">
        <f t="shared" ca="1" si="71"/>
        <v>0</v>
      </c>
      <c r="U261" s="46">
        <f t="shared" ca="1" si="72"/>
        <v>1418.7282638229713</v>
      </c>
      <c r="V261" s="4">
        <f t="shared" ca="1" si="73"/>
        <v>0</v>
      </c>
      <c r="W261" s="13">
        <f t="shared" ca="1" si="74"/>
        <v>3964.9776174258936</v>
      </c>
      <c r="X261" s="4">
        <f t="shared" ca="1" si="75"/>
        <v>0</v>
      </c>
      <c r="AE261" s="4"/>
    </row>
    <row r="262" spans="1:31">
      <c r="A262">
        <v>1</v>
      </c>
      <c r="B262">
        <v>3</v>
      </c>
      <c r="C262">
        <f t="shared" si="57"/>
        <v>6</v>
      </c>
      <c r="D262">
        <f t="shared" si="58"/>
        <v>4</v>
      </c>
      <c r="E262">
        <f t="shared" si="59"/>
        <v>1</v>
      </c>
      <c r="F262" s="100">
        <f t="shared" ca="1" si="60"/>
        <v>0</v>
      </c>
      <c r="G262">
        <v>0</v>
      </c>
      <c r="H262">
        <v>1</v>
      </c>
      <c r="I262">
        <v>3</v>
      </c>
      <c r="J262" s="1">
        <f t="shared" ca="1" si="61"/>
        <v>1.9211920200000018E-3</v>
      </c>
      <c r="K262" s="1">
        <f t="shared" ca="1" si="62"/>
        <v>0</v>
      </c>
      <c r="L262" s="13">
        <f t="shared" ca="1" si="63"/>
        <v>101</v>
      </c>
      <c r="M262" s="7">
        <f t="shared" ca="1" si="64"/>
        <v>899</v>
      </c>
      <c r="N262" s="44">
        <f t="shared" ca="1" si="65"/>
        <v>12</v>
      </c>
      <c r="O262" s="94">
        <f t="shared" ca="1" si="66"/>
        <v>3.0624018806381534</v>
      </c>
      <c r="P262" s="94">
        <f t="shared" ca="1" si="67"/>
        <v>30.624018806381528</v>
      </c>
      <c r="Q262" s="94">
        <f t="shared" ca="1" si="68"/>
        <v>30.178615876294863</v>
      </c>
      <c r="R262" s="94">
        <f t="shared" ca="1" si="69"/>
        <v>3.0401317341338197</v>
      </c>
      <c r="S262" s="94">
        <f t="shared" ca="1" si="70"/>
        <v>3.0624018806381534</v>
      </c>
      <c r="T262" s="4">
        <f t="shared" ca="1" si="71"/>
        <v>0</v>
      </c>
      <c r="U262" s="46">
        <f t="shared" ca="1" si="72"/>
        <v>1405.7282638229713</v>
      </c>
      <c r="V262" s="4">
        <f t="shared" ca="1" si="73"/>
        <v>0</v>
      </c>
      <c r="W262" s="13">
        <f t="shared" ca="1" si="74"/>
        <v>3130.1611233789231</v>
      </c>
      <c r="X262" s="4">
        <f t="shared" ca="1" si="75"/>
        <v>0</v>
      </c>
      <c r="AE262" s="4"/>
    </row>
    <row r="263" spans="1:31">
      <c r="A263">
        <v>1</v>
      </c>
      <c r="B263">
        <v>3</v>
      </c>
      <c r="C263">
        <f t="shared" si="57"/>
        <v>6</v>
      </c>
      <c r="D263">
        <f t="shared" si="58"/>
        <v>4</v>
      </c>
      <c r="E263">
        <f t="shared" si="59"/>
        <v>1</v>
      </c>
      <c r="F263" s="100">
        <f t="shared" ca="1" si="60"/>
        <v>0</v>
      </c>
      <c r="G263">
        <v>0</v>
      </c>
      <c r="H263">
        <v>1</v>
      </c>
      <c r="I263">
        <v>2</v>
      </c>
      <c r="J263" s="1">
        <f t="shared" ca="1" si="61"/>
        <v>2.9108970000000054E-5</v>
      </c>
      <c r="K263" s="1">
        <f t="shared" ca="1" si="62"/>
        <v>0</v>
      </c>
      <c r="L263" s="13">
        <f t="shared" ca="1" si="63"/>
        <v>88</v>
      </c>
      <c r="M263" s="7">
        <f t="shared" ca="1" si="64"/>
        <v>912</v>
      </c>
      <c r="N263" s="44">
        <f t="shared" ca="1" si="65"/>
        <v>12</v>
      </c>
      <c r="O263" s="94">
        <f t="shared" ca="1" si="66"/>
        <v>3.0624018806381534</v>
      </c>
      <c r="P263" s="94">
        <f t="shared" ca="1" si="67"/>
        <v>30.624018806381528</v>
      </c>
      <c r="Q263" s="94">
        <f t="shared" ca="1" si="68"/>
        <v>30.624018806381528</v>
      </c>
      <c r="R263" s="94">
        <f t="shared" ca="1" si="69"/>
        <v>3.062401880638153</v>
      </c>
      <c r="S263" s="94">
        <f t="shared" ca="1" si="70"/>
        <v>3.0624018806381534</v>
      </c>
      <c r="T263" s="4">
        <f t="shared" ca="1" si="71"/>
        <v>0</v>
      </c>
      <c r="U263" s="46">
        <f t="shared" ca="1" si="72"/>
        <v>1392.7282638229713</v>
      </c>
      <c r="V263" s="4">
        <f t="shared" ca="1" si="73"/>
        <v>0</v>
      </c>
      <c r="W263" s="13">
        <f t="shared" ca="1" si="74"/>
        <v>2295.344629331953</v>
      </c>
      <c r="X263" s="4">
        <f t="shared" ca="1" si="75"/>
        <v>0</v>
      </c>
      <c r="AE263" s="4"/>
    </row>
    <row r="264" spans="1:31">
      <c r="A264">
        <v>1</v>
      </c>
      <c r="B264">
        <v>3</v>
      </c>
      <c r="C264">
        <f t="shared" si="57"/>
        <v>6</v>
      </c>
      <c r="D264">
        <f t="shared" si="58"/>
        <v>4</v>
      </c>
      <c r="E264">
        <f t="shared" si="59"/>
        <v>1</v>
      </c>
      <c r="F264" s="100">
        <f t="shared" ca="1" si="60"/>
        <v>0</v>
      </c>
      <c r="G264">
        <v>0</v>
      </c>
      <c r="H264">
        <v>1</v>
      </c>
      <c r="I264">
        <v>1</v>
      </c>
      <c r="J264" s="1">
        <f t="shared" ca="1" si="61"/>
        <v>1.9602000000000053E-7</v>
      </c>
      <c r="K264" s="1">
        <f t="shared" ca="1" si="62"/>
        <v>0</v>
      </c>
      <c r="L264" s="13">
        <f t="shared" ca="1" si="63"/>
        <v>75</v>
      </c>
      <c r="M264" s="7">
        <f t="shared" ca="1" si="64"/>
        <v>925</v>
      </c>
      <c r="N264" s="44">
        <f t="shared" ca="1" si="65"/>
        <v>12</v>
      </c>
      <c r="O264" s="94">
        <f t="shared" ca="1" si="66"/>
        <v>3.0624018806381534</v>
      </c>
      <c r="P264" s="94">
        <f t="shared" ca="1" si="67"/>
        <v>30.624018806381528</v>
      </c>
      <c r="Q264" s="94">
        <f t="shared" ca="1" si="68"/>
        <v>30.624018806381528</v>
      </c>
      <c r="R264" s="94">
        <f t="shared" ca="1" si="69"/>
        <v>3.062401880638153</v>
      </c>
      <c r="S264" s="94">
        <f t="shared" ca="1" si="70"/>
        <v>3.0624018806381534</v>
      </c>
      <c r="T264" s="4">
        <f t="shared" ca="1" si="71"/>
        <v>0</v>
      </c>
      <c r="U264" s="46">
        <f t="shared" ca="1" si="72"/>
        <v>1379.7282638229713</v>
      </c>
      <c r="V264" s="4">
        <f t="shared" ca="1" si="73"/>
        <v>0</v>
      </c>
      <c r="W264" s="13">
        <f t="shared" ca="1" si="74"/>
        <v>1460.5281352849825</v>
      </c>
      <c r="X264" s="4">
        <f t="shared" ca="1" si="75"/>
        <v>0</v>
      </c>
      <c r="AE264" s="4"/>
    </row>
    <row r="265" spans="1:31">
      <c r="A265">
        <v>1</v>
      </c>
      <c r="B265">
        <v>3</v>
      </c>
      <c r="C265">
        <f t="shared" si="57"/>
        <v>6</v>
      </c>
      <c r="D265">
        <f t="shared" si="58"/>
        <v>4</v>
      </c>
      <c r="E265">
        <f t="shared" si="59"/>
        <v>1</v>
      </c>
      <c r="F265" s="100">
        <f t="shared" ca="1" si="60"/>
        <v>0</v>
      </c>
      <c r="G265">
        <v>0</v>
      </c>
      <c r="H265">
        <v>1</v>
      </c>
      <c r="I265">
        <v>0</v>
      </c>
      <c r="J265" s="1">
        <f t="shared" ca="1" si="61"/>
        <v>4.9500000000000181E-10</v>
      </c>
      <c r="K265" s="1">
        <f t="shared" ca="1" si="62"/>
        <v>0</v>
      </c>
      <c r="L265" s="13">
        <f t="shared" ca="1" si="63"/>
        <v>62</v>
      </c>
      <c r="M265" s="7">
        <f t="shared" ca="1" si="64"/>
        <v>938</v>
      </c>
      <c r="N265" s="44">
        <f t="shared" ca="1" si="65"/>
        <v>12</v>
      </c>
      <c r="O265" s="94">
        <f t="shared" ca="1" si="66"/>
        <v>3.0624018806381534</v>
      </c>
      <c r="P265" s="94">
        <f t="shared" ca="1" si="67"/>
        <v>30.624018806381528</v>
      </c>
      <c r="Q265" s="94">
        <f t="shared" ca="1" si="68"/>
        <v>30.624018806381528</v>
      </c>
      <c r="R265" s="94">
        <f t="shared" ca="1" si="69"/>
        <v>3.062401880638153</v>
      </c>
      <c r="S265" s="94">
        <f t="shared" ca="1" si="70"/>
        <v>3.0624018806381534</v>
      </c>
      <c r="T265" s="4">
        <f t="shared" ca="1" si="71"/>
        <v>0</v>
      </c>
      <c r="U265" s="46">
        <f t="shared" ca="1" si="72"/>
        <v>1366.7282638229713</v>
      </c>
      <c r="V265" s="4">
        <f t="shared" ca="1" si="73"/>
        <v>0</v>
      </c>
      <c r="W265" s="13">
        <f t="shared" ca="1" si="74"/>
        <v>625.71164123801225</v>
      </c>
      <c r="X265" s="4">
        <f t="shared" ca="1" si="75"/>
        <v>0</v>
      </c>
      <c r="AE265" s="4"/>
    </row>
    <row r="266" spans="1:31">
      <c r="A266">
        <v>1</v>
      </c>
      <c r="B266">
        <v>3</v>
      </c>
      <c r="C266">
        <f t="shared" si="57"/>
        <v>6</v>
      </c>
      <c r="D266">
        <f t="shared" si="58"/>
        <v>4</v>
      </c>
      <c r="E266">
        <f t="shared" si="59"/>
        <v>1</v>
      </c>
      <c r="F266" s="100">
        <f t="shared" ca="1" si="60"/>
        <v>0</v>
      </c>
      <c r="G266">
        <v>0</v>
      </c>
      <c r="H266">
        <v>0</v>
      </c>
      <c r="I266">
        <v>7</v>
      </c>
      <c r="J266" s="1">
        <f t="shared" ca="1" si="61"/>
        <v>0</v>
      </c>
      <c r="K266" s="1">
        <f t="shared" ca="1" si="62"/>
        <v>0</v>
      </c>
      <c r="L266" s="13">
        <f t="shared" ca="1" si="63"/>
        <v>91</v>
      </c>
      <c r="M266" s="7">
        <f t="shared" ca="1" si="64"/>
        <v>909</v>
      </c>
      <c r="N266" s="44">
        <f t="shared" ca="1" si="65"/>
        <v>12</v>
      </c>
      <c r="O266" s="94">
        <f t="shared" ca="1" si="66"/>
        <v>3.0624018806381534</v>
      </c>
      <c r="P266" s="94">
        <f t="shared" ca="1" si="67"/>
        <v>30.624018806381528</v>
      </c>
      <c r="Q266" s="94">
        <f t="shared" ca="1" si="68"/>
        <v>30.624018806381528</v>
      </c>
      <c r="R266" s="94">
        <f t="shared" ca="1" si="69"/>
        <v>3.062401880638153</v>
      </c>
      <c r="S266" s="94">
        <f t="shared" ca="1" si="70"/>
        <v>3.0624018806381534</v>
      </c>
      <c r="T266" s="4">
        <f t="shared" ca="1" si="71"/>
        <v>0</v>
      </c>
      <c r="U266" s="46">
        <f t="shared" ca="1" si="72"/>
        <v>1395.7282638229713</v>
      </c>
      <c r="V266" s="4">
        <f t="shared" ca="1" si="73"/>
        <v>0</v>
      </c>
      <c r="W266" s="13">
        <f t="shared" ca="1" si="74"/>
        <v>5843.715458328792</v>
      </c>
      <c r="X266" s="4">
        <f t="shared" ca="1" si="75"/>
        <v>0</v>
      </c>
      <c r="AE266" s="4"/>
    </row>
    <row r="267" spans="1:31">
      <c r="A267">
        <v>1</v>
      </c>
      <c r="B267">
        <v>3</v>
      </c>
      <c r="C267">
        <f t="shared" si="57"/>
        <v>6</v>
      </c>
      <c r="D267">
        <f t="shared" si="58"/>
        <v>4</v>
      </c>
      <c r="E267">
        <f t="shared" si="59"/>
        <v>1</v>
      </c>
      <c r="F267" s="100">
        <f t="shared" ca="1" si="60"/>
        <v>0</v>
      </c>
      <c r="G267">
        <v>0</v>
      </c>
      <c r="H267">
        <v>0</v>
      </c>
      <c r="I267">
        <v>6</v>
      </c>
      <c r="J267" s="1">
        <f t="shared" ca="1" si="61"/>
        <v>0</v>
      </c>
      <c r="K267" s="1">
        <f t="shared" ca="1" si="62"/>
        <v>0</v>
      </c>
      <c r="L267" s="13">
        <f t="shared" ca="1" si="63"/>
        <v>78</v>
      </c>
      <c r="M267" s="7">
        <f t="shared" ca="1" si="64"/>
        <v>922</v>
      </c>
      <c r="N267" s="44">
        <f t="shared" ca="1" si="65"/>
        <v>12</v>
      </c>
      <c r="O267" s="94">
        <f t="shared" ca="1" si="66"/>
        <v>3.0624018806381534</v>
      </c>
      <c r="P267" s="94">
        <f t="shared" ca="1" si="67"/>
        <v>30.624018806381528</v>
      </c>
      <c r="Q267" s="94">
        <f t="shared" ca="1" si="68"/>
        <v>30.624018806381528</v>
      </c>
      <c r="R267" s="94">
        <f t="shared" ca="1" si="69"/>
        <v>3.062401880638153</v>
      </c>
      <c r="S267" s="94">
        <f t="shared" ca="1" si="70"/>
        <v>3.0624018806381534</v>
      </c>
      <c r="T267" s="4">
        <f t="shared" ca="1" si="71"/>
        <v>0</v>
      </c>
      <c r="U267" s="46">
        <f t="shared" ca="1" si="72"/>
        <v>1382.7282638229713</v>
      </c>
      <c r="V267" s="4">
        <f t="shared" ca="1" si="73"/>
        <v>0</v>
      </c>
      <c r="W267" s="13">
        <f t="shared" ca="1" si="74"/>
        <v>5008.8989642818215</v>
      </c>
      <c r="X267" s="4">
        <f t="shared" ca="1" si="75"/>
        <v>0</v>
      </c>
      <c r="AE267" s="4"/>
    </row>
    <row r="268" spans="1:31">
      <c r="A268">
        <v>1</v>
      </c>
      <c r="B268">
        <v>3</v>
      </c>
      <c r="C268">
        <f t="shared" si="57"/>
        <v>6</v>
      </c>
      <c r="D268">
        <f t="shared" si="58"/>
        <v>4</v>
      </c>
      <c r="E268">
        <f t="shared" si="59"/>
        <v>1</v>
      </c>
      <c r="F268" s="100">
        <f t="shared" ca="1" si="60"/>
        <v>0</v>
      </c>
      <c r="G268">
        <v>0</v>
      </c>
      <c r="H268">
        <v>0</v>
      </c>
      <c r="I268">
        <v>5</v>
      </c>
      <c r="J268" s="1">
        <f t="shared" ca="1" si="61"/>
        <v>0</v>
      </c>
      <c r="K268" s="1">
        <f t="shared" ca="1" si="62"/>
        <v>0</v>
      </c>
      <c r="L268" s="13">
        <f t="shared" ca="1" si="63"/>
        <v>65</v>
      </c>
      <c r="M268" s="7">
        <f t="shared" ca="1" si="64"/>
        <v>935</v>
      </c>
      <c r="N268" s="44">
        <f t="shared" ca="1" si="65"/>
        <v>12</v>
      </c>
      <c r="O268" s="94">
        <f t="shared" ca="1" si="66"/>
        <v>3.0624018806381534</v>
      </c>
      <c r="P268" s="94">
        <f t="shared" ca="1" si="67"/>
        <v>30.624018806381528</v>
      </c>
      <c r="Q268" s="94">
        <f t="shared" ca="1" si="68"/>
        <v>30.624018806381528</v>
      </c>
      <c r="R268" s="94">
        <f t="shared" ca="1" si="69"/>
        <v>3.062401880638153</v>
      </c>
      <c r="S268" s="94">
        <f t="shared" ca="1" si="70"/>
        <v>3.0624018806381534</v>
      </c>
      <c r="T268" s="4">
        <f t="shared" ca="1" si="71"/>
        <v>0</v>
      </c>
      <c r="U268" s="46">
        <f t="shared" ca="1" si="72"/>
        <v>1369.7282638229713</v>
      </c>
      <c r="V268" s="4">
        <f t="shared" ca="1" si="73"/>
        <v>0</v>
      </c>
      <c r="W268" s="13">
        <f t="shared" ca="1" si="74"/>
        <v>4174.0824702348518</v>
      </c>
      <c r="X268" s="4">
        <f t="shared" ca="1" si="75"/>
        <v>0</v>
      </c>
      <c r="AE268" s="4"/>
    </row>
    <row r="269" spans="1:31">
      <c r="A269">
        <v>1</v>
      </c>
      <c r="B269">
        <v>3</v>
      </c>
      <c r="C269">
        <f t="shared" si="57"/>
        <v>6</v>
      </c>
      <c r="D269">
        <f t="shared" si="58"/>
        <v>4</v>
      </c>
      <c r="E269">
        <f t="shared" si="59"/>
        <v>1</v>
      </c>
      <c r="F269" s="100">
        <f t="shared" ca="1" si="60"/>
        <v>0</v>
      </c>
      <c r="G269">
        <v>0</v>
      </c>
      <c r="H269">
        <v>0</v>
      </c>
      <c r="I269">
        <v>4</v>
      </c>
      <c r="J269" s="1">
        <f t="shared" ca="1" si="61"/>
        <v>4.802980050000004E-4</v>
      </c>
      <c r="K269" s="1">
        <f t="shared" ca="1" si="62"/>
        <v>0</v>
      </c>
      <c r="L269" s="13">
        <f t="shared" ca="1" si="63"/>
        <v>52</v>
      </c>
      <c r="M269" s="7">
        <f t="shared" ca="1" si="64"/>
        <v>948</v>
      </c>
      <c r="N269" s="44">
        <f t="shared" ca="1" si="65"/>
        <v>12</v>
      </c>
      <c r="O269" s="94">
        <f t="shared" ca="1" si="66"/>
        <v>3.0624018806381534</v>
      </c>
      <c r="P269" s="94">
        <f t="shared" ca="1" si="67"/>
        <v>30.624018806381528</v>
      </c>
      <c r="Q269" s="94">
        <f t="shared" ca="1" si="68"/>
        <v>30.624018806381528</v>
      </c>
      <c r="R269" s="94">
        <f t="shared" ca="1" si="69"/>
        <v>3.062401880638153</v>
      </c>
      <c r="S269" s="94">
        <f t="shared" ca="1" si="70"/>
        <v>3.0624018806381534</v>
      </c>
      <c r="T269" s="4">
        <f t="shared" ca="1" si="71"/>
        <v>0</v>
      </c>
      <c r="U269" s="46">
        <f t="shared" ca="1" si="72"/>
        <v>1356.7282638229713</v>
      </c>
      <c r="V269" s="4">
        <f t="shared" ca="1" si="73"/>
        <v>0</v>
      </c>
      <c r="W269" s="13">
        <f t="shared" ca="1" si="74"/>
        <v>3339.2659761878813</v>
      </c>
      <c r="X269" s="4">
        <f t="shared" ca="1" si="75"/>
        <v>0</v>
      </c>
      <c r="AE269" s="4"/>
    </row>
    <row r="270" spans="1:31">
      <c r="A270">
        <v>1</v>
      </c>
      <c r="B270">
        <v>3</v>
      </c>
      <c r="C270">
        <f t="shared" si="57"/>
        <v>6</v>
      </c>
      <c r="D270">
        <f t="shared" si="58"/>
        <v>4</v>
      </c>
      <c r="E270">
        <f t="shared" si="59"/>
        <v>1</v>
      </c>
      <c r="F270" s="100">
        <f t="shared" ca="1" si="60"/>
        <v>0</v>
      </c>
      <c r="G270">
        <v>0</v>
      </c>
      <c r="H270">
        <v>0</v>
      </c>
      <c r="I270">
        <v>3</v>
      </c>
      <c r="J270" s="1">
        <f t="shared" ca="1" si="61"/>
        <v>1.9405980000000033E-5</v>
      </c>
      <c r="K270" s="1">
        <f t="shared" ca="1" si="62"/>
        <v>0</v>
      </c>
      <c r="L270" s="13">
        <f t="shared" ca="1" si="63"/>
        <v>39</v>
      </c>
      <c r="M270" s="7">
        <f t="shared" ca="1" si="64"/>
        <v>961</v>
      </c>
      <c r="N270" s="44">
        <f t="shared" ca="1" si="65"/>
        <v>13</v>
      </c>
      <c r="O270" s="94">
        <f t="shared" ca="1" si="66"/>
        <v>3.2733204919050856</v>
      </c>
      <c r="P270" s="94">
        <f t="shared" ca="1" si="67"/>
        <v>30.624018806381528</v>
      </c>
      <c r="Q270" s="94">
        <f t="shared" ca="1" si="68"/>
        <v>30.624018806381528</v>
      </c>
      <c r="R270" s="94">
        <f t="shared" ca="1" si="69"/>
        <v>3.062401880638153</v>
      </c>
      <c r="S270" s="94">
        <f t="shared" ca="1" si="70"/>
        <v>3.2733204919050856</v>
      </c>
      <c r="T270" s="4">
        <f t="shared" ca="1" si="71"/>
        <v>0</v>
      </c>
      <c r="U270" s="46">
        <f t="shared" ca="1" si="72"/>
        <v>1420.9771208320408</v>
      </c>
      <c r="V270" s="4">
        <f t="shared" ca="1" si="73"/>
        <v>0</v>
      </c>
      <c r="W270" s="13">
        <f t="shared" ca="1" si="74"/>
        <v>2504.4494821409107</v>
      </c>
      <c r="X270" s="4">
        <f t="shared" ca="1" si="75"/>
        <v>0</v>
      </c>
      <c r="AE270" s="4"/>
    </row>
    <row r="271" spans="1:31">
      <c r="A271">
        <v>1</v>
      </c>
      <c r="B271">
        <v>3</v>
      </c>
      <c r="C271">
        <f t="shared" si="57"/>
        <v>6</v>
      </c>
      <c r="D271">
        <f t="shared" si="58"/>
        <v>4</v>
      </c>
      <c r="E271">
        <f t="shared" si="59"/>
        <v>1</v>
      </c>
      <c r="F271" s="100">
        <f t="shared" ca="1" si="60"/>
        <v>0</v>
      </c>
      <c r="G271">
        <v>0</v>
      </c>
      <c r="H271">
        <v>0</v>
      </c>
      <c r="I271">
        <v>2</v>
      </c>
      <c r="J271" s="1">
        <f t="shared" ca="1" si="61"/>
        <v>2.9403000000000079E-7</v>
      </c>
      <c r="K271" s="1">
        <f t="shared" ca="1" si="62"/>
        <v>0</v>
      </c>
      <c r="L271" s="13">
        <f t="shared" ca="1" si="63"/>
        <v>26</v>
      </c>
      <c r="M271" s="7">
        <f t="shared" ca="1" si="64"/>
        <v>974</v>
      </c>
      <c r="N271" s="44">
        <f t="shared" ca="1" si="65"/>
        <v>13</v>
      </c>
      <c r="O271" s="94">
        <f t="shared" ca="1" si="66"/>
        <v>3.2733204919050856</v>
      </c>
      <c r="P271" s="94">
        <f t="shared" ca="1" si="67"/>
        <v>32.733204919050856</v>
      </c>
      <c r="Q271" s="94">
        <f t="shared" ca="1" si="68"/>
        <v>31.256774640182325</v>
      </c>
      <c r="R271" s="94">
        <f t="shared" ca="1" si="69"/>
        <v>3.1994989779616589</v>
      </c>
      <c r="S271" s="94">
        <f t="shared" ca="1" si="70"/>
        <v>3.2733204919050856</v>
      </c>
      <c r="T271" s="4">
        <f t="shared" ca="1" si="71"/>
        <v>0</v>
      </c>
      <c r="U271" s="46">
        <f t="shared" ca="1" si="72"/>
        <v>1407.9771208320408</v>
      </c>
      <c r="V271" s="4">
        <f t="shared" ca="1" si="73"/>
        <v>0</v>
      </c>
      <c r="W271" s="13">
        <f t="shared" ca="1" si="74"/>
        <v>1669.6329880939406</v>
      </c>
      <c r="X271" s="4">
        <f t="shared" ca="1" si="75"/>
        <v>0</v>
      </c>
      <c r="AE271" s="4"/>
    </row>
    <row r="272" spans="1:31">
      <c r="A272">
        <v>1</v>
      </c>
      <c r="B272">
        <v>3</v>
      </c>
      <c r="C272">
        <f t="shared" si="57"/>
        <v>6</v>
      </c>
      <c r="D272">
        <f t="shared" si="58"/>
        <v>4</v>
      </c>
      <c r="E272">
        <f t="shared" si="59"/>
        <v>1</v>
      </c>
      <c r="F272" s="100">
        <f t="shared" ca="1" si="60"/>
        <v>0</v>
      </c>
      <c r="G272">
        <v>0</v>
      </c>
      <c r="H272">
        <v>0</v>
      </c>
      <c r="I272">
        <v>1</v>
      </c>
      <c r="J272" s="1">
        <f t="shared" ca="1" si="61"/>
        <v>1.9800000000000068E-9</v>
      </c>
      <c r="K272" s="1">
        <f t="shared" ca="1" si="62"/>
        <v>0</v>
      </c>
      <c r="L272" s="13">
        <f t="shared" ca="1" si="63"/>
        <v>13</v>
      </c>
      <c r="M272" s="7">
        <f t="shared" ca="1" si="64"/>
        <v>987</v>
      </c>
      <c r="N272" s="44">
        <f t="shared" ca="1" si="65"/>
        <v>13</v>
      </c>
      <c r="O272" s="94">
        <f t="shared" ca="1" si="66"/>
        <v>3.2733204919050856</v>
      </c>
      <c r="P272" s="94">
        <f t="shared" ca="1" si="67"/>
        <v>32.733204919050856</v>
      </c>
      <c r="Q272" s="94">
        <f t="shared" ca="1" si="68"/>
        <v>32.733204919050856</v>
      </c>
      <c r="R272" s="94">
        <f t="shared" ca="1" si="69"/>
        <v>3.2733204919050856</v>
      </c>
      <c r="S272" s="94">
        <f t="shared" ca="1" si="70"/>
        <v>3.2733204919050856</v>
      </c>
      <c r="T272" s="4">
        <f t="shared" ca="1" si="71"/>
        <v>0</v>
      </c>
      <c r="U272" s="46">
        <f t="shared" ca="1" si="72"/>
        <v>1394.9771208320408</v>
      </c>
      <c r="V272" s="4">
        <f t="shared" ca="1" si="73"/>
        <v>0</v>
      </c>
      <c r="W272" s="13">
        <f t="shared" ca="1" si="74"/>
        <v>834.81649404697032</v>
      </c>
      <c r="X272" s="4">
        <f t="shared" ca="1" si="75"/>
        <v>0</v>
      </c>
      <c r="AE272" s="4"/>
    </row>
    <row r="273" spans="1:31">
      <c r="A273">
        <v>1</v>
      </c>
      <c r="B273">
        <v>3</v>
      </c>
      <c r="C273">
        <f t="shared" si="57"/>
        <v>6</v>
      </c>
      <c r="D273">
        <f t="shared" si="58"/>
        <v>4</v>
      </c>
      <c r="E273">
        <f t="shared" si="59"/>
        <v>1</v>
      </c>
      <c r="F273" s="100">
        <f t="shared" ca="1" si="60"/>
        <v>0</v>
      </c>
      <c r="G273">
        <v>0</v>
      </c>
      <c r="H273">
        <v>0</v>
      </c>
      <c r="I273">
        <v>0</v>
      </c>
      <c r="J273" s="1">
        <f t="shared" ca="1" si="61"/>
        <v>5.0000000000000231E-12</v>
      </c>
      <c r="K273" s="1">
        <f t="shared" ca="1" si="62"/>
        <v>0</v>
      </c>
      <c r="L273" s="13">
        <f t="shared" ca="1" si="63"/>
        <v>0</v>
      </c>
      <c r="M273" s="7">
        <f t="shared" ca="1" si="64"/>
        <v>1000</v>
      </c>
      <c r="N273" s="44">
        <f t="shared" ca="1" si="65"/>
        <v>13</v>
      </c>
      <c r="O273" s="94">
        <f t="shared" ca="1" si="66"/>
        <v>3.2733204919050856</v>
      </c>
      <c r="P273" s="94">
        <f t="shared" ca="1" si="67"/>
        <v>32.733204919050856</v>
      </c>
      <c r="Q273" s="94">
        <f t="shared" ca="1" si="68"/>
        <v>32.733204919050856</v>
      </c>
      <c r="R273" s="94">
        <f t="shared" ca="1" si="69"/>
        <v>3.2733204919050856</v>
      </c>
      <c r="S273" s="94">
        <f t="shared" ca="1" si="70"/>
        <v>3.2733204919050856</v>
      </c>
      <c r="T273" s="4">
        <f t="shared" ca="1" si="71"/>
        <v>0</v>
      </c>
      <c r="U273" s="46">
        <f t="shared" ca="1" si="72"/>
        <v>1381.9771208320408</v>
      </c>
      <c r="V273" s="4">
        <f t="shared" ca="1" si="73"/>
        <v>0</v>
      </c>
      <c r="W273" s="13">
        <f t="shared" ca="1" si="74"/>
        <v>0</v>
      </c>
      <c r="X273" s="4">
        <f t="shared" ca="1" si="75"/>
        <v>0</v>
      </c>
      <c r="AE273" s="4"/>
    </row>
    <row r="274" spans="1:31">
      <c r="A274">
        <v>2</v>
      </c>
      <c r="B274">
        <v>0</v>
      </c>
      <c r="C274">
        <f t="shared" ref="C274:C337" si="76">MIN(8, 1+$B$10+$B$9+A274+B274)</f>
        <v>4</v>
      </c>
      <c r="D274">
        <f t="shared" ref="D274:D337" si="77">C274-(1+$B$10)</f>
        <v>2</v>
      </c>
      <c r="E274">
        <f t="shared" ref="E274:E337" si="78">MIN(A274, C274-(1+$B$10+$B$9))</f>
        <v>2</v>
      </c>
      <c r="F274" s="100">
        <f t="shared" ref="F274:F337" ca="1" si="79">IF(A274=3, Set1QA, IF(A274=2, (1-Set1QA)*Set1TA + (1-Set1QA)*(1-Set1TA)*(1-Set1DA)*Set1AM3*Set1AM33, IF(A274=1, (1-Set1QA)*(1-Set1TA)*Set1DA + (1-Set1QA)*(1-Set1TA)*(1-Set1DA)*Set1AM3*Set1AM32, (1-Set1QA)*(1-Set1TA)*(1-Set1DA)*(1-Set1AM3)))) * IF($B$9+$B$10&gt;0, IF(B274=3, Set1QA, IF(B274=2, (1-Set1QA)*Set1TA, IF(B274=1, (1-Set1QA)*(1-Set1TA)*Set1DA, (1-Set1QA)*(1-Set1TA)*(1-Set1DA)))), IF(B274=0, 1, 0))</f>
        <v>6.3634999999999997E-2</v>
      </c>
      <c r="G274">
        <v>1</v>
      </c>
      <c r="H274">
        <v>1</v>
      </c>
      <c r="I274">
        <v>7</v>
      </c>
      <c r="J274" s="1">
        <f t="shared" ref="J274:J337" ca="1" si="80">POWER(95%,G274)*POWER(5%, 1-G274) * IF($B$10=0, IF(H274=0, 1, 0), POWER(Set1WSHitRate,H274)*POWER(1-Set1WSHitRate, 1-H274)) * IF(I274&lt;=D274, POWER(Set1WSHitRate, I274)*POWER(1-Set1WSHitRate, D274-I274)*COMBIN(D274,I274), 0)</f>
        <v>0</v>
      </c>
      <c r="K274" s="1">
        <f t="shared" ref="K274:K337" ca="1" si="81">F274*J274</f>
        <v>0</v>
      </c>
      <c r="L274" s="13">
        <f t="shared" ref="L274:L337" ca="1" si="82">MAX((G274+H274)*Set1WSTP + I274*$B$6, Set1SaveTP)</f>
        <v>215</v>
      </c>
      <c r="M274" s="7">
        <f t="shared" ref="M274:M337" ca="1" si="83">MAX(Set1MinTP-(L274+Set1Regain), 0)</f>
        <v>785</v>
      </c>
      <c r="N274" s="44">
        <f t="shared" ref="N274:N337" ca="1" si="84">CEILING(M274/Set1MeleeTP, 1)</f>
        <v>10</v>
      </c>
      <c r="O274" s="94">
        <f t="shared" ref="O274:O337" ca="1" si="85">VLOOKUP(N274,AvgRoundsSet1,2)</f>
        <v>2.5999636871582168</v>
      </c>
      <c r="P274" s="94">
        <f t="shared" ref="P274:P337" ca="1" si="86">VLOOKUP(CEILING(MAX(M274-1, 0)/Set1MeleeTP, 1), AvgRoundsSet1, 2) + VLOOKUP(CEILING(MAX(M274-2, 0)/Set1MeleeTP, 1), AvgRoundsSet1, 2) + VLOOKUP(CEILING(MAX(M274-3, 0)/Set1MeleeTP, 1), AvgRoundsSet1, 2) + VLOOKUP(CEILING(MAX(M274-4, 0)/Set1MeleeTP, 1), AvgRoundsSet1, 2) + VLOOKUP(CEILING(MAX(M274-5, 0)/Set1MeleeTP, 1), AvgRoundsSet1, 2) + VLOOKUP(CEILING(MAX(M274-6, 0)/Set1MeleeTP, 1), AvgRoundsSet1, 2) + VLOOKUP(CEILING(MAX(M274-7, 0)/Set1MeleeTP, 1), AvgRoundsSet1, 2) + VLOOKUP(CEILING(MAX(M274-8, 0)/Set1MeleeTP, 1), AvgRoundsSet1, 2) + VLOOKUP(CEILING(MAX(M274-9, 0)/Set1MeleeTP, 1), AvgRoundsSet1, 2) + VLOOKUP(CEILING(MAX(M274-10, 0)/Set1MeleeTP, 1), AvgRoundsSet1, 2)</f>
        <v>25.999636871582165</v>
      </c>
      <c r="Q274" s="94">
        <f t="shared" ref="Q274:Q337" ca="1" si="87">VLOOKUP(CEILING(MAX(M274-11, 0)/Set1MeleeTP, 1), AvgRoundsSet1, 2) + VLOOKUP(CEILING(MAX(M274-12, 0)/Set1MeleeTP, 1), AvgRoundsSet1, 2) + VLOOKUP(CEILING(MAX(M274-13, 0)/Set1MeleeTP, 1), AvgRoundsSet1, 2) + VLOOKUP(CEILING(MAX(M274-14, 0)/Set1MeleeTP, 1), AvgRoundsSet1, 2) + VLOOKUP(CEILING(MAX(M274-15, 0)/Set1MeleeTP, 1), AvgRoundsSet1, 2) + VLOOKUP(CEILING(MAX(M274-16, 0)/Set1MeleeTP, 1), AvgRoundsSet1, 2) + VLOOKUP(CEILING(MAX(M274-17, 0)/Set1MeleeTP, 1), AvgRoundsSet1, 2) + VLOOKUP(CEILING(MAX(M274-18, 0)/Set1MeleeTP, 1), AvgRoundsSet1, 2) + VLOOKUP(CEILING(MAX(M274-19, 0)/Set1MeleeTP, 1), AvgRoundsSet1, 2) + VLOOKUP(CEILING(MAX(M274-20, 0)/Set1MeleeTP, 1), AvgRoundsSet1, 2)</f>
        <v>25.999636871582165</v>
      </c>
      <c r="R274" s="94">
        <f t="shared" ref="R274:R337" ca="1" si="88">(P274+Q274)/20</f>
        <v>2.5999636871582164</v>
      </c>
      <c r="S274" s="94">
        <f t="shared" ref="S274:S337" ca="1" si="89">R274*Set1ConserveTP + O274*(1-Set1ConserveTP)</f>
        <v>2.5999636871582168</v>
      </c>
      <c r="T274" s="4">
        <f t="shared" ref="T274:T337" ca="1" si="90">K274*S274</f>
        <v>0</v>
      </c>
      <c r="U274" s="46">
        <f t="shared" ref="U274:U337" ca="1" si="91">MIN(L274+(S274+Set1OverTP)*AvgHitsPerRound1*Set1MeleeTP + Set1Regain + 10.5*Set1ConserveTP, 3000)</f>
        <v>1350.360460436222</v>
      </c>
      <c r="V274" s="4">
        <f t="shared" ref="V274:V337" ca="1" si="92">U274*K274</f>
        <v>0</v>
      </c>
      <c r="W274" s="13">
        <f t="shared" ref="W274:W337" ca="1" si="93">G274*$K$10*((1-$L$10)*$L$14 + $L$10*$M$14*$M$10)*Set1WSDmg + H274*$K$13*((1-$L$13)*$L$15 + $L$13*$M$15*$M$11) + I274*$K$11*((1-$L$11)*$L$14 + $L$11*$M$14*$M$11) + E274*$K$12*$L$12*$M$10</f>
        <v>12313.142557895597</v>
      </c>
      <c r="X274" s="4">
        <f t="shared" ref="X274:X337" ca="1" si="94">K274*W274</f>
        <v>0</v>
      </c>
      <c r="AE274" s="4"/>
    </row>
    <row r="275" spans="1:31">
      <c r="A275">
        <v>2</v>
      </c>
      <c r="B275">
        <v>0</v>
      </c>
      <c r="C275">
        <f t="shared" si="76"/>
        <v>4</v>
      </c>
      <c r="D275">
        <f t="shared" si="77"/>
        <v>2</v>
      </c>
      <c r="E275">
        <f t="shared" si="78"/>
        <v>2</v>
      </c>
      <c r="F275" s="100">
        <f t="shared" ca="1" si="79"/>
        <v>6.3634999999999997E-2</v>
      </c>
      <c r="G275">
        <v>1</v>
      </c>
      <c r="H275">
        <v>1</v>
      </c>
      <c r="I275">
        <v>6</v>
      </c>
      <c r="J275" s="1">
        <f t="shared" ca="1" si="80"/>
        <v>0</v>
      </c>
      <c r="K275" s="1">
        <f t="shared" ca="1" si="81"/>
        <v>0</v>
      </c>
      <c r="L275" s="13">
        <f t="shared" ca="1" si="82"/>
        <v>202</v>
      </c>
      <c r="M275" s="7">
        <f t="shared" ca="1" si="83"/>
        <v>798</v>
      </c>
      <c r="N275" s="44">
        <f t="shared" ca="1" si="84"/>
        <v>10</v>
      </c>
      <c r="O275" s="94">
        <f t="shared" ca="1" si="85"/>
        <v>2.5999636871582168</v>
      </c>
      <c r="P275" s="94">
        <f t="shared" ca="1" si="86"/>
        <v>25.999636871582165</v>
      </c>
      <c r="Q275" s="94">
        <f t="shared" ca="1" si="87"/>
        <v>25.999636871582165</v>
      </c>
      <c r="R275" s="94">
        <f t="shared" ca="1" si="88"/>
        <v>2.5999636871582164</v>
      </c>
      <c r="S275" s="94">
        <f t="shared" ca="1" si="89"/>
        <v>2.5999636871582168</v>
      </c>
      <c r="T275" s="4">
        <f t="shared" ca="1" si="90"/>
        <v>0</v>
      </c>
      <c r="U275" s="46">
        <f t="shared" ca="1" si="91"/>
        <v>1337.360460436222</v>
      </c>
      <c r="V275" s="4">
        <f t="shared" ca="1" si="92"/>
        <v>0</v>
      </c>
      <c r="W275" s="13">
        <f t="shared" ca="1" si="93"/>
        <v>11478.326063848626</v>
      </c>
      <c r="X275" s="4">
        <f t="shared" ca="1" si="94"/>
        <v>0</v>
      </c>
      <c r="AE275" s="4"/>
    </row>
    <row r="276" spans="1:31">
      <c r="A276">
        <v>2</v>
      </c>
      <c r="B276">
        <v>0</v>
      </c>
      <c r="C276">
        <f t="shared" si="76"/>
        <v>4</v>
      </c>
      <c r="D276">
        <f t="shared" si="77"/>
        <v>2</v>
      </c>
      <c r="E276">
        <f t="shared" si="78"/>
        <v>2</v>
      </c>
      <c r="F276" s="100">
        <f t="shared" ca="1" si="79"/>
        <v>6.3634999999999997E-2</v>
      </c>
      <c r="G276">
        <v>1</v>
      </c>
      <c r="H276">
        <v>1</v>
      </c>
      <c r="I276">
        <v>5</v>
      </c>
      <c r="J276" s="1">
        <f t="shared" ca="1" si="80"/>
        <v>0</v>
      </c>
      <c r="K276" s="1">
        <f t="shared" ca="1" si="81"/>
        <v>0</v>
      </c>
      <c r="L276" s="13">
        <f t="shared" ca="1" si="82"/>
        <v>189</v>
      </c>
      <c r="M276" s="7">
        <f t="shared" ca="1" si="83"/>
        <v>811</v>
      </c>
      <c r="N276" s="44">
        <f t="shared" ca="1" si="84"/>
        <v>11</v>
      </c>
      <c r="O276" s="94">
        <f t="shared" ca="1" si="85"/>
        <v>2.8397004155948178</v>
      </c>
      <c r="P276" s="94">
        <f t="shared" ca="1" si="86"/>
        <v>28.397004155948181</v>
      </c>
      <c r="Q276" s="94">
        <f t="shared" ca="1" si="87"/>
        <v>25.999636871582165</v>
      </c>
      <c r="R276" s="94">
        <f t="shared" ca="1" si="88"/>
        <v>2.7198320513765175</v>
      </c>
      <c r="S276" s="94">
        <f t="shared" ca="1" si="89"/>
        <v>2.8397004155948178</v>
      </c>
      <c r="T276" s="4">
        <f t="shared" ca="1" si="90"/>
        <v>0</v>
      </c>
      <c r="U276" s="46">
        <f t="shared" ca="1" si="91"/>
        <v>1412.1639413314356</v>
      </c>
      <c r="V276" s="4">
        <f t="shared" ca="1" si="92"/>
        <v>0</v>
      </c>
      <c r="W276" s="13">
        <f t="shared" ca="1" si="93"/>
        <v>10643.509569801656</v>
      </c>
      <c r="X276" s="4">
        <f t="shared" ca="1" si="94"/>
        <v>0</v>
      </c>
      <c r="AE276" s="4"/>
    </row>
    <row r="277" spans="1:31">
      <c r="A277">
        <v>2</v>
      </c>
      <c r="B277">
        <v>0</v>
      </c>
      <c r="C277">
        <f t="shared" si="76"/>
        <v>4</v>
      </c>
      <c r="D277">
        <f t="shared" si="77"/>
        <v>2</v>
      </c>
      <c r="E277">
        <f t="shared" si="78"/>
        <v>2</v>
      </c>
      <c r="F277" s="100">
        <f t="shared" ca="1" si="79"/>
        <v>6.3634999999999997E-2</v>
      </c>
      <c r="G277">
        <v>1</v>
      </c>
      <c r="H277">
        <v>1</v>
      </c>
      <c r="I277">
        <v>4</v>
      </c>
      <c r="J277" s="1">
        <f t="shared" ca="1" si="80"/>
        <v>0</v>
      </c>
      <c r="K277" s="1">
        <f t="shared" ca="1" si="81"/>
        <v>0</v>
      </c>
      <c r="L277" s="13">
        <f t="shared" ca="1" si="82"/>
        <v>176</v>
      </c>
      <c r="M277" s="7">
        <f t="shared" ca="1" si="83"/>
        <v>824</v>
      </c>
      <c r="N277" s="44">
        <f t="shared" ca="1" si="84"/>
        <v>11</v>
      </c>
      <c r="O277" s="94">
        <f t="shared" ca="1" si="85"/>
        <v>2.8397004155948178</v>
      </c>
      <c r="P277" s="94">
        <f t="shared" ca="1" si="86"/>
        <v>28.397004155948181</v>
      </c>
      <c r="Q277" s="94">
        <f t="shared" ca="1" si="87"/>
        <v>28.397004155948181</v>
      </c>
      <c r="R277" s="94">
        <f t="shared" ca="1" si="88"/>
        <v>2.8397004155948182</v>
      </c>
      <c r="S277" s="94">
        <f t="shared" ca="1" si="89"/>
        <v>2.8397004155948178</v>
      </c>
      <c r="T277" s="4">
        <f t="shared" ca="1" si="90"/>
        <v>0</v>
      </c>
      <c r="U277" s="46">
        <f t="shared" ca="1" si="91"/>
        <v>1399.1639413314356</v>
      </c>
      <c r="V277" s="4">
        <f t="shared" ca="1" si="92"/>
        <v>0</v>
      </c>
      <c r="W277" s="13">
        <f t="shared" ca="1" si="93"/>
        <v>9808.693075754687</v>
      </c>
      <c r="X277" s="4">
        <f t="shared" ca="1" si="94"/>
        <v>0</v>
      </c>
      <c r="AE277" s="4"/>
    </row>
    <row r="278" spans="1:31">
      <c r="A278">
        <v>2</v>
      </c>
      <c r="B278">
        <v>0</v>
      </c>
      <c r="C278">
        <f t="shared" si="76"/>
        <v>4</v>
      </c>
      <c r="D278">
        <f t="shared" si="77"/>
        <v>2</v>
      </c>
      <c r="E278">
        <f t="shared" si="78"/>
        <v>2</v>
      </c>
      <c r="F278" s="100">
        <f t="shared" ca="1" si="79"/>
        <v>6.3634999999999997E-2</v>
      </c>
      <c r="G278">
        <v>1</v>
      </c>
      <c r="H278">
        <v>1</v>
      </c>
      <c r="I278">
        <v>3</v>
      </c>
      <c r="J278" s="1">
        <f t="shared" ca="1" si="80"/>
        <v>0</v>
      </c>
      <c r="K278" s="1">
        <f t="shared" ca="1" si="81"/>
        <v>0</v>
      </c>
      <c r="L278" s="13">
        <f t="shared" ca="1" si="82"/>
        <v>163</v>
      </c>
      <c r="M278" s="7">
        <f t="shared" ca="1" si="83"/>
        <v>837</v>
      </c>
      <c r="N278" s="44">
        <f t="shared" ca="1" si="84"/>
        <v>11</v>
      </c>
      <c r="O278" s="94">
        <f t="shared" ca="1" si="85"/>
        <v>2.8397004155948178</v>
      </c>
      <c r="P278" s="94">
        <f t="shared" ca="1" si="86"/>
        <v>28.397004155948181</v>
      </c>
      <c r="Q278" s="94">
        <f t="shared" ca="1" si="87"/>
        <v>28.397004155948181</v>
      </c>
      <c r="R278" s="94">
        <f t="shared" ca="1" si="88"/>
        <v>2.8397004155948182</v>
      </c>
      <c r="S278" s="94">
        <f t="shared" ca="1" si="89"/>
        <v>2.8397004155948178</v>
      </c>
      <c r="T278" s="4">
        <f t="shared" ca="1" si="90"/>
        <v>0</v>
      </c>
      <c r="U278" s="46">
        <f t="shared" ca="1" si="91"/>
        <v>1386.1639413314356</v>
      </c>
      <c r="V278" s="4">
        <f t="shared" ca="1" si="92"/>
        <v>0</v>
      </c>
      <c r="W278" s="13">
        <f t="shared" ca="1" si="93"/>
        <v>8973.8765817077146</v>
      </c>
      <c r="X278" s="4">
        <f t="shared" ca="1" si="94"/>
        <v>0</v>
      </c>
      <c r="AE278" s="4"/>
    </row>
    <row r="279" spans="1:31">
      <c r="A279">
        <v>2</v>
      </c>
      <c r="B279">
        <v>0</v>
      </c>
      <c r="C279">
        <f t="shared" si="76"/>
        <v>4</v>
      </c>
      <c r="D279">
        <f t="shared" si="77"/>
        <v>2</v>
      </c>
      <c r="E279">
        <f t="shared" si="78"/>
        <v>2</v>
      </c>
      <c r="F279" s="100">
        <f t="shared" ca="1" si="79"/>
        <v>6.3634999999999997E-2</v>
      </c>
      <c r="G279">
        <v>1</v>
      </c>
      <c r="H279">
        <v>1</v>
      </c>
      <c r="I279">
        <v>2</v>
      </c>
      <c r="J279" s="1">
        <f t="shared" ca="1" si="80"/>
        <v>0.92178404999999997</v>
      </c>
      <c r="K279" s="1">
        <f t="shared" ca="1" si="81"/>
        <v>5.8657728021749997E-2</v>
      </c>
      <c r="L279" s="13">
        <f t="shared" ca="1" si="82"/>
        <v>150</v>
      </c>
      <c r="M279" s="7">
        <f t="shared" ca="1" si="83"/>
        <v>850</v>
      </c>
      <c r="N279" s="44">
        <f t="shared" ca="1" si="84"/>
        <v>11</v>
      </c>
      <c r="O279" s="94">
        <f t="shared" ca="1" si="85"/>
        <v>2.8397004155948178</v>
      </c>
      <c r="P279" s="94">
        <f t="shared" ca="1" si="86"/>
        <v>28.397004155948181</v>
      </c>
      <c r="Q279" s="94">
        <f t="shared" ca="1" si="87"/>
        <v>28.397004155948181</v>
      </c>
      <c r="R279" s="94">
        <f t="shared" ca="1" si="88"/>
        <v>2.8397004155948182</v>
      </c>
      <c r="S279" s="94">
        <f t="shared" ca="1" si="89"/>
        <v>2.8397004155948178</v>
      </c>
      <c r="T279" s="4">
        <f t="shared" ca="1" si="90"/>
        <v>0.16657037464121124</v>
      </c>
      <c r="U279" s="46">
        <f t="shared" ca="1" si="91"/>
        <v>1373.1639413314356</v>
      </c>
      <c r="V279" s="4">
        <f t="shared" ca="1" si="92"/>
        <v>80.54667699989362</v>
      </c>
      <c r="W279" s="13">
        <f t="shared" ca="1" si="93"/>
        <v>8139.0600876607459</v>
      </c>
      <c r="X279" s="4">
        <f t="shared" ca="1" si="94"/>
        <v>477.41877297468471</v>
      </c>
      <c r="AE279" s="4"/>
    </row>
    <row r="280" spans="1:31">
      <c r="A280">
        <v>2</v>
      </c>
      <c r="B280">
        <v>0</v>
      </c>
      <c r="C280">
        <f t="shared" si="76"/>
        <v>4</v>
      </c>
      <c r="D280">
        <f t="shared" si="77"/>
        <v>2</v>
      </c>
      <c r="E280">
        <f t="shared" si="78"/>
        <v>2</v>
      </c>
      <c r="F280" s="100">
        <f t="shared" ca="1" si="79"/>
        <v>6.3634999999999997E-2</v>
      </c>
      <c r="G280">
        <v>1</v>
      </c>
      <c r="H280">
        <v>1</v>
      </c>
      <c r="I280">
        <v>1</v>
      </c>
      <c r="J280" s="1">
        <f t="shared" ca="1" si="80"/>
        <v>1.8621900000000018E-2</v>
      </c>
      <c r="K280" s="1">
        <f t="shared" ca="1" si="81"/>
        <v>1.185004606500001E-3</v>
      </c>
      <c r="L280" s="13">
        <f t="shared" ca="1" si="82"/>
        <v>137</v>
      </c>
      <c r="M280" s="7">
        <f t="shared" ca="1" si="83"/>
        <v>863</v>
      </c>
      <c r="N280" s="44">
        <f t="shared" ca="1" si="84"/>
        <v>11</v>
      </c>
      <c r="O280" s="94">
        <f t="shared" ca="1" si="85"/>
        <v>2.8397004155948178</v>
      </c>
      <c r="P280" s="94">
        <f t="shared" ca="1" si="86"/>
        <v>28.397004155948181</v>
      </c>
      <c r="Q280" s="94">
        <f t="shared" ca="1" si="87"/>
        <v>28.397004155948181</v>
      </c>
      <c r="R280" s="94">
        <f t="shared" ca="1" si="88"/>
        <v>2.8397004155948182</v>
      </c>
      <c r="S280" s="94">
        <f t="shared" ca="1" si="89"/>
        <v>2.8397004155948178</v>
      </c>
      <c r="T280" s="4">
        <f t="shared" ca="1" si="90"/>
        <v>3.3650580735598264E-3</v>
      </c>
      <c r="U280" s="46">
        <f t="shared" ca="1" si="91"/>
        <v>1360.1639413314356</v>
      </c>
      <c r="V280" s="4">
        <f t="shared" ca="1" si="92"/>
        <v>1.6118005360729482</v>
      </c>
      <c r="W280" s="13">
        <f t="shared" ca="1" si="93"/>
        <v>7304.2435936137754</v>
      </c>
      <c r="X280" s="4">
        <f t="shared" ca="1" si="94"/>
        <v>8.6555623054304451</v>
      </c>
      <c r="AE280" s="4"/>
    </row>
    <row r="281" spans="1:31">
      <c r="A281">
        <v>2</v>
      </c>
      <c r="B281">
        <v>0</v>
      </c>
      <c r="C281">
        <f t="shared" si="76"/>
        <v>4</v>
      </c>
      <c r="D281">
        <f t="shared" si="77"/>
        <v>2</v>
      </c>
      <c r="E281">
        <f t="shared" si="78"/>
        <v>2</v>
      </c>
      <c r="F281" s="100">
        <f t="shared" ca="1" si="79"/>
        <v>6.3634999999999997E-2</v>
      </c>
      <c r="G281">
        <v>1</v>
      </c>
      <c r="H281">
        <v>1</v>
      </c>
      <c r="I281">
        <v>0</v>
      </c>
      <c r="J281" s="1">
        <f t="shared" ca="1" si="80"/>
        <v>9.4050000000000172E-5</v>
      </c>
      <c r="K281" s="1">
        <f t="shared" ca="1" si="81"/>
        <v>5.9848717500000105E-6</v>
      </c>
      <c r="L281" s="13">
        <f t="shared" ca="1" si="82"/>
        <v>124</v>
      </c>
      <c r="M281" s="7">
        <f t="shared" ca="1" si="83"/>
        <v>876</v>
      </c>
      <c r="N281" s="44">
        <f t="shared" ca="1" si="84"/>
        <v>11</v>
      </c>
      <c r="O281" s="94">
        <f t="shared" ca="1" si="85"/>
        <v>2.8397004155948178</v>
      </c>
      <c r="P281" s="94">
        <f t="shared" ca="1" si="86"/>
        <v>28.397004155948181</v>
      </c>
      <c r="Q281" s="94">
        <f t="shared" ca="1" si="87"/>
        <v>28.397004155948181</v>
      </c>
      <c r="R281" s="94">
        <f t="shared" ca="1" si="88"/>
        <v>2.8397004155948182</v>
      </c>
      <c r="S281" s="94">
        <f t="shared" ca="1" si="89"/>
        <v>2.8397004155948178</v>
      </c>
      <c r="T281" s="4">
        <f t="shared" ca="1" si="90"/>
        <v>1.6995242795756715E-5</v>
      </c>
      <c r="U281" s="46">
        <f t="shared" ca="1" si="91"/>
        <v>1347.1639413314356</v>
      </c>
      <c r="V281" s="4">
        <f t="shared" ca="1" si="92"/>
        <v>8.0626034150931801E-3</v>
      </c>
      <c r="W281" s="13">
        <f t="shared" ca="1" si="93"/>
        <v>6469.4270995668048</v>
      </c>
      <c r="X281" s="4">
        <f t="shared" ca="1" si="94"/>
        <v>3.8718691486881875E-2</v>
      </c>
      <c r="AE281" s="4"/>
    </row>
    <row r="282" spans="1:31">
      <c r="A282">
        <v>2</v>
      </c>
      <c r="B282">
        <v>0</v>
      </c>
      <c r="C282">
        <f t="shared" si="76"/>
        <v>4</v>
      </c>
      <c r="D282">
        <f t="shared" si="77"/>
        <v>2</v>
      </c>
      <c r="E282">
        <f t="shared" si="78"/>
        <v>2</v>
      </c>
      <c r="F282" s="100">
        <f t="shared" ca="1" si="79"/>
        <v>6.3634999999999997E-2</v>
      </c>
      <c r="G282">
        <v>1</v>
      </c>
      <c r="H282">
        <v>0</v>
      </c>
      <c r="I282">
        <v>7</v>
      </c>
      <c r="J282" s="1">
        <f t="shared" ca="1" si="80"/>
        <v>0</v>
      </c>
      <c r="K282" s="1">
        <f t="shared" ca="1" si="81"/>
        <v>0</v>
      </c>
      <c r="L282" s="13">
        <f t="shared" ca="1" si="82"/>
        <v>153</v>
      </c>
      <c r="M282" s="7">
        <f t="shared" ca="1" si="83"/>
        <v>847</v>
      </c>
      <c r="N282" s="44">
        <f t="shared" ca="1" si="84"/>
        <v>11</v>
      </c>
      <c r="O282" s="94">
        <f t="shared" ca="1" si="85"/>
        <v>2.8397004155948178</v>
      </c>
      <c r="P282" s="94">
        <f t="shared" ca="1" si="86"/>
        <v>28.397004155948181</v>
      </c>
      <c r="Q282" s="94">
        <f t="shared" ca="1" si="87"/>
        <v>28.397004155948181</v>
      </c>
      <c r="R282" s="94">
        <f t="shared" ca="1" si="88"/>
        <v>2.8397004155948182</v>
      </c>
      <c r="S282" s="94">
        <f t="shared" ca="1" si="89"/>
        <v>2.8397004155948178</v>
      </c>
      <c r="T282" s="4">
        <f t="shared" ca="1" si="90"/>
        <v>0</v>
      </c>
      <c r="U282" s="46">
        <f t="shared" ca="1" si="91"/>
        <v>1376.1639413314356</v>
      </c>
      <c r="V282" s="4">
        <f t="shared" ca="1" si="92"/>
        <v>0</v>
      </c>
      <c r="W282" s="13">
        <f t="shared" ca="1" si="93"/>
        <v>11687.430916657584</v>
      </c>
      <c r="X282" s="4">
        <f t="shared" ca="1" si="94"/>
        <v>0</v>
      </c>
      <c r="AE282" s="4"/>
    </row>
    <row r="283" spans="1:31">
      <c r="A283">
        <v>2</v>
      </c>
      <c r="B283">
        <v>0</v>
      </c>
      <c r="C283">
        <f t="shared" si="76"/>
        <v>4</v>
      </c>
      <c r="D283">
        <f t="shared" si="77"/>
        <v>2</v>
      </c>
      <c r="E283">
        <f t="shared" si="78"/>
        <v>2</v>
      </c>
      <c r="F283" s="100">
        <f t="shared" ca="1" si="79"/>
        <v>6.3634999999999997E-2</v>
      </c>
      <c r="G283">
        <v>1</v>
      </c>
      <c r="H283">
        <v>0</v>
      </c>
      <c r="I283">
        <v>6</v>
      </c>
      <c r="J283" s="1">
        <f t="shared" ca="1" si="80"/>
        <v>0</v>
      </c>
      <c r="K283" s="1">
        <f t="shared" ca="1" si="81"/>
        <v>0</v>
      </c>
      <c r="L283" s="13">
        <f t="shared" ca="1" si="82"/>
        <v>140</v>
      </c>
      <c r="M283" s="7">
        <f t="shared" ca="1" si="83"/>
        <v>860</v>
      </c>
      <c r="N283" s="44">
        <f t="shared" ca="1" si="84"/>
        <v>11</v>
      </c>
      <c r="O283" s="94">
        <f t="shared" ca="1" si="85"/>
        <v>2.8397004155948178</v>
      </c>
      <c r="P283" s="94">
        <f t="shared" ca="1" si="86"/>
        <v>28.397004155948181</v>
      </c>
      <c r="Q283" s="94">
        <f t="shared" ca="1" si="87"/>
        <v>28.397004155948181</v>
      </c>
      <c r="R283" s="94">
        <f t="shared" ca="1" si="88"/>
        <v>2.8397004155948182</v>
      </c>
      <c r="S283" s="94">
        <f t="shared" ca="1" si="89"/>
        <v>2.8397004155948178</v>
      </c>
      <c r="T283" s="4">
        <f t="shared" ca="1" si="90"/>
        <v>0</v>
      </c>
      <c r="U283" s="46">
        <f t="shared" ca="1" si="91"/>
        <v>1363.1639413314356</v>
      </c>
      <c r="V283" s="4">
        <f t="shared" ca="1" si="92"/>
        <v>0</v>
      </c>
      <c r="W283" s="13">
        <f t="shared" ca="1" si="93"/>
        <v>10852.614422610615</v>
      </c>
      <c r="X283" s="4">
        <f t="shared" ca="1" si="94"/>
        <v>0</v>
      </c>
      <c r="AE283" s="4"/>
    </row>
    <row r="284" spans="1:31">
      <c r="A284">
        <v>2</v>
      </c>
      <c r="B284">
        <v>0</v>
      </c>
      <c r="C284">
        <f t="shared" si="76"/>
        <v>4</v>
      </c>
      <c r="D284">
        <f t="shared" si="77"/>
        <v>2</v>
      </c>
      <c r="E284">
        <f t="shared" si="78"/>
        <v>2</v>
      </c>
      <c r="F284" s="100">
        <f t="shared" ca="1" si="79"/>
        <v>6.3634999999999997E-2</v>
      </c>
      <c r="G284">
        <v>1</v>
      </c>
      <c r="H284">
        <v>0</v>
      </c>
      <c r="I284">
        <v>5</v>
      </c>
      <c r="J284" s="1">
        <f t="shared" ca="1" si="80"/>
        <v>0</v>
      </c>
      <c r="K284" s="1">
        <f t="shared" ca="1" si="81"/>
        <v>0</v>
      </c>
      <c r="L284" s="13">
        <f t="shared" ca="1" si="82"/>
        <v>127</v>
      </c>
      <c r="M284" s="7">
        <f t="shared" ca="1" si="83"/>
        <v>873</v>
      </c>
      <c r="N284" s="44">
        <f t="shared" ca="1" si="84"/>
        <v>11</v>
      </c>
      <c r="O284" s="94">
        <f t="shared" ca="1" si="85"/>
        <v>2.8397004155948178</v>
      </c>
      <c r="P284" s="94">
        <f t="shared" ca="1" si="86"/>
        <v>28.397004155948181</v>
      </c>
      <c r="Q284" s="94">
        <f t="shared" ca="1" si="87"/>
        <v>28.397004155948181</v>
      </c>
      <c r="R284" s="94">
        <f t="shared" ca="1" si="88"/>
        <v>2.8397004155948182</v>
      </c>
      <c r="S284" s="94">
        <f t="shared" ca="1" si="89"/>
        <v>2.8397004155948178</v>
      </c>
      <c r="T284" s="4">
        <f t="shared" ca="1" si="90"/>
        <v>0</v>
      </c>
      <c r="U284" s="46">
        <f t="shared" ca="1" si="91"/>
        <v>1350.1639413314356</v>
      </c>
      <c r="V284" s="4">
        <f t="shared" ca="1" si="92"/>
        <v>0</v>
      </c>
      <c r="W284" s="13">
        <f t="shared" ca="1" si="93"/>
        <v>10017.797928563645</v>
      </c>
      <c r="X284" s="4">
        <f t="shared" ca="1" si="94"/>
        <v>0</v>
      </c>
      <c r="AE284" s="4"/>
    </row>
    <row r="285" spans="1:31">
      <c r="A285">
        <v>2</v>
      </c>
      <c r="B285">
        <v>0</v>
      </c>
      <c r="C285">
        <f t="shared" si="76"/>
        <v>4</v>
      </c>
      <c r="D285">
        <f t="shared" si="77"/>
        <v>2</v>
      </c>
      <c r="E285">
        <f t="shared" si="78"/>
        <v>2</v>
      </c>
      <c r="F285" s="100">
        <f t="shared" ca="1" si="79"/>
        <v>6.3634999999999997E-2</v>
      </c>
      <c r="G285">
        <v>1</v>
      </c>
      <c r="H285">
        <v>0</v>
      </c>
      <c r="I285">
        <v>4</v>
      </c>
      <c r="J285" s="1">
        <f t="shared" ca="1" si="80"/>
        <v>0</v>
      </c>
      <c r="K285" s="1">
        <f t="shared" ca="1" si="81"/>
        <v>0</v>
      </c>
      <c r="L285" s="13">
        <f t="shared" ca="1" si="82"/>
        <v>114</v>
      </c>
      <c r="M285" s="7">
        <f t="shared" ca="1" si="83"/>
        <v>886</v>
      </c>
      <c r="N285" s="44">
        <f t="shared" ca="1" si="84"/>
        <v>12</v>
      </c>
      <c r="O285" s="94">
        <f t="shared" ca="1" si="85"/>
        <v>3.0624018806381534</v>
      </c>
      <c r="P285" s="94">
        <f t="shared" ca="1" si="86"/>
        <v>29.510511481164862</v>
      </c>
      <c r="Q285" s="94">
        <f t="shared" ca="1" si="87"/>
        <v>28.397004155948181</v>
      </c>
      <c r="R285" s="94">
        <f t="shared" ca="1" si="88"/>
        <v>2.8953757818556523</v>
      </c>
      <c r="S285" s="94">
        <f t="shared" ca="1" si="89"/>
        <v>3.0624018806381534</v>
      </c>
      <c r="T285" s="4">
        <f t="shared" ca="1" si="90"/>
        <v>0</v>
      </c>
      <c r="U285" s="46">
        <f t="shared" ca="1" si="91"/>
        <v>1418.7282638229713</v>
      </c>
      <c r="V285" s="4">
        <f t="shared" ca="1" si="92"/>
        <v>0</v>
      </c>
      <c r="W285" s="13">
        <f t="shared" ca="1" si="93"/>
        <v>9182.9814345166742</v>
      </c>
      <c r="X285" s="4">
        <f t="shared" ca="1" si="94"/>
        <v>0</v>
      </c>
      <c r="AE285" s="4"/>
    </row>
    <row r="286" spans="1:31">
      <c r="A286">
        <v>2</v>
      </c>
      <c r="B286">
        <v>0</v>
      </c>
      <c r="C286">
        <f t="shared" si="76"/>
        <v>4</v>
      </c>
      <c r="D286">
        <f t="shared" si="77"/>
        <v>2</v>
      </c>
      <c r="E286">
        <f t="shared" si="78"/>
        <v>2</v>
      </c>
      <c r="F286" s="100">
        <f t="shared" ca="1" si="79"/>
        <v>6.3634999999999997E-2</v>
      </c>
      <c r="G286">
        <v>1</v>
      </c>
      <c r="H286">
        <v>0</v>
      </c>
      <c r="I286">
        <v>3</v>
      </c>
      <c r="J286" s="1">
        <f t="shared" ca="1" si="80"/>
        <v>0</v>
      </c>
      <c r="K286" s="1">
        <f t="shared" ca="1" si="81"/>
        <v>0</v>
      </c>
      <c r="L286" s="13">
        <f t="shared" ca="1" si="82"/>
        <v>101</v>
      </c>
      <c r="M286" s="7">
        <f t="shared" ca="1" si="83"/>
        <v>899</v>
      </c>
      <c r="N286" s="44">
        <f t="shared" ca="1" si="84"/>
        <v>12</v>
      </c>
      <c r="O286" s="94">
        <f t="shared" ca="1" si="85"/>
        <v>3.0624018806381534</v>
      </c>
      <c r="P286" s="94">
        <f t="shared" ca="1" si="86"/>
        <v>30.624018806381528</v>
      </c>
      <c r="Q286" s="94">
        <f t="shared" ca="1" si="87"/>
        <v>30.178615876294863</v>
      </c>
      <c r="R286" s="94">
        <f t="shared" ca="1" si="88"/>
        <v>3.0401317341338197</v>
      </c>
      <c r="S286" s="94">
        <f t="shared" ca="1" si="89"/>
        <v>3.0624018806381534</v>
      </c>
      <c r="T286" s="4">
        <f t="shared" ca="1" si="90"/>
        <v>0</v>
      </c>
      <c r="U286" s="46">
        <f t="shared" ca="1" si="91"/>
        <v>1405.7282638229713</v>
      </c>
      <c r="V286" s="4">
        <f t="shared" ca="1" si="92"/>
        <v>0</v>
      </c>
      <c r="W286" s="13">
        <f t="shared" ca="1" si="93"/>
        <v>8348.1649404697037</v>
      </c>
      <c r="X286" s="4">
        <f t="shared" ca="1" si="94"/>
        <v>0</v>
      </c>
      <c r="AE286" s="4"/>
    </row>
    <row r="287" spans="1:31">
      <c r="A287">
        <v>2</v>
      </c>
      <c r="B287">
        <v>0</v>
      </c>
      <c r="C287">
        <f t="shared" si="76"/>
        <v>4</v>
      </c>
      <c r="D287">
        <f t="shared" si="77"/>
        <v>2</v>
      </c>
      <c r="E287">
        <f t="shared" si="78"/>
        <v>2</v>
      </c>
      <c r="F287" s="100">
        <f t="shared" ca="1" si="79"/>
        <v>6.3634999999999997E-2</v>
      </c>
      <c r="G287">
        <v>1</v>
      </c>
      <c r="H287">
        <v>0</v>
      </c>
      <c r="I287">
        <v>2</v>
      </c>
      <c r="J287" s="1">
        <f t="shared" ca="1" si="80"/>
        <v>9.3109500000000088E-3</v>
      </c>
      <c r="K287" s="1">
        <f t="shared" ca="1" si="81"/>
        <v>5.9250230325000048E-4</v>
      </c>
      <c r="L287" s="13">
        <f t="shared" ca="1" si="82"/>
        <v>88</v>
      </c>
      <c r="M287" s="7">
        <f t="shared" ca="1" si="83"/>
        <v>912</v>
      </c>
      <c r="N287" s="44">
        <f t="shared" ca="1" si="84"/>
        <v>12</v>
      </c>
      <c r="O287" s="94">
        <f t="shared" ca="1" si="85"/>
        <v>3.0624018806381534</v>
      </c>
      <c r="P287" s="94">
        <f t="shared" ca="1" si="86"/>
        <v>30.624018806381528</v>
      </c>
      <c r="Q287" s="94">
        <f t="shared" ca="1" si="87"/>
        <v>30.624018806381528</v>
      </c>
      <c r="R287" s="94">
        <f t="shared" ca="1" si="88"/>
        <v>3.062401880638153</v>
      </c>
      <c r="S287" s="94">
        <f t="shared" ca="1" si="89"/>
        <v>3.0624018806381534</v>
      </c>
      <c r="T287" s="4">
        <f t="shared" ca="1" si="90"/>
        <v>1.814480167755239E-3</v>
      </c>
      <c r="U287" s="46">
        <f t="shared" ca="1" si="91"/>
        <v>1392.7282638229713</v>
      </c>
      <c r="V287" s="4">
        <f t="shared" ca="1" si="92"/>
        <v>0.82519470411648477</v>
      </c>
      <c r="W287" s="13">
        <f t="shared" ca="1" si="93"/>
        <v>7513.3484464227331</v>
      </c>
      <c r="X287" s="4">
        <f t="shared" ca="1" si="94"/>
        <v>4.4516762596252821</v>
      </c>
      <c r="AE287" s="4"/>
    </row>
    <row r="288" spans="1:31">
      <c r="A288">
        <v>2</v>
      </c>
      <c r="B288">
        <v>0</v>
      </c>
      <c r="C288">
        <f t="shared" si="76"/>
        <v>4</v>
      </c>
      <c r="D288">
        <f t="shared" si="77"/>
        <v>2</v>
      </c>
      <c r="E288">
        <f t="shared" si="78"/>
        <v>2</v>
      </c>
      <c r="F288" s="100">
        <f t="shared" ca="1" si="79"/>
        <v>6.3634999999999997E-2</v>
      </c>
      <c r="G288">
        <v>1</v>
      </c>
      <c r="H288">
        <v>0</v>
      </c>
      <c r="I288">
        <v>1</v>
      </c>
      <c r="J288" s="1">
        <f t="shared" ca="1" si="80"/>
        <v>1.8810000000000034E-4</v>
      </c>
      <c r="K288" s="1">
        <f t="shared" ca="1" si="81"/>
        <v>1.1969743500000021E-5</v>
      </c>
      <c r="L288" s="13">
        <f t="shared" ca="1" si="82"/>
        <v>75</v>
      </c>
      <c r="M288" s="7">
        <f t="shared" ca="1" si="83"/>
        <v>925</v>
      </c>
      <c r="N288" s="44">
        <f t="shared" ca="1" si="84"/>
        <v>12</v>
      </c>
      <c r="O288" s="94">
        <f t="shared" ca="1" si="85"/>
        <v>3.0624018806381534</v>
      </c>
      <c r="P288" s="94">
        <f t="shared" ca="1" si="86"/>
        <v>30.624018806381528</v>
      </c>
      <c r="Q288" s="94">
        <f t="shared" ca="1" si="87"/>
        <v>30.624018806381528</v>
      </c>
      <c r="R288" s="94">
        <f t="shared" ca="1" si="88"/>
        <v>3.062401880638153</v>
      </c>
      <c r="S288" s="94">
        <f t="shared" ca="1" si="89"/>
        <v>3.0624018806381534</v>
      </c>
      <c r="T288" s="4">
        <f t="shared" ca="1" si="90"/>
        <v>3.6656165005156378E-5</v>
      </c>
      <c r="U288" s="46">
        <f t="shared" ca="1" si="91"/>
        <v>1379.7282638229713</v>
      </c>
      <c r="V288" s="4">
        <f t="shared" ca="1" si="92"/>
        <v>1.6514993417661324E-2</v>
      </c>
      <c r="W288" s="13">
        <f t="shared" ca="1" si="93"/>
        <v>6678.5319523757635</v>
      </c>
      <c r="X288" s="4">
        <f t="shared" ca="1" si="94"/>
        <v>7.9940314426492243E-2</v>
      </c>
      <c r="AE288" s="4"/>
    </row>
    <row r="289" spans="1:31">
      <c r="A289">
        <v>2</v>
      </c>
      <c r="B289">
        <v>0</v>
      </c>
      <c r="C289">
        <f t="shared" si="76"/>
        <v>4</v>
      </c>
      <c r="D289">
        <f t="shared" si="77"/>
        <v>2</v>
      </c>
      <c r="E289">
        <f t="shared" si="78"/>
        <v>2</v>
      </c>
      <c r="F289" s="100">
        <f t="shared" ca="1" si="79"/>
        <v>6.3634999999999997E-2</v>
      </c>
      <c r="G289">
        <v>1</v>
      </c>
      <c r="H289">
        <v>0</v>
      </c>
      <c r="I289">
        <v>0</v>
      </c>
      <c r="J289" s="1">
        <f t="shared" ca="1" si="80"/>
        <v>9.5000000000000255E-7</v>
      </c>
      <c r="K289" s="1">
        <f t="shared" ca="1" si="81"/>
        <v>6.0453250000000158E-8</v>
      </c>
      <c r="L289" s="13">
        <f t="shared" ca="1" si="82"/>
        <v>62</v>
      </c>
      <c r="M289" s="7">
        <f t="shared" ca="1" si="83"/>
        <v>938</v>
      </c>
      <c r="N289" s="44">
        <f t="shared" ca="1" si="84"/>
        <v>12</v>
      </c>
      <c r="O289" s="94">
        <f t="shared" ca="1" si="85"/>
        <v>3.0624018806381534</v>
      </c>
      <c r="P289" s="94">
        <f t="shared" ca="1" si="86"/>
        <v>30.624018806381528</v>
      </c>
      <c r="Q289" s="94">
        <f t="shared" ca="1" si="87"/>
        <v>30.624018806381528</v>
      </c>
      <c r="R289" s="94">
        <f t="shared" ca="1" si="88"/>
        <v>3.062401880638153</v>
      </c>
      <c r="S289" s="94">
        <f t="shared" ca="1" si="89"/>
        <v>3.0624018806381534</v>
      </c>
      <c r="T289" s="4">
        <f t="shared" ca="1" si="90"/>
        <v>1.8513214649068893E-7</v>
      </c>
      <c r="U289" s="46">
        <f t="shared" ca="1" si="91"/>
        <v>1366.7282638229713</v>
      </c>
      <c r="V289" s="4">
        <f t="shared" ca="1" si="92"/>
        <v>8.2623165414956253E-5</v>
      </c>
      <c r="W289" s="13">
        <f t="shared" ca="1" si="93"/>
        <v>5843.7154583287929</v>
      </c>
      <c r="X289" s="4">
        <f t="shared" ca="1" si="94"/>
        <v>3.5327159153121604E-4</v>
      </c>
      <c r="AE289" s="4"/>
    </row>
    <row r="290" spans="1:31">
      <c r="A290">
        <v>2</v>
      </c>
      <c r="B290">
        <v>0</v>
      </c>
      <c r="C290">
        <f t="shared" si="76"/>
        <v>4</v>
      </c>
      <c r="D290">
        <f t="shared" si="77"/>
        <v>2</v>
      </c>
      <c r="E290">
        <f t="shared" si="78"/>
        <v>2</v>
      </c>
      <c r="F290" s="100">
        <f t="shared" ca="1" si="79"/>
        <v>6.3634999999999997E-2</v>
      </c>
      <c r="G290">
        <v>0</v>
      </c>
      <c r="H290">
        <v>1</v>
      </c>
      <c r="I290">
        <v>7</v>
      </c>
      <c r="J290" s="1">
        <f t="shared" ca="1" si="80"/>
        <v>0</v>
      </c>
      <c r="K290" s="1">
        <f t="shared" ca="1" si="81"/>
        <v>0</v>
      </c>
      <c r="L290" s="13">
        <f t="shared" ca="1" si="82"/>
        <v>153</v>
      </c>
      <c r="M290" s="7">
        <f t="shared" ca="1" si="83"/>
        <v>847</v>
      </c>
      <c r="N290" s="44">
        <f t="shared" ca="1" si="84"/>
        <v>11</v>
      </c>
      <c r="O290" s="94">
        <f t="shared" ca="1" si="85"/>
        <v>2.8397004155948178</v>
      </c>
      <c r="P290" s="94">
        <f t="shared" ca="1" si="86"/>
        <v>28.397004155948181</v>
      </c>
      <c r="Q290" s="94">
        <f t="shared" ca="1" si="87"/>
        <v>28.397004155948181</v>
      </c>
      <c r="R290" s="94">
        <f t="shared" ca="1" si="88"/>
        <v>2.8397004155948182</v>
      </c>
      <c r="S290" s="94">
        <f t="shared" ca="1" si="89"/>
        <v>2.8397004155948178</v>
      </c>
      <c r="T290" s="4">
        <f t="shared" ca="1" si="90"/>
        <v>0</v>
      </c>
      <c r="U290" s="46">
        <f t="shared" ca="1" si="91"/>
        <v>1376.1639413314356</v>
      </c>
      <c r="V290" s="4">
        <f t="shared" ca="1" si="92"/>
        <v>0</v>
      </c>
      <c r="W290" s="13">
        <f t="shared" ca="1" si="93"/>
        <v>6469.4270995668039</v>
      </c>
      <c r="X290" s="4">
        <f t="shared" ca="1" si="94"/>
        <v>0</v>
      </c>
      <c r="AE290" s="4"/>
    </row>
    <row r="291" spans="1:31">
      <c r="A291">
        <v>2</v>
      </c>
      <c r="B291">
        <v>0</v>
      </c>
      <c r="C291">
        <f t="shared" si="76"/>
        <v>4</v>
      </c>
      <c r="D291">
        <f t="shared" si="77"/>
        <v>2</v>
      </c>
      <c r="E291">
        <f t="shared" si="78"/>
        <v>2</v>
      </c>
      <c r="F291" s="100">
        <f t="shared" ca="1" si="79"/>
        <v>6.3634999999999997E-2</v>
      </c>
      <c r="G291">
        <v>0</v>
      </c>
      <c r="H291">
        <v>1</v>
      </c>
      <c r="I291">
        <v>6</v>
      </c>
      <c r="J291" s="1">
        <f t="shared" ca="1" si="80"/>
        <v>0</v>
      </c>
      <c r="K291" s="1">
        <f t="shared" ca="1" si="81"/>
        <v>0</v>
      </c>
      <c r="L291" s="13">
        <f t="shared" ca="1" si="82"/>
        <v>140</v>
      </c>
      <c r="M291" s="7">
        <f t="shared" ca="1" si="83"/>
        <v>860</v>
      </c>
      <c r="N291" s="44">
        <f t="shared" ca="1" si="84"/>
        <v>11</v>
      </c>
      <c r="O291" s="94">
        <f t="shared" ca="1" si="85"/>
        <v>2.8397004155948178</v>
      </c>
      <c r="P291" s="94">
        <f t="shared" ca="1" si="86"/>
        <v>28.397004155948181</v>
      </c>
      <c r="Q291" s="94">
        <f t="shared" ca="1" si="87"/>
        <v>28.397004155948181</v>
      </c>
      <c r="R291" s="94">
        <f t="shared" ca="1" si="88"/>
        <v>2.8397004155948182</v>
      </c>
      <c r="S291" s="94">
        <f t="shared" ca="1" si="89"/>
        <v>2.8397004155948178</v>
      </c>
      <c r="T291" s="4">
        <f t="shared" ca="1" si="90"/>
        <v>0</v>
      </c>
      <c r="U291" s="46">
        <f t="shared" ca="1" si="91"/>
        <v>1363.1639413314356</v>
      </c>
      <c r="V291" s="4">
        <f t="shared" ca="1" si="92"/>
        <v>0</v>
      </c>
      <c r="W291" s="13">
        <f t="shared" ca="1" si="93"/>
        <v>5634.6106055198334</v>
      </c>
      <c r="X291" s="4">
        <f t="shared" ca="1" si="94"/>
        <v>0</v>
      </c>
      <c r="AE291" s="4"/>
    </row>
    <row r="292" spans="1:31">
      <c r="A292">
        <v>2</v>
      </c>
      <c r="B292">
        <v>0</v>
      </c>
      <c r="C292">
        <f t="shared" si="76"/>
        <v>4</v>
      </c>
      <c r="D292">
        <f t="shared" si="77"/>
        <v>2</v>
      </c>
      <c r="E292">
        <f t="shared" si="78"/>
        <v>2</v>
      </c>
      <c r="F292" s="100">
        <f t="shared" ca="1" si="79"/>
        <v>6.3634999999999997E-2</v>
      </c>
      <c r="G292">
        <v>0</v>
      </c>
      <c r="H292">
        <v>1</v>
      </c>
      <c r="I292">
        <v>5</v>
      </c>
      <c r="J292" s="1">
        <f t="shared" ca="1" si="80"/>
        <v>0</v>
      </c>
      <c r="K292" s="1">
        <f t="shared" ca="1" si="81"/>
        <v>0</v>
      </c>
      <c r="L292" s="13">
        <f t="shared" ca="1" si="82"/>
        <v>127</v>
      </c>
      <c r="M292" s="7">
        <f t="shared" ca="1" si="83"/>
        <v>873</v>
      </c>
      <c r="N292" s="44">
        <f t="shared" ca="1" si="84"/>
        <v>11</v>
      </c>
      <c r="O292" s="94">
        <f t="shared" ca="1" si="85"/>
        <v>2.8397004155948178</v>
      </c>
      <c r="P292" s="94">
        <f t="shared" ca="1" si="86"/>
        <v>28.397004155948181</v>
      </c>
      <c r="Q292" s="94">
        <f t="shared" ca="1" si="87"/>
        <v>28.397004155948181</v>
      </c>
      <c r="R292" s="94">
        <f t="shared" ca="1" si="88"/>
        <v>2.8397004155948182</v>
      </c>
      <c r="S292" s="94">
        <f t="shared" ca="1" si="89"/>
        <v>2.8397004155948178</v>
      </c>
      <c r="T292" s="4">
        <f t="shared" ca="1" si="90"/>
        <v>0</v>
      </c>
      <c r="U292" s="46">
        <f t="shared" ca="1" si="91"/>
        <v>1350.1639413314356</v>
      </c>
      <c r="V292" s="4">
        <f t="shared" ca="1" si="92"/>
        <v>0</v>
      </c>
      <c r="W292" s="13">
        <f t="shared" ca="1" si="93"/>
        <v>4799.7941114728637</v>
      </c>
      <c r="X292" s="4">
        <f t="shared" ca="1" si="94"/>
        <v>0</v>
      </c>
      <c r="AE292" s="4"/>
    </row>
    <row r="293" spans="1:31">
      <c r="A293">
        <v>2</v>
      </c>
      <c r="B293">
        <v>0</v>
      </c>
      <c r="C293">
        <f t="shared" si="76"/>
        <v>4</v>
      </c>
      <c r="D293">
        <f t="shared" si="77"/>
        <v>2</v>
      </c>
      <c r="E293">
        <f t="shared" si="78"/>
        <v>2</v>
      </c>
      <c r="F293" s="100">
        <f t="shared" ca="1" si="79"/>
        <v>6.3634999999999997E-2</v>
      </c>
      <c r="G293">
        <v>0</v>
      </c>
      <c r="H293">
        <v>1</v>
      </c>
      <c r="I293">
        <v>4</v>
      </c>
      <c r="J293" s="1">
        <f t="shared" ca="1" si="80"/>
        <v>0</v>
      </c>
      <c r="K293" s="1">
        <f t="shared" ca="1" si="81"/>
        <v>0</v>
      </c>
      <c r="L293" s="13">
        <f t="shared" ca="1" si="82"/>
        <v>114</v>
      </c>
      <c r="M293" s="7">
        <f t="shared" ca="1" si="83"/>
        <v>886</v>
      </c>
      <c r="N293" s="44">
        <f t="shared" ca="1" si="84"/>
        <v>12</v>
      </c>
      <c r="O293" s="94">
        <f t="shared" ca="1" si="85"/>
        <v>3.0624018806381534</v>
      </c>
      <c r="P293" s="94">
        <f t="shared" ca="1" si="86"/>
        <v>29.510511481164862</v>
      </c>
      <c r="Q293" s="94">
        <f t="shared" ca="1" si="87"/>
        <v>28.397004155948181</v>
      </c>
      <c r="R293" s="94">
        <f t="shared" ca="1" si="88"/>
        <v>2.8953757818556523</v>
      </c>
      <c r="S293" s="94">
        <f t="shared" ca="1" si="89"/>
        <v>3.0624018806381534</v>
      </c>
      <c r="T293" s="4">
        <f t="shared" ca="1" si="90"/>
        <v>0</v>
      </c>
      <c r="U293" s="46">
        <f t="shared" ca="1" si="91"/>
        <v>1418.7282638229713</v>
      </c>
      <c r="V293" s="4">
        <f t="shared" ca="1" si="92"/>
        <v>0</v>
      </c>
      <c r="W293" s="13">
        <f t="shared" ca="1" si="93"/>
        <v>3964.9776174258936</v>
      </c>
      <c r="X293" s="4">
        <f t="shared" ca="1" si="94"/>
        <v>0</v>
      </c>
      <c r="AE293" s="4"/>
    </row>
    <row r="294" spans="1:31">
      <c r="A294">
        <v>2</v>
      </c>
      <c r="B294">
        <v>0</v>
      </c>
      <c r="C294">
        <f t="shared" si="76"/>
        <v>4</v>
      </c>
      <c r="D294">
        <f t="shared" si="77"/>
        <v>2</v>
      </c>
      <c r="E294">
        <f t="shared" si="78"/>
        <v>2</v>
      </c>
      <c r="F294" s="100">
        <f t="shared" ca="1" si="79"/>
        <v>6.3634999999999997E-2</v>
      </c>
      <c r="G294">
        <v>0</v>
      </c>
      <c r="H294">
        <v>1</v>
      </c>
      <c r="I294">
        <v>3</v>
      </c>
      <c r="J294" s="1">
        <f t="shared" ca="1" si="80"/>
        <v>0</v>
      </c>
      <c r="K294" s="1">
        <f t="shared" ca="1" si="81"/>
        <v>0</v>
      </c>
      <c r="L294" s="13">
        <f t="shared" ca="1" si="82"/>
        <v>101</v>
      </c>
      <c r="M294" s="7">
        <f t="shared" ca="1" si="83"/>
        <v>899</v>
      </c>
      <c r="N294" s="44">
        <f t="shared" ca="1" si="84"/>
        <v>12</v>
      </c>
      <c r="O294" s="94">
        <f t="shared" ca="1" si="85"/>
        <v>3.0624018806381534</v>
      </c>
      <c r="P294" s="94">
        <f t="shared" ca="1" si="86"/>
        <v>30.624018806381528</v>
      </c>
      <c r="Q294" s="94">
        <f t="shared" ca="1" si="87"/>
        <v>30.178615876294863</v>
      </c>
      <c r="R294" s="94">
        <f t="shared" ca="1" si="88"/>
        <v>3.0401317341338197</v>
      </c>
      <c r="S294" s="94">
        <f t="shared" ca="1" si="89"/>
        <v>3.0624018806381534</v>
      </c>
      <c r="T294" s="4">
        <f t="shared" ca="1" si="90"/>
        <v>0</v>
      </c>
      <c r="U294" s="46">
        <f t="shared" ca="1" si="91"/>
        <v>1405.7282638229713</v>
      </c>
      <c r="V294" s="4">
        <f t="shared" ca="1" si="92"/>
        <v>0</v>
      </c>
      <c r="W294" s="13">
        <f t="shared" ca="1" si="93"/>
        <v>3130.1611233789231</v>
      </c>
      <c r="X294" s="4">
        <f t="shared" ca="1" si="94"/>
        <v>0</v>
      </c>
      <c r="AE294" s="4"/>
    </row>
    <row r="295" spans="1:31">
      <c r="A295">
        <v>2</v>
      </c>
      <c r="B295">
        <v>0</v>
      </c>
      <c r="C295">
        <f t="shared" si="76"/>
        <v>4</v>
      </c>
      <c r="D295">
        <f t="shared" si="77"/>
        <v>2</v>
      </c>
      <c r="E295">
        <f t="shared" si="78"/>
        <v>2</v>
      </c>
      <c r="F295" s="100">
        <f t="shared" ca="1" si="79"/>
        <v>6.3634999999999997E-2</v>
      </c>
      <c r="G295">
        <v>0</v>
      </c>
      <c r="H295">
        <v>1</v>
      </c>
      <c r="I295">
        <v>2</v>
      </c>
      <c r="J295" s="1">
        <f t="shared" ca="1" si="80"/>
        <v>4.8514950000000001E-2</v>
      </c>
      <c r="K295" s="1">
        <f t="shared" ca="1" si="81"/>
        <v>3.0872488432500001E-3</v>
      </c>
      <c r="L295" s="13">
        <f t="shared" ca="1" si="82"/>
        <v>88</v>
      </c>
      <c r="M295" s="7">
        <f t="shared" ca="1" si="83"/>
        <v>912</v>
      </c>
      <c r="N295" s="44">
        <f t="shared" ca="1" si="84"/>
        <v>12</v>
      </c>
      <c r="O295" s="94">
        <f t="shared" ca="1" si="85"/>
        <v>3.0624018806381534</v>
      </c>
      <c r="P295" s="94">
        <f t="shared" ca="1" si="86"/>
        <v>30.624018806381528</v>
      </c>
      <c r="Q295" s="94">
        <f t="shared" ca="1" si="87"/>
        <v>30.624018806381528</v>
      </c>
      <c r="R295" s="94">
        <f t="shared" ca="1" si="88"/>
        <v>3.062401880638153</v>
      </c>
      <c r="S295" s="94">
        <f t="shared" ca="1" si="89"/>
        <v>3.0624018806381534</v>
      </c>
      <c r="T295" s="4">
        <f t="shared" ca="1" si="90"/>
        <v>9.4543966635667644E-3</v>
      </c>
      <c r="U295" s="46">
        <f t="shared" ca="1" si="91"/>
        <v>1392.7282638229713</v>
      </c>
      <c r="V295" s="4">
        <f t="shared" ca="1" si="92"/>
        <v>4.2996987214490492</v>
      </c>
      <c r="W295" s="13">
        <f t="shared" ca="1" si="93"/>
        <v>2295.344629331953</v>
      </c>
      <c r="X295" s="4">
        <f t="shared" ca="1" si="94"/>
        <v>7.0863000517651722</v>
      </c>
      <c r="AE295" s="4"/>
    </row>
    <row r="296" spans="1:31">
      <c r="A296">
        <v>2</v>
      </c>
      <c r="B296">
        <v>0</v>
      </c>
      <c r="C296">
        <f t="shared" si="76"/>
        <v>4</v>
      </c>
      <c r="D296">
        <f t="shared" si="77"/>
        <v>2</v>
      </c>
      <c r="E296">
        <f t="shared" si="78"/>
        <v>2</v>
      </c>
      <c r="F296" s="100">
        <f t="shared" ca="1" si="79"/>
        <v>6.3634999999999997E-2</v>
      </c>
      <c r="G296">
        <v>0</v>
      </c>
      <c r="H296">
        <v>1</v>
      </c>
      <c r="I296">
        <v>1</v>
      </c>
      <c r="J296" s="1">
        <f t="shared" ca="1" si="80"/>
        <v>9.8010000000000089E-4</v>
      </c>
      <c r="K296" s="1">
        <f t="shared" ca="1" si="81"/>
        <v>6.2368663500000056E-5</v>
      </c>
      <c r="L296" s="13">
        <f t="shared" ca="1" si="82"/>
        <v>75</v>
      </c>
      <c r="M296" s="7">
        <f t="shared" ca="1" si="83"/>
        <v>925</v>
      </c>
      <c r="N296" s="44">
        <f t="shared" ca="1" si="84"/>
        <v>12</v>
      </c>
      <c r="O296" s="94">
        <f t="shared" ca="1" si="85"/>
        <v>3.0624018806381534</v>
      </c>
      <c r="P296" s="94">
        <f t="shared" ca="1" si="86"/>
        <v>30.624018806381528</v>
      </c>
      <c r="Q296" s="94">
        <f t="shared" ca="1" si="87"/>
        <v>30.624018806381528</v>
      </c>
      <c r="R296" s="94">
        <f t="shared" ca="1" si="88"/>
        <v>3.062401880638153</v>
      </c>
      <c r="S296" s="94">
        <f t="shared" ca="1" si="89"/>
        <v>3.0624018806381534</v>
      </c>
      <c r="T296" s="4">
        <f t="shared" ca="1" si="90"/>
        <v>1.9099791239528832E-4</v>
      </c>
      <c r="U296" s="46">
        <f t="shared" ca="1" si="91"/>
        <v>1379.7282638229713</v>
      </c>
      <c r="V296" s="4">
        <f t="shared" ca="1" si="92"/>
        <v>8.6051807807814198E-2</v>
      </c>
      <c r="W296" s="13">
        <f t="shared" ca="1" si="93"/>
        <v>1460.5281352849825</v>
      </c>
      <c r="X296" s="4">
        <f t="shared" ca="1" si="94"/>
        <v>9.1091187801871629E-2</v>
      </c>
      <c r="AE296" s="4"/>
    </row>
    <row r="297" spans="1:31">
      <c r="A297">
        <v>2</v>
      </c>
      <c r="B297">
        <v>0</v>
      </c>
      <c r="C297">
        <f t="shared" si="76"/>
        <v>4</v>
      </c>
      <c r="D297">
        <f t="shared" si="77"/>
        <v>2</v>
      </c>
      <c r="E297">
        <f t="shared" si="78"/>
        <v>2</v>
      </c>
      <c r="F297" s="100">
        <f t="shared" ca="1" si="79"/>
        <v>6.3634999999999997E-2</v>
      </c>
      <c r="G297">
        <v>0</v>
      </c>
      <c r="H297">
        <v>1</v>
      </c>
      <c r="I297">
        <v>0</v>
      </c>
      <c r="J297" s="1">
        <f t="shared" ca="1" si="80"/>
        <v>4.9500000000000094E-6</v>
      </c>
      <c r="K297" s="1">
        <f t="shared" ca="1" si="81"/>
        <v>3.1499325000000056E-7</v>
      </c>
      <c r="L297" s="13">
        <f t="shared" ca="1" si="82"/>
        <v>62</v>
      </c>
      <c r="M297" s="7">
        <f t="shared" ca="1" si="83"/>
        <v>938</v>
      </c>
      <c r="N297" s="44">
        <f t="shared" ca="1" si="84"/>
        <v>12</v>
      </c>
      <c r="O297" s="94">
        <f t="shared" ca="1" si="85"/>
        <v>3.0624018806381534</v>
      </c>
      <c r="P297" s="94">
        <f t="shared" ca="1" si="86"/>
        <v>30.624018806381528</v>
      </c>
      <c r="Q297" s="94">
        <f t="shared" ca="1" si="87"/>
        <v>30.624018806381528</v>
      </c>
      <c r="R297" s="94">
        <f t="shared" ca="1" si="88"/>
        <v>3.062401880638153</v>
      </c>
      <c r="S297" s="94">
        <f t="shared" ca="1" si="89"/>
        <v>3.0624018806381534</v>
      </c>
      <c r="T297" s="4">
        <f t="shared" ca="1" si="90"/>
        <v>9.6463592118832572E-7</v>
      </c>
      <c r="U297" s="46">
        <f t="shared" ca="1" si="91"/>
        <v>1366.7282638229713</v>
      </c>
      <c r="V297" s="4">
        <f t="shared" ca="1" si="92"/>
        <v>4.3051017768845591E-4</v>
      </c>
      <c r="W297" s="13">
        <f t="shared" ca="1" si="93"/>
        <v>625.71164123801225</v>
      </c>
      <c r="X297" s="4">
        <f t="shared" ca="1" si="94"/>
        <v>1.9709494343639585E-4</v>
      </c>
      <c r="AE297" s="4"/>
    </row>
    <row r="298" spans="1:31">
      <c r="A298">
        <v>2</v>
      </c>
      <c r="B298">
        <v>0</v>
      </c>
      <c r="C298">
        <f t="shared" si="76"/>
        <v>4</v>
      </c>
      <c r="D298">
        <f t="shared" si="77"/>
        <v>2</v>
      </c>
      <c r="E298">
        <f t="shared" si="78"/>
        <v>2</v>
      </c>
      <c r="F298" s="100">
        <f t="shared" ca="1" si="79"/>
        <v>6.3634999999999997E-2</v>
      </c>
      <c r="G298">
        <v>0</v>
      </c>
      <c r="H298">
        <v>0</v>
      </c>
      <c r="I298">
        <v>7</v>
      </c>
      <c r="J298" s="1">
        <f t="shared" ca="1" si="80"/>
        <v>0</v>
      </c>
      <c r="K298" s="1">
        <f t="shared" ca="1" si="81"/>
        <v>0</v>
      </c>
      <c r="L298" s="13">
        <f t="shared" ca="1" si="82"/>
        <v>91</v>
      </c>
      <c r="M298" s="7">
        <f t="shared" ca="1" si="83"/>
        <v>909</v>
      </c>
      <c r="N298" s="44">
        <f t="shared" ca="1" si="84"/>
        <v>12</v>
      </c>
      <c r="O298" s="94">
        <f t="shared" ca="1" si="85"/>
        <v>3.0624018806381534</v>
      </c>
      <c r="P298" s="94">
        <f t="shared" ca="1" si="86"/>
        <v>30.624018806381528</v>
      </c>
      <c r="Q298" s="94">
        <f t="shared" ca="1" si="87"/>
        <v>30.624018806381528</v>
      </c>
      <c r="R298" s="94">
        <f t="shared" ca="1" si="88"/>
        <v>3.062401880638153</v>
      </c>
      <c r="S298" s="94">
        <f t="shared" ca="1" si="89"/>
        <v>3.0624018806381534</v>
      </c>
      <c r="T298" s="4">
        <f t="shared" ca="1" si="90"/>
        <v>0</v>
      </c>
      <c r="U298" s="46">
        <f t="shared" ca="1" si="91"/>
        <v>1395.7282638229713</v>
      </c>
      <c r="V298" s="4">
        <f t="shared" ca="1" si="92"/>
        <v>0</v>
      </c>
      <c r="W298" s="13">
        <f t="shared" ca="1" si="93"/>
        <v>5843.715458328792</v>
      </c>
      <c r="X298" s="4">
        <f t="shared" ca="1" si="94"/>
        <v>0</v>
      </c>
      <c r="AE298" s="4"/>
    </row>
    <row r="299" spans="1:31">
      <c r="A299">
        <v>2</v>
      </c>
      <c r="B299">
        <v>0</v>
      </c>
      <c r="C299">
        <f t="shared" si="76"/>
        <v>4</v>
      </c>
      <c r="D299">
        <f t="shared" si="77"/>
        <v>2</v>
      </c>
      <c r="E299">
        <f t="shared" si="78"/>
        <v>2</v>
      </c>
      <c r="F299" s="100">
        <f t="shared" ca="1" si="79"/>
        <v>6.3634999999999997E-2</v>
      </c>
      <c r="G299">
        <v>0</v>
      </c>
      <c r="H299">
        <v>0</v>
      </c>
      <c r="I299">
        <v>6</v>
      </c>
      <c r="J299" s="1">
        <f t="shared" ca="1" si="80"/>
        <v>0</v>
      </c>
      <c r="K299" s="1">
        <f t="shared" ca="1" si="81"/>
        <v>0</v>
      </c>
      <c r="L299" s="13">
        <f t="shared" ca="1" si="82"/>
        <v>78</v>
      </c>
      <c r="M299" s="7">
        <f t="shared" ca="1" si="83"/>
        <v>922</v>
      </c>
      <c r="N299" s="44">
        <f t="shared" ca="1" si="84"/>
        <v>12</v>
      </c>
      <c r="O299" s="94">
        <f t="shared" ca="1" si="85"/>
        <v>3.0624018806381534</v>
      </c>
      <c r="P299" s="94">
        <f t="shared" ca="1" si="86"/>
        <v>30.624018806381528</v>
      </c>
      <c r="Q299" s="94">
        <f t="shared" ca="1" si="87"/>
        <v>30.624018806381528</v>
      </c>
      <c r="R299" s="94">
        <f t="shared" ca="1" si="88"/>
        <v>3.062401880638153</v>
      </c>
      <c r="S299" s="94">
        <f t="shared" ca="1" si="89"/>
        <v>3.0624018806381534</v>
      </c>
      <c r="T299" s="4">
        <f t="shared" ca="1" si="90"/>
        <v>0</v>
      </c>
      <c r="U299" s="46">
        <f t="shared" ca="1" si="91"/>
        <v>1382.7282638229713</v>
      </c>
      <c r="V299" s="4">
        <f t="shared" ca="1" si="92"/>
        <v>0</v>
      </c>
      <c r="W299" s="13">
        <f t="shared" ca="1" si="93"/>
        <v>5008.8989642818215</v>
      </c>
      <c r="X299" s="4">
        <f t="shared" ca="1" si="94"/>
        <v>0</v>
      </c>
      <c r="AE299" s="4"/>
    </row>
    <row r="300" spans="1:31">
      <c r="A300">
        <v>2</v>
      </c>
      <c r="B300">
        <v>0</v>
      </c>
      <c r="C300">
        <f t="shared" si="76"/>
        <v>4</v>
      </c>
      <c r="D300">
        <f t="shared" si="77"/>
        <v>2</v>
      </c>
      <c r="E300">
        <f t="shared" si="78"/>
        <v>2</v>
      </c>
      <c r="F300" s="100">
        <f t="shared" ca="1" si="79"/>
        <v>6.3634999999999997E-2</v>
      </c>
      <c r="G300">
        <v>0</v>
      </c>
      <c r="H300">
        <v>0</v>
      </c>
      <c r="I300">
        <v>5</v>
      </c>
      <c r="J300" s="1">
        <f t="shared" ca="1" si="80"/>
        <v>0</v>
      </c>
      <c r="K300" s="1">
        <f t="shared" ca="1" si="81"/>
        <v>0</v>
      </c>
      <c r="L300" s="13">
        <f t="shared" ca="1" si="82"/>
        <v>65</v>
      </c>
      <c r="M300" s="7">
        <f t="shared" ca="1" si="83"/>
        <v>935</v>
      </c>
      <c r="N300" s="44">
        <f t="shared" ca="1" si="84"/>
        <v>12</v>
      </c>
      <c r="O300" s="94">
        <f t="shared" ca="1" si="85"/>
        <v>3.0624018806381534</v>
      </c>
      <c r="P300" s="94">
        <f t="shared" ca="1" si="86"/>
        <v>30.624018806381528</v>
      </c>
      <c r="Q300" s="94">
        <f t="shared" ca="1" si="87"/>
        <v>30.624018806381528</v>
      </c>
      <c r="R300" s="94">
        <f t="shared" ca="1" si="88"/>
        <v>3.062401880638153</v>
      </c>
      <c r="S300" s="94">
        <f t="shared" ca="1" si="89"/>
        <v>3.0624018806381534</v>
      </c>
      <c r="T300" s="4">
        <f t="shared" ca="1" si="90"/>
        <v>0</v>
      </c>
      <c r="U300" s="46">
        <f t="shared" ca="1" si="91"/>
        <v>1369.7282638229713</v>
      </c>
      <c r="V300" s="4">
        <f t="shared" ca="1" si="92"/>
        <v>0</v>
      </c>
      <c r="W300" s="13">
        <f t="shared" ca="1" si="93"/>
        <v>4174.0824702348518</v>
      </c>
      <c r="X300" s="4">
        <f t="shared" ca="1" si="94"/>
        <v>0</v>
      </c>
      <c r="AE300" s="4"/>
    </row>
    <row r="301" spans="1:31">
      <c r="A301">
        <v>2</v>
      </c>
      <c r="B301">
        <v>0</v>
      </c>
      <c r="C301">
        <f t="shared" si="76"/>
        <v>4</v>
      </c>
      <c r="D301">
        <f t="shared" si="77"/>
        <v>2</v>
      </c>
      <c r="E301">
        <f t="shared" si="78"/>
        <v>2</v>
      </c>
      <c r="F301" s="100">
        <f t="shared" ca="1" si="79"/>
        <v>6.3634999999999997E-2</v>
      </c>
      <c r="G301">
        <v>0</v>
      </c>
      <c r="H301">
        <v>0</v>
      </c>
      <c r="I301">
        <v>4</v>
      </c>
      <c r="J301" s="1">
        <f t="shared" ca="1" si="80"/>
        <v>0</v>
      </c>
      <c r="K301" s="1">
        <f t="shared" ca="1" si="81"/>
        <v>0</v>
      </c>
      <c r="L301" s="13">
        <f t="shared" ca="1" si="82"/>
        <v>52</v>
      </c>
      <c r="M301" s="7">
        <f t="shared" ca="1" si="83"/>
        <v>948</v>
      </c>
      <c r="N301" s="44">
        <f t="shared" ca="1" si="84"/>
        <v>12</v>
      </c>
      <c r="O301" s="94">
        <f t="shared" ca="1" si="85"/>
        <v>3.0624018806381534</v>
      </c>
      <c r="P301" s="94">
        <f t="shared" ca="1" si="86"/>
        <v>30.624018806381528</v>
      </c>
      <c r="Q301" s="94">
        <f t="shared" ca="1" si="87"/>
        <v>30.624018806381528</v>
      </c>
      <c r="R301" s="94">
        <f t="shared" ca="1" si="88"/>
        <v>3.062401880638153</v>
      </c>
      <c r="S301" s="94">
        <f t="shared" ca="1" si="89"/>
        <v>3.0624018806381534</v>
      </c>
      <c r="T301" s="4">
        <f t="shared" ca="1" si="90"/>
        <v>0</v>
      </c>
      <c r="U301" s="46">
        <f t="shared" ca="1" si="91"/>
        <v>1356.7282638229713</v>
      </c>
      <c r="V301" s="4">
        <f t="shared" ca="1" si="92"/>
        <v>0</v>
      </c>
      <c r="W301" s="13">
        <f t="shared" ca="1" si="93"/>
        <v>3339.2659761878813</v>
      </c>
      <c r="X301" s="4">
        <f t="shared" ca="1" si="94"/>
        <v>0</v>
      </c>
      <c r="AE301" s="4"/>
    </row>
    <row r="302" spans="1:31">
      <c r="A302">
        <v>2</v>
      </c>
      <c r="B302">
        <v>0</v>
      </c>
      <c r="C302">
        <f t="shared" si="76"/>
        <v>4</v>
      </c>
      <c r="D302">
        <f t="shared" si="77"/>
        <v>2</v>
      </c>
      <c r="E302">
        <f t="shared" si="78"/>
        <v>2</v>
      </c>
      <c r="F302" s="100">
        <f t="shared" ca="1" si="79"/>
        <v>6.3634999999999997E-2</v>
      </c>
      <c r="G302">
        <v>0</v>
      </c>
      <c r="H302">
        <v>0</v>
      </c>
      <c r="I302">
        <v>3</v>
      </c>
      <c r="J302" s="1">
        <f t="shared" ca="1" si="80"/>
        <v>0</v>
      </c>
      <c r="K302" s="1">
        <f t="shared" ca="1" si="81"/>
        <v>0</v>
      </c>
      <c r="L302" s="13">
        <f t="shared" ca="1" si="82"/>
        <v>39</v>
      </c>
      <c r="M302" s="7">
        <f t="shared" ca="1" si="83"/>
        <v>961</v>
      </c>
      <c r="N302" s="44">
        <f t="shared" ca="1" si="84"/>
        <v>13</v>
      </c>
      <c r="O302" s="94">
        <f t="shared" ca="1" si="85"/>
        <v>3.2733204919050856</v>
      </c>
      <c r="P302" s="94">
        <f t="shared" ca="1" si="86"/>
        <v>30.624018806381528</v>
      </c>
      <c r="Q302" s="94">
        <f t="shared" ca="1" si="87"/>
        <v>30.624018806381528</v>
      </c>
      <c r="R302" s="94">
        <f t="shared" ca="1" si="88"/>
        <v>3.062401880638153</v>
      </c>
      <c r="S302" s="94">
        <f t="shared" ca="1" si="89"/>
        <v>3.2733204919050856</v>
      </c>
      <c r="T302" s="4">
        <f t="shared" ca="1" si="90"/>
        <v>0</v>
      </c>
      <c r="U302" s="46">
        <f t="shared" ca="1" si="91"/>
        <v>1420.9771208320408</v>
      </c>
      <c r="V302" s="4">
        <f t="shared" ca="1" si="92"/>
        <v>0</v>
      </c>
      <c r="W302" s="13">
        <f t="shared" ca="1" si="93"/>
        <v>2504.4494821409107</v>
      </c>
      <c r="X302" s="4">
        <f t="shared" ca="1" si="94"/>
        <v>0</v>
      </c>
      <c r="AE302" s="4"/>
    </row>
    <row r="303" spans="1:31">
      <c r="A303">
        <v>2</v>
      </c>
      <c r="B303">
        <v>0</v>
      </c>
      <c r="C303">
        <f t="shared" si="76"/>
        <v>4</v>
      </c>
      <c r="D303">
        <f t="shared" si="77"/>
        <v>2</v>
      </c>
      <c r="E303">
        <f t="shared" si="78"/>
        <v>2</v>
      </c>
      <c r="F303" s="100">
        <f t="shared" ca="1" si="79"/>
        <v>6.3634999999999997E-2</v>
      </c>
      <c r="G303">
        <v>0</v>
      </c>
      <c r="H303">
        <v>0</v>
      </c>
      <c r="I303">
        <v>2</v>
      </c>
      <c r="J303" s="1">
        <f t="shared" ca="1" si="80"/>
        <v>4.9005000000000045E-4</v>
      </c>
      <c r="K303" s="1">
        <f t="shared" ca="1" si="81"/>
        <v>3.1184331750000028E-5</v>
      </c>
      <c r="L303" s="13">
        <f t="shared" ca="1" si="82"/>
        <v>26</v>
      </c>
      <c r="M303" s="7">
        <f t="shared" ca="1" si="83"/>
        <v>974</v>
      </c>
      <c r="N303" s="44">
        <f t="shared" ca="1" si="84"/>
        <v>13</v>
      </c>
      <c r="O303" s="94">
        <f t="shared" ca="1" si="85"/>
        <v>3.2733204919050856</v>
      </c>
      <c r="P303" s="94">
        <f t="shared" ca="1" si="86"/>
        <v>32.733204919050856</v>
      </c>
      <c r="Q303" s="94">
        <f t="shared" ca="1" si="87"/>
        <v>31.256774640182325</v>
      </c>
      <c r="R303" s="94">
        <f t="shared" ca="1" si="88"/>
        <v>3.1994989779616589</v>
      </c>
      <c r="S303" s="94">
        <f t="shared" ca="1" si="89"/>
        <v>3.2733204919050856</v>
      </c>
      <c r="T303" s="4">
        <f t="shared" ca="1" si="90"/>
        <v>1.0207631214364146E-4</v>
      </c>
      <c r="U303" s="46">
        <f t="shared" ca="1" si="91"/>
        <v>1407.9771208320408</v>
      </c>
      <c r="V303" s="4">
        <f t="shared" ca="1" si="92"/>
        <v>4.3906825632436232E-2</v>
      </c>
      <c r="W303" s="13">
        <f t="shared" ca="1" si="93"/>
        <v>1669.6329880939406</v>
      </c>
      <c r="X303" s="4">
        <f t="shared" ca="1" si="94"/>
        <v>5.2066389001465291E-2</v>
      </c>
      <c r="AE303" s="4"/>
    </row>
    <row r="304" spans="1:31">
      <c r="A304">
        <v>2</v>
      </c>
      <c r="B304">
        <v>0</v>
      </c>
      <c r="C304">
        <f t="shared" si="76"/>
        <v>4</v>
      </c>
      <c r="D304">
        <f t="shared" si="77"/>
        <v>2</v>
      </c>
      <c r="E304">
        <f t="shared" si="78"/>
        <v>2</v>
      </c>
      <c r="F304" s="100">
        <f t="shared" ca="1" si="79"/>
        <v>6.3634999999999997E-2</v>
      </c>
      <c r="G304">
        <v>0</v>
      </c>
      <c r="H304">
        <v>0</v>
      </c>
      <c r="I304">
        <v>1</v>
      </c>
      <c r="J304" s="1">
        <f t="shared" ca="1" si="80"/>
        <v>9.9000000000000187E-6</v>
      </c>
      <c r="K304" s="1">
        <f t="shared" ca="1" si="81"/>
        <v>6.2998650000000111E-7</v>
      </c>
      <c r="L304" s="13">
        <f t="shared" ca="1" si="82"/>
        <v>13</v>
      </c>
      <c r="M304" s="7">
        <f t="shared" ca="1" si="83"/>
        <v>987</v>
      </c>
      <c r="N304" s="44">
        <f t="shared" ca="1" si="84"/>
        <v>13</v>
      </c>
      <c r="O304" s="94">
        <f t="shared" ca="1" si="85"/>
        <v>3.2733204919050856</v>
      </c>
      <c r="P304" s="94">
        <f t="shared" ca="1" si="86"/>
        <v>32.733204919050856</v>
      </c>
      <c r="Q304" s="94">
        <f t="shared" ca="1" si="87"/>
        <v>32.733204919050856</v>
      </c>
      <c r="R304" s="94">
        <f t="shared" ca="1" si="88"/>
        <v>3.2733204919050856</v>
      </c>
      <c r="S304" s="94">
        <f t="shared" ca="1" si="89"/>
        <v>3.2733204919050856</v>
      </c>
      <c r="T304" s="4">
        <f t="shared" ca="1" si="90"/>
        <v>2.0621477200735669E-6</v>
      </c>
      <c r="U304" s="46">
        <f t="shared" ca="1" si="91"/>
        <v>1394.9771208320408</v>
      </c>
      <c r="V304" s="4">
        <f t="shared" ca="1" si="92"/>
        <v>8.78816753933056E-4</v>
      </c>
      <c r="W304" s="13">
        <f t="shared" ca="1" si="93"/>
        <v>834.81649404697032</v>
      </c>
      <c r="X304" s="4">
        <f t="shared" ca="1" si="94"/>
        <v>5.2592312122692257E-4</v>
      </c>
      <c r="AE304" s="4"/>
    </row>
    <row r="305" spans="1:31">
      <c r="A305">
        <v>2</v>
      </c>
      <c r="B305">
        <v>0</v>
      </c>
      <c r="C305">
        <f t="shared" si="76"/>
        <v>4</v>
      </c>
      <c r="D305">
        <f t="shared" si="77"/>
        <v>2</v>
      </c>
      <c r="E305">
        <f t="shared" si="78"/>
        <v>2</v>
      </c>
      <c r="F305" s="100">
        <f t="shared" ca="1" si="79"/>
        <v>6.3634999999999997E-2</v>
      </c>
      <c r="G305">
        <v>0</v>
      </c>
      <c r="H305">
        <v>0</v>
      </c>
      <c r="I305">
        <v>0</v>
      </c>
      <c r="J305" s="1">
        <f t="shared" ca="1" si="80"/>
        <v>5.0000000000000137E-8</v>
      </c>
      <c r="K305" s="1">
        <f t="shared" ca="1" si="81"/>
        <v>3.1817500000000084E-9</v>
      </c>
      <c r="L305" s="13">
        <f t="shared" ca="1" si="82"/>
        <v>0</v>
      </c>
      <c r="M305" s="7">
        <f t="shared" ca="1" si="83"/>
        <v>1000</v>
      </c>
      <c r="N305" s="44">
        <f t="shared" ca="1" si="84"/>
        <v>13</v>
      </c>
      <c r="O305" s="94">
        <f t="shared" ca="1" si="85"/>
        <v>3.2733204919050856</v>
      </c>
      <c r="P305" s="94">
        <f t="shared" ca="1" si="86"/>
        <v>32.733204919050856</v>
      </c>
      <c r="Q305" s="94">
        <f t="shared" ca="1" si="87"/>
        <v>32.733204919050856</v>
      </c>
      <c r="R305" s="94">
        <f t="shared" ca="1" si="88"/>
        <v>3.2733204919050856</v>
      </c>
      <c r="S305" s="94">
        <f t="shared" ca="1" si="89"/>
        <v>3.2733204919050856</v>
      </c>
      <c r="T305" s="4">
        <f t="shared" ca="1" si="90"/>
        <v>1.0414887475119034E-8</v>
      </c>
      <c r="U305" s="46">
        <f t="shared" ca="1" si="91"/>
        <v>1381.9771208320408</v>
      </c>
      <c r="V305" s="4">
        <f t="shared" ca="1" si="92"/>
        <v>4.3971057042073572E-6</v>
      </c>
      <c r="W305" s="13">
        <f t="shared" ca="1" si="93"/>
        <v>0</v>
      </c>
      <c r="X305" s="4">
        <f t="shared" ca="1" si="94"/>
        <v>0</v>
      </c>
      <c r="AE305" s="4"/>
    </row>
    <row r="306" spans="1:31">
      <c r="A306">
        <v>2</v>
      </c>
      <c r="B306">
        <v>1</v>
      </c>
      <c r="C306">
        <f t="shared" si="76"/>
        <v>5</v>
      </c>
      <c r="D306">
        <f t="shared" si="77"/>
        <v>3</v>
      </c>
      <c r="E306">
        <f t="shared" si="78"/>
        <v>2</v>
      </c>
      <c r="F306" s="100">
        <f t="shared" ca="1" si="79"/>
        <v>3.4264999999999997E-2</v>
      </c>
      <c r="G306">
        <v>1</v>
      </c>
      <c r="H306">
        <v>1</v>
      </c>
      <c r="I306">
        <v>7</v>
      </c>
      <c r="J306" s="1">
        <f t="shared" ca="1" si="80"/>
        <v>0</v>
      </c>
      <c r="K306" s="1">
        <f t="shared" ca="1" si="81"/>
        <v>0</v>
      </c>
      <c r="L306" s="13">
        <f t="shared" ca="1" si="82"/>
        <v>215</v>
      </c>
      <c r="M306" s="7">
        <f t="shared" ca="1" si="83"/>
        <v>785</v>
      </c>
      <c r="N306" s="44">
        <f t="shared" ca="1" si="84"/>
        <v>10</v>
      </c>
      <c r="O306" s="94">
        <f t="shared" ca="1" si="85"/>
        <v>2.5999636871582168</v>
      </c>
      <c r="P306" s="94">
        <f t="shared" ca="1" si="86"/>
        <v>25.999636871582165</v>
      </c>
      <c r="Q306" s="94">
        <f t="shared" ca="1" si="87"/>
        <v>25.999636871582165</v>
      </c>
      <c r="R306" s="94">
        <f t="shared" ca="1" si="88"/>
        <v>2.5999636871582164</v>
      </c>
      <c r="S306" s="94">
        <f t="shared" ca="1" si="89"/>
        <v>2.5999636871582168</v>
      </c>
      <c r="T306" s="4">
        <f t="shared" ca="1" si="90"/>
        <v>0</v>
      </c>
      <c r="U306" s="46">
        <f t="shared" ca="1" si="91"/>
        <v>1350.360460436222</v>
      </c>
      <c r="V306" s="4">
        <f t="shared" ca="1" si="92"/>
        <v>0</v>
      </c>
      <c r="W306" s="13">
        <f t="shared" ca="1" si="93"/>
        <v>12313.142557895597</v>
      </c>
      <c r="X306" s="4">
        <f t="shared" ca="1" si="94"/>
        <v>0</v>
      </c>
      <c r="AE306" s="4"/>
    </row>
    <row r="307" spans="1:31">
      <c r="A307">
        <v>2</v>
      </c>
      <c r="B307">
        <v>1</v>
      </c>
      <c r="C307">
        <f t="shared" si="76"/>
        <v>5</v>
      </c>
      <c r="D307">
        <f t="shared" si="77"/>
        <v>3</v>
      </c>
      <c r="E307">
        <f t="shared" si="78"/>
        <v>2</v>
      </c>
      <c r="F307" s="100">
        <f t="shared" ca="1" si="79"/>
        <v>3.4264999999999997E-2</v>
      </c>
      <c r="G307">
        <v>1</v>
      </c>
      <c r="H307">
        <v>1</v>
      </c>
      <c r="I307">
        <v>6</v>
      </c>
      <c r="J307" s="1">
        <f t="shared" ca="1" si="80"/>
        <v>0</v>
      </c>
      <c r="K307" s="1">
        <f t="shared" ca="1" si="81"/>
        <v>0</v>
      </c>
      <c r="L307" s="13">
        <f t="shared" ca="1" si="82"/>
        <v>202</v>
      </c>
      <c r="M307" s="7">
        <f t="shared" ca="1" si="83"/>
        <v>798</v>
      </c>
      <c r="N307" s="44">
        <f t="shared" ca="1" si="84"/>
        <v>10</v>
      </c>
      <c r="O307" s="94">
        <f t="shared" ca="1" si="85"/>
        <v>2.5999636871582168</v>
      </c>
      <c r="P307" s="94">
        <f t="shared" ca="1" si="86"/>
        <v>25.999636871582165</v>
      </c>
      <c r="Q307" s="94">
        <f t="shared" ca="1" si="87"/>
        <v>25.999636871582165</v>
      </c>
      <c r="R307" s="94">
        <f t="shared" ca="1" si="88"/>
        <v>2.5999636871582164</v>
      </c>
      <c r="S307" s="94">
        <f t="shared" ca="1" si="89"/>
        <v>2.5999636871582168</v>
      </c>
      <c r="T307" s="4">
        <f t="shared" ca="1" si="90"/>
        <v>0</v>
      </c>
      <c r="U307" s="46">
        <f t="shared" ca="1" si="91"/>
        <v>1337.360460436222</v>
      </c>
      <c r="V307" s="4">
        <f t="shared" ca="1" si="92"/>
        <v>0</v>
      </c>
      <c r="W307" s="13">
        <f t="shared" ca="1" si="93"/>
        <v>11478.326063848626</v>
      </c>
      <c r="X307" s="4">
        <f t="shared" ca="1" si="94"/>
        <v>0</v>
      </c>
      <c r="AE307" s="4"/>
    </row>
    <row r="308" spans="1:31">
      <c r="A308">
        <v>2</v>
      </c>
      <c r="B308">
        <v>1</v>
      </c>
      <c r="C308">
        <f t="shared" si="76"/>
        <v>5</v>
      </c>
      <c r="D308">
        <f t="shared" si="77"/>
        <v>3</v>
      </c>
      <c r="E308">
        <f t="shared" si="78"/>
        <v>2</v>
      </c>
      <c r="F308" s="100">
        <f t="shared" ca="1" si="79"/>
        <v>3.4264999999999997E-2</v>
      </c>
      <c r="G308">
        <v>1</v>
      </c>
      <c r="H308">
        <v>1</v>
      </c>
      <c r="I308">
        <v>5</v>
      </c>
      <c r="J308" s="1">
        <f t="shared" ca="1" si="80"/>
        <v>0</v>
      </c>
      <c r="K308" s="1">
        <f t="shared" ca="1" si="81"/>
        <v>0</v>
      </c>
      <c r="L308" s="13">
        <f t="shared" ca="1" si="82"/>
        <v>189</v>
      </c>
      <c r="M308" s="7">
        <f t="shared" ca="1" si="83"/>
        <v>811</v>
      </c>
      <c r="N308" s="44">
        <f t="shared" ca="1" si="84"/>
        <v>11</v>
      </c>
      <c r="O308" s="94">
        <f t="shared" ca="1" si="85"/>
        <v>2.8397004155948178</v>
      </c>
      <c r="P308" s="94">
        <f t="shared" ca="1" si="86"/>
        <v>28.397004155948181</v>
      </c>
      <c r="Q308" s="94">
        <f t="shared" ca="1" si="87"/>
        <v>25.999636871582165</v>
      </c>
      <c r="R308" s="94">
        <f t="shared" ca="1" si="88"/>
        <v>2.7198320513765175</v>
      </c>
      <c r="S308" s="94">
        <f t="shared" ca="1" si="89"/>
        <v>2.8397004155948178</v>
      </c>
      <c r="T308" s="4">
        <f t="shared" ca="1" si="90"/>
        <v>0</v>
      </c>
      <c r="U308" s="46">
        <f t="shared" ca="1" si="91"/>
        <v>1412.1639413314356</v>
      </c>
      <c r="V308" s="4">
        <f t="shared" ca="1" si="92"/>
        <v>0</v>
      </c>
      <c r="W308" s="13">
        <f t="shared" ca="1" si="93"/>
        <v>10643.509569801656</v>
      </c>
      <c r="X308" s="4">
        <f t="shared" ca="1" si="94"/>
        <v>0</v>
      </c>
      <c r="AE308" s="4"/>
    </row>
    <row r="309" spans="1:31">
      <c r="A309">
        <v>2</v>
      </c>
      <c r="B309">
        <v>1</v>
      </c>
      <c r="C309">
        <f t="shared" si="76"/>
        <v>5</v>
      </c>
      <c r="D309">
        <f t="shared" si="77"/>
        <v>3</v>
      </c>
      <c r="E309">
        <f t="shared" si="78"/>
        <v>2</v>
      </c>
      <c r="F309" s="100">
        <f t="shared" ca="1" si="79"/>
        <v>3.4264999999999997E-2</v>
      </c>
      <c r="G309">
        <v>1</v>
      </c>
      <c r="H309">
        <v>1</v>
      </c>
      <c r="I309">
        <v>4</v>
      </c>
      <c r="J309" s="1">
        <f t="shared" ca="1" si="80"/>
        <v>0</v>
      </c>
      <c r="K309" s="1">
        <f t="shared" ca="1" si="81"/>
        <v>0</v>
      </c>
      <c r="L309" s="13">
        <f t="shared" ca="1" si="82"/>
        <v>176</v>
      </c>
      <c r="M309" s="7">
        <f t="shared" ca="1" si="83"/>
        <v>824</v>
      </c>
      <c r="N309" s="44">
        <f t="shared" ca="1" si="84"/>
        <v>11</v>
      </c>
      <c r="O309" s="94">
        <f t="shared" ca="1" si="85"/>
        <v>2.8397004155948178</v>
      </c>
      <c r="P309" s="94">
        <f t="shared" ca="1" si="86"/>
        <v>28.397004155948181</v>
      </c>
      <c r="Q309" s="94">
        <f t="shared" ca="1" si="87"/>
        <v>28.397004155948181</v>
      </c>
      <c r="R309" s="94">
        <f t="shared" ca="1" si="88"/>
        <v>2.8397004155948182</v>
      </c>
      <c r="S309" s="94">
        <f t="shared" ca="1" si="89"/>
        <v>2.8397004155948178</v>
      </c>
      <c r="T309" s="4">
        <f t="shared" ca="1" si="90"/>
        <v>0</v>
      </c>
      <c r="U309" s="46">
        <f t="shared" ca="1" si="91"/>
        <v>1399.1639413314356</v>
      </c>
      <c r="V309" s="4">
        <f t="shared" ca="1" si="92"/>
        <v>0</v>
      </c>
      <c r="W309" s="13">
        <f t="shared" ca="1" si="93"/>
        <v>9808.693075754687</v>
      </c>
      <c r="X309" s="4">
        <f t="shared" ca="1" si="94"/>
        <v>0</v>
      </c>
      <c r="AE309" s="4"/>
    </row>
    <row r="310" spans="1:31">
      <c r="A310">
        <v>2</v>
      </c>
      <c r="B310">
        <v>1</v>
      </c>
      <c r="C310">
        <f t="shared" si="76"/>
        <v>5</v>
      </c>
      <c r="D310">
        <f t="shared" si="77"/>
        <v>3</v>
      </c>
      <c r="E310">
        <f t="shared" si="78"/>
        <v>2</v>
      </c>
      <c r="F310" s="100">
        <f t="shared" ca="1" si="79"/>
        <v>3.4264999999999997E-2</v>
      </c>
      <c r="G310">
        <v>1</v>
      </c>
      <c r="H310">
        <v>1</v>
      </c>
      <c r="I310">
        <v>3</v>
      </c>
      <c r="J310" s="1">
        <f t="shared" ca="1" si="80"/>
        <v>0.91256620949999989</v>
      </c>
      <c r="K310" s="1">
        <f t="shared" ca="1" si="81"/>
        <v>3.1269081168517496E-2</v>
      </c>
      <c r="L310" s="13">
        <f t="shared" ca="1" si="82"/>
        <v>163</v>
      </c>
      <c r="M310" s="7">
        <f t="shared" ca="1" si="83"/>
        <v>837</v>
      </c>
      <c r="N310" s="44">
        <f t="shared" ca="1" si="84"/>
        <v>11</v>
      </c>
      <c r="O310" s="94">
        <f t="shared" ca="1" si="85"/>
        <v>2.8397004155948178</v>
      </c>
      <c r="P310" s="94">
        <f t="shared" ca="1" si="86"/>
        <v>28.397004155948181</v>
      </c>
      <c r="Q310" s="94">
        <f t="shared" ca="1" si="87"/>
        <v>28.397004155948181</v>
      </c>
      <c r="R310" s="94">
        <f t="shared" ca="1" si="88"/>
        <v>2.8397004155948182</v>
      </c>
      <c r="S310" s="94">
        <f t="shared" ca="1" si="89"/>
        <v>2.8397004155948178</v>
      </c>
      <c r="T310" s="4">
        <f t="shared" ca="1" si="90"/>
        <v>8.8794822789507219E-2</v>
      </c>
      <c r="U310" s="46">
        <f t="shared" ca="1" si="91"/>
        <v>1386.1639413314356</v>
      </c>
      <c r="V310" s="4">
        <f t="shared" ca="1" si="92"/>
        <v>43.344072794364784</v>
      </c>
      <c r="W310" s="13">
        <f t="shared" ca="1" si="93"/>
        <v>8973.8765817077146</v>
      </c>
      <c r="X310" s="4">
        <f t="shared" ca="1" si="94"/>
        <v>280.60487522967685</v>
      </c>
      <c r="AE310" s="4"/>
    </row>
    <row r="311" spans="1:31">
      <c r="A311">
        <v>2</v>
      </c>
      <c r="B311">
        <v>1</v>
      </c>
      <c r="C311">
        <f t="shared" si="76"/>
        <v>5</v>
      </c>
      <c r="D311">
        <f t="shared" si="77"/>
        <v>3</v>
      </c>
      <c r="E311">
        <f t="shared" si="78"/>
        <v>2</v>
      </c>
      <c r="F311" s="100">
        <f t="shared" ca="1" si="79"/>
        <v>3.4264999999999997E-2</v>
      </c>
      <c r="G311">
        <v>1</v>
      </c>
      <c r="H311">
        <v>1</v>
      </c>
      <c r="I311">
        <v>2</v>
      </c>
      <c r="J311" s="1">
        <f t="shared" ca="1" si="80"/>
        <v>2.7653521500000021E-2</v>
      </c>
      <c r="K311" s="1">
        <f t="shared" ca="1" si="81"/>
        <v>9.4754791419750066E-4</v>
      </c>
      <c r="L311" s="13">
        <f t="shared" ca="1" si="82"/>
        <v>150</v>
      </c>
      <c r="M311" s="7">
        <f t="shared" ca="1" si="83"/>
        <v>850</v>
      </c>
      <c r="N311" s="44">
        <f t="shared" ca="1" si="84"/>
        <v>11</v>
      </c>
      <c r="O311" s="94">
        <f t="shared" ca="1" si="85"/>
        <v>2.8397004155948178</v>
      </c>
      <c r="P311" s="94">
        <f t="shared" ca="1" si="86"/>
        <v>28.397004155948181</v>
      </c>
      <c r="Q311" s="94">
        <f t="shared" ca="1" si="87"/>
        <v>28.397004155948181</v>
      </c>
      <c r="R311" s="94">
        <f t="shared" ca="1" si="88"/>
        <v>2.8397004155948182</v>
      </c>
      <c r="S311" s="94">
        <f t="shared" ca="1" si="89"/>
        <v>2.8397004155948178</v>
      </c>
      <c r="T311" s="4">
        <f t="shared" ca="1" si="90"/>
        <v>2.6907522057426454E-3</v>
      </c>
      <c r="U311" s="46">
        <f t="shared" ca="1" si="91"/>
        <v>1373.1639413314356</v>
      </c>
      <c r="V311" s="4">
        <f t="shared" ca="1" si="92"/>
        <v>1.301138628459821</v>
      </c>
      <c r="W311" s="13">
        <f t="shared" ca="1" si="93"/>
        <v>8139.0600876607459</v>
      </c>
      <c r="X311" s="4">
        <f t="shared" ca="1" si="94"/>
        <v>7.712149409591067</v>
      </c>
      <c r="AE311" s="4"/>
    </row>
    <row r="312" spans="1:31">
      <c r="A312">
        <v>2</v>
      </c>
      <c r="B312">
        <v>1</v>
      </c>
      <c r="C312">
        <f t="shared" si="76"/>
        <v>5</v>
      </c>
      <c r="D312">
        <f t="shared" si="77"/>
        <v>3</v>
      </c>
      <c r="E312">
        <f t="shared" si="78"/>
        <v>2</v>
      </c>
      <c r="F312" s="100">
        <f t="shared" ca="1" si="79"/>
        <v>3.4264999999999997E-2</v>
      </c>
      <c r="G312">
        <v>1</v>
      </c>
      <c r="H312">
        <v>1</v>
      </c>
      <c r="I312">
        <v>1</v>
      </c>
      <c r="J312" s="1">
        <f t="shared" ca="1" si="80"/>
        <v>2.7932850000000052E-4</v>
      </c>
      <c r="K312" s="1">
        <f t="shared" ca="1" si="81"/>
        <v>9.5711910525000163E-6</v>
      </c>
      <c r="L312" s="13">
        <f t="shared" ca="1" si="82"/>
        <v>137</v>
      </c>
      <c r="M312" s="7">
        <f t="shared" ca="1" si="83"/>
        <v>863</v>
      </c>
      <c r="N312" s="44">
        <f t="shared" ca="1" si="84"/>
        <v>11</v>
      </c>
      <c r="O312" s="94">
        <f t="shared" ca="1" si="85"/>
        <v>2.8397004155948178</v>
      </c>
      <c r="P312" s="94">
        <f t="shared" ca="1" si="86"/>
        <v>28.397004155948181</v>
      </c>
      <c r="Q312" s="94">
        <f t="shared" ca="1" si="87"/>
        <v>28.397004155948181</v>
      </c>
      <c r="R312" s="94">
        <f t="shared" ca="1" si="88"/>
        <v>2.8397004155948182</v>
      </c>
      <c r="S312" s="94">
        <f t="shared" ca="1" si="89"/>
        <v>2.8397004155948178</v>
      </c>
      <c r="T312" s="4">
        <f t="shared" ca="1" si="90"/>
        <v>2.7179315209521697E-5</v>
      </c>
      <c r="U312" s="46">
        <f t="shared" ca="1" si="91"/>
        <v>1360.1639413314356</v>
      </c>
      <c r="V312" s="4">
        <f t="shared" ca="1" si="92"/>
        <v>1.3018388945204594E-2</v>
      </c>
      <c r="W312" s="13">
        <f t="shared" ca="1" si="93"/>
        <v>7304.2435936137754</v>
      </c>
      <c r="X312" s="4">
        <f t="shared" ca="1" si="94"/>
        <v>6.9910310928476729E-2</v>
      </c>
      <c r="AE312" s="4"/>
    </row>
    <row r="313" spans="1:31">
      <c r="A313">
        <v>2</v>
      </c>
      <c r="B313">
        <v>1</v>
      </c>
      <c r="C313">
        <f t="shared" si="76"/>
        <v>5</v>
      </c>
      <c r="D313">
        <f t="shared" si="77"/>
        <v>3</v>
      </c>
      <c r="E313">
        <f t="shared" si="78"/>
        <v>2</v>
      </c>
      <c r="F313" s="100">
        <f t="shared" ca="1" si="79"/>
        <v>3.4264999999999997E-2</v>
      </c>
      <c r="G313">
        <v>1</v>
      </c>
      <c r="H313">
        <v>1</v>
      </c>
      <c r="I313">
        <v>0</v>
      </c>
      <c r="J313" s="1">
        <f t="shared" ca="1" si="80"/>
        <v>9.4050000000000258E-7</v>
      </c>
      <c r="K313" s="1">
        <f t="shared" ca="1" si="81"/>
        <v>3.2226232500000083E-8</v>
      </c>
      <c r="L313" s="13">
        <f t="shared" ca="1" si="82"/>
        <v>124</v>
      </c>
      <c r="M313" s="7">
        <f t="shared" ca="1" si="83"/>
        <v>876</v>
      </c>
      <c r="N313" s="44">
        <f t="shared" ca="1" si="84"/>
        <v>11</v>
      </c>
      <c r="O313" s="94">
        <f t="shared" ca="1" si="85"/>
        <v>2.8397004155948178</v>
      </c>
      <c r="P313" s="94">
        <f t="shared" ca="1" si="86"/>
        <v>28.397004155948181</v>
      </c>
      <c r="Q313" s="94">
        <f t="shared" ca="1" si="87"/>
        <v>28.397004155948181</v>
      </c>
      <c r="R313" s="94">
        <f t="shared" ca="1" si="88"/>
        <v>2.8397004155948182</v>
      </c>
      <c r="S313" s="94">
        <f t="shared" ca="1" si="89"/>
        <v>2.8397004155948178</v>
      </c>
      <c r="T313" s="4">
        <f t="shared" ca="1" si="90"/>
        <v>9.1512845823305464E-8</v>
      </c>
      <c r="U313" s="46">
        <f t="shared" ca="1" si="91"/>
        <v>1347.1639413314356</v>
      </c>
      <c r="V313" s="4">
        <f t="shared" ca="1" si="92"/>
        <v>4.3414018388963314E-5</v>
      </c>
      <c r="W313" s="13">
        <f t="shared" ca="1" si="93"/>
        <v>6469.4270995668048</v>
      </c>
      <c r="X313" s="4">
        <f t="shared" ca="1" si="94"/>
        <v>2.0848526185244102E-4</v>
      </c>
      <c r="AE313" s="4"/>
    </row>
    <row r="314" spans="1:31">
      <c r="A314">
        <v>2</v>
      </c>
      <c r="B314">
        <v>1</v>
      </c>
      <c r="C314">
        <f t="shared" si="76"/>
        <v>5</v>
      </c>
      <c r="D314">
        <f t="shared" si="77"/>
        <v>3</v>
      </c>
      <c r="E314">
        <f t="shared" si="78"/>
        <v>2</v>
      </c>
      <c r="F314" s="100">
        <f t="shared" ca="1" si="79"/>
        <v>3.4264999999999997E-2</v>
      </c>
      <c r="G314">
        <v>1</v>
      </c>
      <c r="H314">
        <v>0</v>
      </c>
      <c r="I314">
        <v>7</v>
      </c>
      <c r="J314" s="1">
        <f t="shared" ca="1" si="80"/>
        <v>0</v>
      </c>
      <c r="K314" s="1">
        <f t="shared" ca="1" si="81"/>
        <v>0</v>
      </c>
      <c r="L314" s="13">
        <f t="shared" ca="1" si="82"/>
        <v>153</v>
      </c>
      <c r="M314" s="7">
        <f t="shared" ca="1" si="83"/>
        <v>847</v>
      </c>
      <c r="N314" s="44">
        <f t="shared" ca="1" si="84"/>
        <v>11</v>
      </c>
      <c r="O314" s="94">
        <f t="shared" ca="1" si="85"/>
        <v>2.8397004155948178</v>
      </c>
      <c r="P314" s="94">
        <f t="shared" ca="1" si="86"/>
        <v>28.397004155948181</v>
      </c>
      <c r="Q314" s="94">
        <f t="shared" ca="1" si="87"/>
        <v>28.397004155948181</v>
      </c>
      <c r="R314" s="94">
        <f t="shared" ca="1" si="88"/>
        <v>2.8397004155948182</v>
      </c>
      <c r="S314" s="94">
        <f t="shared" ca="1" si="89"/>
        <v>2.8397004155948178</v>
      </c>
      <c r="T314" s="4">
        <f t="shared" ca="1" si="90"/>
        <v>0</v>
      </c>
      <c r="U314" s="46">
        <f t="shared" ca="1" si="91"/>
        <v>1376.1639413314356</v>
      </c>
      <c r="V314" s="4">
        <f t="shared" ca="1" si="92"/>
        <v>0</v>
      </c>
      <c r="W314" s="13">
        <f t="shared" ca="1" si="93"/>
        <v>11687.430916657584</v>
      </c>
      <c r="X314" s="4">
        <f t="shared" ca="1" si="94"/>
        <v>0</v>
      </c>
      <c r="AE314" s="4"/>
    </row>
    <row r="315" spans="1:31">
      <c r="A315">
        <v>2</v>
      </c>
      <c r="B315">
        <v>1</v>
      </c>
      <c r="C315">
        <f t="shared" si="76"/>
        <v>5</v>
      </c>
      <c r="D315">
        <f t="shared" si="77"/>
        <v>3</v>
      </c>
      <c r="E315">
        <f t="shared" si="78"/>
        <v>2</v>
      </c>
      <c r="F315" s="100">
        <f t="shared" ca="1" si="79"/>
        <v>3.4264999999999997E-2</v>
      </c>
      <c r="G315">
        <v>1</v>
      </c>
      <c r="H315">
        <v>0</v>
      </c>
      <c r="I315">
        <v>6</v>
      </c>
      <c r="J315" s="1">
        <f t="shared" ca="1" si="80"/>
        <v>0</v>
      </c>
      <c r="K315" s="1">
        <f t="shared" ca="1" si="81"/>
        <v>0</v>
      </c>
      <c r="L315" s="13">
        <f t="shared" ca="1" si="82"/>
        <v>140</v>
      </c>
      <c r="M315" s="7">
        <f t="shared" ca="1" si="83"/>
        <v>860</v>
      </c>
      <c r="N315" s="44">
        <f t="shared" ca="1" si="84"/>
        <v>11</v>
      </c>
      <c r="O315" s="94">
        <f t="shared" ca="1" si="85"/>
        <v>2.8397004155948178</v>
      </c>
      <c r="P315" s="94">
        <f t="shared" ca="1" si="86"/>
        <v>28.397004155948181</v>
      </c>
      <c r="Q315" s="94">
        <f t="shared" ca="1" si="87"/>
        <v>28.397004155948181</v>
      </c>
      <c r="R315" s="94">
        <f t="shared" ca="1" si="88"/>
        <v>2.8397004155948182</v>
      </c>
      <c r="S315" s="94">
        <f t="shared" ca="1" si="89"/>
        <v>2.8397004155948178</v>
      </c>
      <c r="T315" s="4">
        <f t="shared" ca="1" si="90"/>
        <v>0</v>
      </c>
      <c r="U315" s="46">
        <f t="shared" ca="1" si="91"/>
        <v>1363.1639413314356</v>
      </c>
      <c r="V315" s="4">
        <f t="shared" ca="1" si="92"/>
        <v>0</v>
      </c>
      <c r="W315" s="13">
        <f t="shared" ca="1" si="93"/>
        <v>10852.614422610615</v>
      </c>
      <c r="X315" s="4">
        <f t="shared" ca="1" si="94"/>
        <v>0</v>
      </c>
      <c r="AE315" s="4"/>
    </row>
    <row r="316" spans="1:31">
      <c r="A316">
        <v>2</v>
      </c>
      <c r="B316">
        <v>1</v>
      </c>
      <c r="C316">
        <f t="shared" si="76"/>
        <v>5</v>
      </c>
      <c r="D316">
        <f t="shared" si="77"/>
        <v>3</v>
      </c>
      <c r="E316">
        <f t="shared" si="78"/>
        <v>2</v>
      </c>
      <c r="F316" s="100">
        <f t="shared" ca="1" si="79"/>
        <v>3.4264999999999997E-2</v>
      </c>
      <c r="G316">
        <v>1</v>
      </c>
      <c r="H316">
        <v>0</v>
      </c>
      <c r="I316">
        <v>5</v>
      </c>
      <c r="J316" s="1">
        <f t="shared" ca="1" si="80"/>
        <v>0</v>
      </c>
      <c r="K316" s="1">
        <f t="shared" ca="1" si="81"/>
        <v>0</v>
      </c>
      <c r="L316" s="13">
        <f t="shared" ca="1" si="82"/>
        <v>127</v>
      </c>
      <c r="M316" s="7">
        <f t="shared" ca="1" si="83"/>
        <v>873</v>
      </c>
      <c r="N316" s="44">
        <f t="shared" ca="1" si="84"/>
        <v>11</v>
      </c>
      <c r="O316" s="94">
        <f t="shared" ca="1" si="85"/>
        <v>2.8397004155948178</v>
      </c>
      <c r="P316" s="94">
        <f t="shared" ca="1" si="86"/>
        <v>28.397004155948181</v>
      </c>
      <c r="Q316" s="94">
        <f t="shared" ca="1" si="87"/>
        <v>28.397004155948181</v>
      </c>
      <c r="R316" s="94">
        <f t="shared" ca="1" si="88"/>
        <v>2.8397004155948182</v>
      </c>
      <c r="S316" s="94">
        <f t="shared" ca="1" si="89"/>
        <v>2.8397004155948178</v>
      </c>
      <c r="T316" s="4">
        <f t="shared" ca="1" si="90"/>
        <v>0</v>
      </c>
      <c r="U316" s="46">
        <f t="shared" ca="1" si="91"/>
        <v>1350.1639413314356</v>
      </c>
      <c r="V316" s="4">
        <f t="shared" ca="1" si="92"/>
        <v>0</v>
      </c>
      <c r="W316" s="13">
        <f t="shared" ca="1" si="93"/>
        <v>10017.797928563645</v>
      </c>
      <c r="X316" s="4">
        <f t="shared" ca="1" si="94"/>
        <v>0</v>
      </c>
      <c r="AE316" s="4"/>
    </row>
    <row r="317" spans="1:31">
      <c r="A317">
        <v>2</v>
      </c>
      <c r="B317">
        <v>1</v>
      </c>
      <c r="C317">
        <f t="shared" si="76"/>
        <v>5</v>
      </c>
      <c r="D317">
        <f t="shared" si="77"/>
        <v>3</v>
      </c>
      <c r="E317">
        <f t="shared" si="78"/>
        <v>2</v>
      </c>
      <c r="F317" s="100">
        <f t="shared" ca="1" si="79"/>
        <v>3.4264999999999997E-2</v>
      </c>
      <c r="G317">
        <v>1</v>
      </c>
      <c r="H317">
        <v>0</v>
      </c>
      <c r="I317">
        <v>4</v>
      </c>
      <c r="J317" s="1">
        <f t="shared" ca="1" si="80"/>
        <v>0</v>
      </c>
      <c r="K317" s="1">
        <f t="shared" ca="1" si="81"/>
        <v>0</v>
      </c>
      <c r="L317" s="13">
        <f t="shared" ca="1" si="82"/>
        <v>114</v>
      </c>
      <c r="M317" s="7">
        <f t="shared" ca="1" si="83"/>
        <v>886</v>
      </c>
      <c r="N317" s="44">
        <f t="shared" ca="1" si="84"/>
        <v>12</v>
      </c>
      <c r="O317" s="94">
        <f t="shared" ca="1" si="85"/>
        <v>3.0624018806381534</v>
      </c>
      <c r="P317" s="94">
        <f t="shared" ca="1" si="86"/>
        <v>29.510511481164862</v>
      </c>
      <c r="Q317" s="94">
        <f t="shared" ca="1" si="87"/>
        <v>28.397004155948181</v>
      </c>
      <c r="R317" s="94">
        <f t="shared" ca="1" si="88"/>
        <v>2.8953757818556523</v>
      </c>
      <c r="S317" s="94">
        <f t="shared" ca="1" si="89"/>
        <v>3.0624018806381534</v>
      </c>
      <c r="T317" s="4">
        <f t="shared" ca="1" si="90"/>
        <v>0</v>
      </c>
      <c r="U317" s="46">
        <f t="shared" ca="1" si="91"/>
        <v>1418.7282638229713</v>
      </c>
      <c r="V317" s="4">
        <f t="shared" ca="1" si="92"/>
        <v>0</v>
      </c>
      <c r="W317" s="13">
        <f t="shared" ca="1" si="93"/>
        <v>9182.9814345166742</v>
      </c>
      <c r="X317" s="4">
        <f t="shared" ca="1" si="94"/>
        <v>0</v>
      </c>
      <c r="AE317" s="4"/>
    </row>
    <row r="318" spans="1:31">
      <c r="A318">
        <v>2</v>
      </c>
      <c r="B318">
        <v>1</v>
      </c>
      <c r="C318">
        <f t="shared" si="76"/>
        <v>5</v>
      </c>
      <c r="D318">
        <f t="shared" si="77"/>
        <v>3</v>
      </c>
      <c r="E318">
        <f t="shared" si="78"/>
        <v>2</v>
      </c>
      <c r="F318" s="100">
        <f t="shared" ca="1" si="79"/>
        <v>3.4264999999999997E-2</v>
      </c>
      <c r="G318">
        <v>1</v>
      </c>
      <c r="H318">
        <v>0</v>
      </c>
      <c r="I318">
        <v>3</v>
      </c>
      <c r="J318" s="1">
        <f t="shared" ca="1" si="80"/>
        <v>9.2178405000000081E-3</v>
      </c>
      <c r="K318" s="1">
        <f t="shared" ca="1" si="81"/>
        <v>3.1584930473250024E-4</v>
      </c>
      <c r="L318" s="13">
        <f t="shared" ca="1" si="82"/>
        <v>101</v>
      </c>
      <c r="M318" s="7">
        <f t="shared" ca="1" si="83"/>
        <v>899</v>
      </c>
      <c r="N318" s="44">
        <f t="shared" ca="1" si="84"/>
        <v>12</v>
      </c>
      <c r="O318" s="94">
        <f t="shared" ca="1" si="85"/>
        <v>3.0624018806381534</v>
      </c>
      <c r="P318" s="94">
        <f t="shared" ca="1" si="86"/>
        <v>30.624018806381528</v>
      </c>
      <c r="Q318" s="94">
        <f t="shared" ca="1" si="87"/>
        <v>30.178615876294863</v>
      </c>
      <c r="R318" s="94">
        <f t="shared" ca="1" si="88"/>
        <v>3.0401317341338197</v>
      </c>
      <c r="S318" s="94">
        <f t="shared" ca="1" si="89"/>
        <v>3.0624018806381534</v>
      </c>
      <c r="T318" s="4">
        <f t="shared" ca="1" si="90"/>
        <v>9.67257504811062E-4</v>
      </c>
      <c r="U318" s="46">
        <f t="shared" ca="1" si="91"/>
        <v>1405.7282638229713</v>
      </c>
      <c r="V318" s="4">
        <f t="shared" ca="1" si="92"/>
        <v>0.44399829477131014</v>
      </c>
      <c r="W318" s="13">
        <f t="shared" ca="1" si="93"/>
        <v>8348.1649404697037</v>
      </c>
      <c r="X318" s="4">
        <f t="shared" ca="1" si="94"/>
        <v>2.6367620922395902</v>
      </c>
      <c r="AE318" s="4"/>
    </row>
    <row r="319" spans="1:31">
      <c r="A319">
        <v>2</v>
      </c>
      <c r="B319">
        <v>1</v>
      </c>
      <c r="C319">
        <f t="shared" si="76"/>
        <v>5</v>
      </c>
      <c r="D319">
        <f t="shared" si="77"/>
        <v>3</v>
      </c>
      <c r="E319">
        <f t="shared" si="78"/>
        <v>2</v>
      </c>
      <c r="F319" s="100">
        <f t="shared" ca="1" si="79"/>
        <v>3.4264999999999997E-2</v>
      </c>
      <c r="G319">
        <v>1</v>
      </c>
      <c r="H319">
        <v>0</v>
      </c>
      <c r="I319">
        <v>2</v>
      </c>
      <c r="J319" s="1">
        <f t="shared" ca="1" si="80"/>
        <v>2.7932850000000046E-4</v>
      </c>
      <c r="K319" s="1">
        <f t="shared" ca="1" si="81"/>
        <v>9.5711910525000147E-6</v>
      </c>
      <c r="L319" s="13">
        <f t="shared" ca="1" si="82"/>
        <v>88</v>
      </c>
      <c r="M319" s="7">
        <f t="shared" ca="1" si="83"/>
        <v>912</v>
      </c>
      <c r="N319" s="44">
        <f t="shared" ca="1" si="84"/>
        <v>12</v>
      </c>
      <c r="O319" s="94">
        <f t="shared" ca="1" si="85"/>
        <v>3.0624018806381534</v>
      </c>
      <c r="P319" s="94">
        <f t="shared" ca="1" si="86"/>
        <v>30.624018806381528</v>
      </c>
      <c r="Q319" s="94">
        <f t="shared" ca="1" si="87"/>
        <v>30.624018806381528</v>
      </c>
      <c r="R319" s="94">
        <f t="shared" ca="1" si="88"/>
        <v>3.062401880638153</v>
      </c>
      <c r="S319" s="94">
        <f t="shared" ca="1" si="89"/>
        <v>3.0624018806381534</v>
      </c>
      <c r="T319" s="4">
        <f t="shared" ca="1" si="90"/>
        <v>2.9310833479123114E-5</v>
      </c>
      <c r="U319" s="46">
        <f t="shared" ca="1" si="91"/>
        <v>1392.7282638229713</v>
      </c>
      <c r="V319" s="4">
        <f t="shared" ca="1" si="92"/>
        <v>1.3330068297266302E-2</v>
      </c>
      <c r="W319" s="13">
        <f t="shared" ca="1" si="93"/>
        <v>7513.3484464227331</v>
      </c>
      <c r="X319" s="4">
        <f t="shared" ca="1" si="94"/>
        <v>7.191169342471615E-2</v>
      </c>
      <c r="AE319" s="4"/>
    </row>
    <row r="320" spans="1:31">
      <c r="A320">
        <v>2</v>
      </c>
      <c r="B320">
        <v>1</v>
      </c>
      <c r="C320">
        <f t="shared" si="76"/>
        <v>5</v>
      </c>
      <c r="D320">
        <f t="shared" si="77"/>
        <v>3</v>
      </c>
      <c r="E320">
        <f t="shared" si="78"/>
        <v>2</v>
      </c>
      <c r="F320" s="100">
        <f t="shared" ca="1" si="79"/>
        <v>3.4264999999999997E-2</v>
      </c>
      <c r="G320">
        <v>1</v>
      </c>
      <c r="H320">
        <v>0</v>
      </c>
      <c r="I320">
        <v>1</v>
      </c>
      <c r="J320" s="1">
        <f t="shared" ca="1" si="80"/>
        <v>2.8215000000000076E-6</v>
      </c>
      <c r="K320" s="1">
        <f t="shared" ca="1" si="81"/>
        <v>9.6678697500000254E-8</v>
      </c>
      <c r="L320" s="13">
        <f t="shared" ca="1" si="82"/>
        <v>75</v>
      </c>
      <c r="M320" s="7">
        <f t="shared" ca="1" si="83"/>
        <v>925</v>
      </c>
      <c r="N320" s="44">
        <f t="shared" ca="1" si="84"/>
        <v>12</v>
      </c>
      <c r="O320" s="94">
        <f t="shared" ca="1" si="85"/>
        <v>3.0624018806381534</v>
      </c>
      <c r="P320" s="94">
        <f t="shared" ca="1" si="86"/>
        <v>30.624018806381528</v>
      </c>
      <c r="Q320" s="94">
        <f t="shared" ca="1" si="87"/>
        <v>30.624018806381528</v>
      </c>
      <c r="R320" s="94">
        <f t="shared" ca="1" si="88"/>
        <v>3.062401880638153</v>
      </c>
      <c r="S320" s="94">
        <f t="shared" ca="1" si="89"/>
        <v>3.0624018806381534</v>
      </c>
      <c r="T320" s="4">
        <f t="shared" ca="1" si="90"/>
        <v>2.9606902504164791E-7</v>
      </c>
      <c r="U320" s="46">
        <f t="shared" ca="1" si="91"/>
        <v>1379.7282638229713</v>
      </c>
      <c r="V320" s="4">
        <f t="shared" ca="1" si="92"/>
        <v>1.3339033145034159E-4</v>
      </c>
      <c r="W320" s="13">
        <f t="shared" ca="1" si="93"/>
        <v>6678.5319523757635</v>
      </c>
      <c r="X320" s="4">
        <f t="shared" ca="1" si="94"/>
        <v>6.4567177036782249E-4</v>
      </c>
      <c r="AE320" s="4"/>
    </row>
    <row r="321" spans="1:31">
      <c r="A321">
        <v>2</v>
      </c>
      <c r="B321">
        <v>1</v>
      </c>
      <c r="C321">
        <f t="shared" si="76"/>
        <v>5</v>
      </c>
      <c r="D321">
        <f t="shared" si="77"/>
        <v>3</v>
      </c>
      <c r="E321">
        <f t="shared" si="78"/>
        <v>2</v>
      </c>
      <c r="F321" s="100">
        <f t="shared" ca="1" si="79"/>
        <v>3.4264999999999997E-2</v>
      </c>
      <c r="G321">
        <v>1</v>
      </c>
      <c r="H321">
        <v>0</v>
      </c>
      <c r="I321">
        <v>0</v>
      </c>
      <c r="J321" s="1">
        <f t="shared" ca="1" si="80"/>
        <v>9.5000000000000338E-9</v>
      </c>
      <c r="K321" s="1">
        <f t="shared" ca="1" si="81"/>
        <v>3.2551750000000115E-10</v>
      </c>
      <c r="L321" s="13">
        <f t="shared" ca="1" si="82"/>
        <v>62</v>
      </c>
      <c r="M321" s="7">
        <f t="shared" ca="1" si="83"/>
        <v>938</v>
      </c>
      <c r="N321" s="44">
        <f t="shared" ca="1" si="84"/>
        <v>12</v>
      </c>
      <c r="O321" s="94">
        <f t="shared" ca="1" si="85"/>
        <v>3.0624018806381534</v>
      </c>
      <c r="P321" s="94">
        <f t="shared" ca="1" si="86"/>
        <v>30.624018806381528</v>
      </c>
      <c r="Q321" s="94">
        <f t="shared" ca="1" si="87"/>
        <v>30.624018806381528</v>
      </c>
      <c r="R321" s="94">
        <f t="shared" ca="1" si="88"/>
        <v>3.062401880638153</v>
      </c>
      <c r="S321" s="94">
        <f t="shared" ca="1" si="89"/>
        <v>3.0624018806381534</v>
      </c>
      <c r="T321" s="4">
        <f t="shared" ca="1" si="90"/>
        <v>9.9686540418063355E-10</v>
      </c>
      <c r="U321" s="46">
        <f t="shared" ca="1" si="91"/>
        <v>1366.7282638229713</v>
      </c>
      <c r="V321" s="4">
        <f t="shared" ca="1" si="92"/>
        <v>4.4489396761899564E-7</v>
      </c>
      <c r="W321" s="13">
        <f t="shared" ca="1" si="93"/>
        <v>5843.7154583287929</v>
      </c>
      <c r="X321" s="4">
        <f t="shared" ca="1" si="94"/>
        <v>1.9022316467065496E-6</v>
      </c>
      <c r="AE321" s="4"/>
    </row>
    <row r="322" spans="1:31">
      <c r="A322">
        <v>2</v>
      </c>
      <c r="B322">
        <v>1</v>
      </c>
      <c r="C322">
        <f t="shared" si="76"/>
        <v>5</v>
      </c>
      <c r="D322">
        <f t="shared" si="77"/>
        <v>3</v>
      </c>
      <c r="E322">
        <f t="shared" si="78"/>
        <v>2</v>
      </c>
      <c r="F322" s="100">
        <f t="shared" ca="1" si="79"/>
        <v>3.4264999999999997E-2</v>
      </c>
      <c r="G322">
        <v>0</v>
      </c>
      <c r="H322">
        <v>1</v>
      </c>
      <c r="I322">
        <v>7</v>
      </c>
      <c r="J322" s="1">
        <f t="shared" ca="1" si="80"/>
        <v>0</v>
      </c>
      <c r="K322" s="1">
        <f t="shared" ca="1" si="81"/>
        <v>0</v>
      </c>
      <c r="L322" s="13">
        <f t="shared" ca="1" si="82"/>
        <v>153</v>
      </c>
      <c r="M322" s="7">
        <f t="shared" ca="1" si="83"/>
        <v>847</v>
      </c>
      <c r="N322" s="44">
        <f t="shared" ca="1" si="84"/>
        <v>11</v>
      </c>
      <c r="O322" s="94">
        <f t="shared" ca="1" si="85"/>
        <v>2.8397004155948178</v>
      </c>
      <c r="P322" s="94">
        <f t="shared" ca="1" si="86"/>
        <v>28.397004155948181</v>
      </c>
      <c r="Q322" s="94">
        <f t="shared" ca="1" si="87"/>
        <v>28.397004155948181</v>
      </c>
      <c r="R322" s="94">
        <f t="shared" ca="1" si="88"/>
        <v>2.8397004155948182</v>
      </c>
      <c r="S322" s="94">
        <f t="shared" ca="1" si="89"/>
        <v>2.8397004155948178</v>
      </c>
      <c r="T322" s="4">
        <f t="shared" ca="1" si="90"/>
        <v>0</v>
      </c>
      <c r="U322" s="46">
        <f t="shared" ca="1" si="91"/>
        <v>1376.1639413314356</v>
      </c>
      <c r="V322" s="4">
        <f t="shared" ca="1" si="92"/>
        <v>0</v>
      </c>
      <c r="W322" s="13">
        <f t="shared" ca="1" si="93"/>
        <v>6469.4270995668039</v>
      </c>
      <c r="X322" s="4">
        <f t="shared" ca="1" si="94"/>
        <v>0</v>
      </c>
      <c r="AE322" s="4"/>
    </row>
    <row r="323" spans="1:31">
      <c r="A323">
        <v>2</v>
      </c>
      <c r="B323">
        <v>1</v>
      </c>
      <c r="C323">
        <f t="shared" si="76"/>
        <v>5</v>
      </c>
      <c r="D323">
        <f t="shared" si="77"/>
        <v>3</v>
      </c>
      <c r="E323">
        <f t="shared" si="78"/>
        <v>2</v>
      </c>
      <c r="F323" s="100">
        <f t="shared" ca="1" si="79"/>
        <v>3.4264999999999997E-2</v>
      </c>
      <c r="G323">
        <v>0</v>
      </c>
      <c r="H323">
        <v>1</v>
      </c>
      <c r="I323">
        <v>6</v>
      </c>
      <c r="J323" s="1">
        <f t="shared" ca="1" si="80"/>
        <v>0</v>
      </c>
      <c r="K323" s="1">
        <f t="shared" ca="1" si="81"/>
        <v>0</v>
      </c>
      <c r="L323" s="13">
        <f t="shared" ca="1" si="82"/>
        <v>140</v>
      </c>
      <c r="M323" s="7">
        <f t="shared" ca="1" si="83"/>
        <v>860</v>
      </c>
      <c r="N323" s="44">
        <f t="shared" ca="1" si="84"/>
        <v>11</v>
      </c>
      <c r="O323" s="94">
        <f t="shared" ca="1" si="85"/>
        <v>2.8397004155948178</v>
      </c>
      <c r="P323" s="94">
        <f t="shared" ca="1" si="86"/>
        <v>28.397004155948181</v>
      </c>
      <c r="Q323" s="94">
        <f t="shared" ca="1" si="87"/>
        <v>28.397004155948181</v>
      </c>
      <c r="R323" s="94">
        <f t="shared" ca="1" si="88"/>
        <v>2.8397004155948182</v>
      </c>
      <c r="S323" s="94">
        <f t="shared" ca="1" si="89"/>
        <v>2.8397004155948178</v>
      </c>
      <c r="T323" s="4">
        <f t="shared" ca="1" si="90"/>
        <v>0</v>
      </c>
      <c r="U323" s="46">
        <f t="shared" ca="1" si="91"/>
        <v>1363.1639413314356</v>
      </c>
      <c r="V323" s="4">
        <f t="shared" ca="1" si="92"/>
        <v>0</v>
      </c>
      <c r="W323" s="13">
        <f t="shared" ca="1" si="93"/>
        <v>5634.6106055198334</v>
      </c>
      <c r="X323" s="4">
        <f t="shared" ca="1" si="94"/>
        <v>0</v>
      </c>
      <c r="AE323" s="4"/>
    </row>
    <row r="324" spans="1:31">
      <c r="A324">
        <v>2</v>
      </c>
      <c r="B324">
        <v>1</v>
      </c>
      <c r="C324">
        <f t="shared" si="76"/>
        <v>5</v>
      </c>
      <c r="D324">
        <f t="shared" si="77"/>
        <v>3</v>
      </c>
      <c r="E324">
        <f t="shared" si="78"/>
        <v>2</v>
      </c>
      <c r="F324" s="100">
        <f t="shared" ca="1" si="79"/>
        <v>3.4264999999999997E-2</v>
      </c>
      <c r="G324">
        <v>0</v>
      </c>
      <c r="H324">
        <v>1</v>
      </c>
      <c r="I324">
        <v>5</v>
      </c>
      <c r="J324" s="1">
        <f t="shared" ca="1" si="80"/>
        <v>0</v>
      </c>
      <c r="K324" s="1">
        <f t="shared" ca="1" si="81"/>
        <v>0</v>
      </c>
      <c r="L324" s="13">
        <f t="shared" ca="1" si="82"/>
        <v>127</v>
      </c>
      <c r="M324" s="7">
        <f t="shared" ca="1" si="83"/>
        <v>873</v>
      </c>
      <c r="N324" s="44">
        <f t="shared" ca="1" si="84"/>
        <v>11</v>
      </c>
      <c r="O324" s="94">
        <f t="shared" ca="1" si="85"/>
        <v>2.8397004155948178</v>
      </c>
      <c r="P324" s="94">
        <f t="shared" ca="1" si="86"/>
        <v>28.397004155948181</v>
      </c>
      <c r="Q324" s="94">
        <f t="shared" ca="1" si="87"/>
        <v>28.397004155948181</v>
      </c>
      <c r="R324" s="94">
        <f t="shared" ca="1" si="88"/>
        <v>2.8397004155948182</v>
      </c>
      <c r="S324" s="94">
        <f t="shared" ca="1" si="89"/>
        <v>2.8397004155948178</v>
      </c>
      <c r="T324" s="4">
        <f t="shared" ca="1" si="90"/>
        <v>0</v>
      </c>
      <c r="U324" s="46">
        <f t="shared" ca="1" si="91"/>
        <v>1350.1639413314356</v>
      </c>
      <c r="V324" s="4">
        <f t="shared" ca="1" si="92"/>
        <v>0</v>
      </c>
      <c r="W324" s="13">
        <f t="shared" ca="1" si="93"/>
        <v>4799.7941114728637</v>
      </c>
      <c r="X324" s="4">
        <f t="shared" ca="1" si="94"/>
        <v>0</v>
      </c>
      <c r="AE324" s="4"/>
    </row>
    <row r="325" spans="1:31">
      <c r="A325">
        <v>2</v>
      </c>
      <c r="B325">
        <v>1</v>
      </c>
      <c r="C325">
        <f t="shared" si="76"/>
        <v>5</v>
      </c>
      <c r="D325">
        <f t="shared" si="77"/>
        <v>3</v>
      </c>
      <c r="E325">
        <f t="shared" si="78"/>
        <v>2</v>
      </c>
      <c r="F325" s="100">
        <f t="shared" ca="1" si="79"/>
        <v>3.4264999999999997E-2</v>
      </c>
      <c r="G325">
        <v>0</v>
      </c>
      <c r="H325">
        <v>1</v>
      </c>
      <c r="I325">
        <v>4</v>
      </c>
      <c r="J325" s="1">
        <f t="shared" ca="1" si="80"/>
        <v>0</v>
      </c>
      <c r="K325" s="1">
        <f t="shared" ca="1" si="81"/>
        <v>0</v>
      </c>
      <c r="L325" s="13">
        <f t="shared" ca="1" si="82"/>
        <v>114</v>
      </c>
      <c r="M325" s="7">
        <f t="shared" ca="1" si="83"/>
        <v>886</v>
      </c>
      <c r="N325" s="44">
        <f t="shared" ca="1" si="84"/>
        <v>12</v>
      </c>
      <c r="O325" s="94">
        <f t="shared" ca="1" si="85"/>
        <v>3.0624018806381534</v>
      </c>
      <c r="P325" s="94">
        <f t="shared" ca="1" si="86"/>
        <v>29.510511481164862</v>
      </c>
      <c r="Q325" s="94">
        <f t="shared" ca="1" si="87"/>
        <v>28.397004155948181</v>
      </c>
      <c r="R325" s="94">
        <f t="shared" ca="1" si="88"/>
        <v>2.8953757818556523</v>
      </c>
      <c r="S325" s="94">
        <f t="shared" ca="1" si="89"/>
        <v>3.0624018806381534</v>
      </c>
      <c r="T325" s="4">
        <f t="shared" ca="1" si="90"/>
        <v>0</v>
      </c>
      <c r="U325" s="46">
        <f t="shared" ca="1" si="91"/>
        <v>1418.7282638229713</v>
      </c>
      <c r="V325" s="4">
        <f t="shared" ca="1" si="92"/>
        <v>0</v>
      </c>
      <c r="W325" s="13">
        <f t="shared" ca="1" si="93"/>
        <v>3964.9776174258936</v>
      </c>
      <c r="X325" s="4">
        <f t="shared" ca="1" si="94"/>
        <v>0</v>
      </c>
      <c r="AE325" s="4"/>
    </row>
    <row r="326" spans="1:31">
      <c r="A326">
        <v>2</v>
      </c>
      <c r="B326">
        <v>1</v>
      </c>
      <c r="C326">
        <f t="shared" si="76"/>
        <v>5</v>
      </c>
      <c r="D326">
        <f t="shared" si="77"/>
        <v>3</v>
      </c>
      <c r="E326">
        <f t="shared" si="78"/>
        <v>2</v>
      </c>
      <c r="F326" s="100">
        <f t="shared" ca="1" si="79"/>
        <v>3.4264999999999997E-2</v>
      </c>
      <c r="G326">
        <v>0</v>
      </c>
      <c r="H326">
        <v>1</v>
      </c>
      <c r="I326">
        <v>3</v>
      </c>
      <c r="J326" s="1">
        <f t="shared" ca="1" si="80"/>
        <v>4.8029800499999997E-2</v>
      </c>
      <c r="K326" s="1">
        <f t="shared" ca="1" si="81"/>
        <v>1.6457411141324997E-3</v>
      </c>
      <c r="L326" s="13">
        <f t="shared" ca="1" si="82"/>
        <v>101</v>
      </c>
      <c r="M326" s="7">
        <f t="shared" ca="1" si="83"/>
        <v>899</v>
      </c>
      <c r="N326" s="44">
        <f t="shared" ca="1" si="84"/>
        <v>12</v>
      </c>
      <c r="O326" s="94">
        <f t="shared" ca="1" si="85"/>
        <v>3.0624018806381534</v>
      </c>
      <c r="P326" s="94">
        <f t="shared" ca="1" si="86"/>
        <v>30.624018806381528</v>
      </c>
      <c r="Q326" s="94">
        <f t="shared" ca="1" si="87"/>
        <v>30.178615876294863</v>
      </c>
      <c r="R326" s="94">
        <f t="shared" ca="1" si="88"/>
        <v>3.0401317341338197</v>
      </c>
      <c r="S326" s="94">
        <f t="shared" ca="1" si="89"/>
        <v>3.0624018806381534</v>
      </c>
      <c r="T326" s="4">
        <f t="shared" ca="1" si="90"/>
        <v>5.039920682962897E-3</v>
      </c>
      <c r="U326" s="46">
        <f t="shared" ca="1" si="91"/>
        <v>1405.7282638229713</v>
      </c>
      <c r="V326" s="4">
        <f t="shared" ca="1" si="92"/>
        <v>2.3134647990715611</v>
      </c>
      <c r="W326" s="13">
        <f t="shared" ca="1" si="93"/>
        <v>3130.1611233789231</v>
      </c>
      <c r="X326" s="4">
        <f t="shared" ca="1" si="94"/>
        <v>5.151434854603866</v>
      </c>
      <c r="AE326" s="4"/>
    </row>
    <row r="327" spans="1:31">
      <c r="A327">
        <v>2</v>
      </c>
      <c r="B327">
        <v>1</v>
      </c>
      <c r="C327">
        <f t="shared" si="76"/>
        <v>5</v>
      </c>
      <c r="D327">
        <f t="shared" si="77"/>
        <v>3</v>
      </c>
      <c r="E327">
        <f t="shared" si="78"/>
        <v>2</v>
      </c>
      <c r="F327" s="100">
        <f t="shared" ca="1" si="79"/>
        <v>3.4264999999999997E-2</v>
      </c>
      <c r="G327">
        <v>0</v>
      </c>
      <c r="H327">
        <v>1</v>
      </c>
      <c r="I327">
        <v>2</v>
      </c>
      <c r="J327" s="1">
        <f t="shared" ca="1" si="80"/>
        <v>1.4554485000000013E-3</v>
      </c>
      <c r="K327" s="1">
        <f t="shared" ca="1" si="81"/>
        <v>4.9870942852500042E-5</v>
      </c>
      <c r="L327" s="13">
        <f t="shared" ca="1" si="82"/>
        <v>88</v>
      </c>
      <c r="M327" s="7">
        <f t="shared" ca="1" si="83"/>
        <v>912</v>
      </c>
      <c r="N327" s="44">
        <f t="shared" ca="1" si="84"/>
        <v>12</v>
      </c>
      <c r="O327" s="94">
        <f t="shared" ca="1" si="85"/>
        <v>3.0624018806381534</v>
      </c>
      <c r="P327" s="94">
        <f t="shared" ca="1" si="86"/>
        <v>30.624018806381528</v>
      </c>
      <c r="Q327" s="94">
        <f t="shared" ca="1" si="87"/>
        <v>30.624018806381528</v>
      </c>
      <c r="R327" s="94">
        <f t="shared" ca="1" si="88"/>
        <v>3.062401880638153</v>
      </c>
      <c r="S327" s="94">
        <f t="shared" ca="1" si="89"/>
        <v>3.0624018806381534</v>
      </c>
      <c r="T327" s="4">
        <f t="shared" ca="1" si="90"/>
        <v>1.52724869180694E-4</v>
      </c>
      <c r="U327" s="46">
        <f t="shared" ca="1" si="91"/>
        <v>1392.7282638229713</v>
      </c>
      <c r="V327" s="4">
        <f t="shared" ca="1" si="92"/>
        <v>6.9456671654177002E-2</v>
      </c>
      <c r="W327" s="13">
        <f t="shared" ca="1" si="93"/>
        <v>2295.344629331953</v>
      </c>
      <c r="X327" s="4">
        <f t="shared" ca="1" si="94"/>
        <v>0.11447100083620672</v>
      </c>
      <c r="AE327" s="4"/>
    </row>
    <row r="328" spans="1:31">
      <c r="A328">
        <v>2</v>
      </c>
      <c r="B328">
        <v>1</v>
      </c>
      <c r="C328">
        <f t="shared" si="76"/>
        <v>5</v>
      </c>
      <c r="D328">
        <f t="shared" si="77"/>
        <v>3</v>
      </c>
      <c r="E328">
        <f t="shared" si="78"/>
        <v>2</v>
      </c>
      <c r="F328" s="100">
        <f t="shared" ca="1" si="79"/>
        <v>3.4264999999999997E-2</v>
      </c>
      <c r="G328">
        <v>0</v>
      </c>
      <c r="H328">
        <v>1</v>
      </c>
      <c r="I328">
        <v>1</v>
      </c>
      <c r="J328" s="1">
        <f t="shared" ca="1" si="80"/>
        <v>1.4701500000000029E-5</v>
      </c>
      <c r="K328" s="1">
        <f t="shared" ca="1" si="81"/>
        <v>5.0374689750000092E-7</v>
      </c>
      <c r="L328" s="13">
        <f t="shared" ca="1" si="82"/>
        <v>75</v>
      </c>
      <c r="M328" s="7">
        <f t="shared" ca="1" si="83"/>
        <v>925</v>
      </c>
      <c r="N328" s="44">
        <f t="shared" ca="1" si="84"/>
        <v>12</v>
      </c>
      <c r="O328" s="94">
        <f t="shared" ca="1" si="85"/>
        <v>3.0624018806381534</v>
      </c>
      <c r="P328" s="94">
        <f t="shared" ca="1" si="86"/>
        <v>30.624018806381528</v>
      </c>
      <c r="Q328" s="94">
        <f t="shared" ca="1" si="87"/>
        <v>30.624018806381528</v>
      </c>
      <c r="R328" s="94">
        <f t="shared" ca="1" si="88"/>
        <v>3.062401880638153</v>
      </c>
      <c r="S328" s="94">
        <f t="shared" ca="1" si="89"/>
        <v>3.0624018806381534</v>
      </c>
      <c r="T328" s="4">
        <f t="shared" ca="1" si="90"/>
        <v>1.5426754462696378E-6</v>
      </c>
      <c r="U328" s="46">
        <f t="shared" ca="1" si="91"/>
        <v>1379.7282638229713</v>
      </c>
      <c r="V328" s="4">
        <f t="shared" ca="1" si="92"/>
        <v>6.9503383229388449E-4</v>
      </c>
      <c r="W328" s="13">
        <f t="shared" ca="1" si="93"/>
        <v>1460.5281352849825</v>
      </c>
      <c r="X328" s="4">
        <f t="shared" ca="1" si="94"/>
        <v>7.3573651686127152E-4</v>
      </c>
      <c r="AE328" s="4"/>
    </row>
    <row r="329" spans="1:31">
      <c r="A329">
        <v>2</v>
      </c>
      <c r="B329">
        <v>1</v>
      </c>
      <c r="C329">
        <f t="shared" si="76"/>
        <v>5</v>
      </c>
      <c r="D329">
        <f t="shared" si="77"/>
        <v>3</v>
      </c>
      <c r="E329">
        <f t="shared" si="78"/>
        <v>2</v>
      </c>
      <c r="F329" s="100">
        <f t="shared" ca="1" si="79"/>
        <v>3.4264999999999997E-2</v>
      </c>
      <c r="G329">
        <v>0</v>
      </c>
      <c r="H329">
        <v>1</v>
      </c>
      <c r="I329">
        <v>0</v>
      </c>
      <c r="J329" s="1">
        <f t="shared" ca="1" si="80"/>
        <v>4.9500000000000139E-8</v>
      </c>
      <c r="K329" s="1">
        <f t="shared" ca="1" si="81"/>
        <v>1.6961175000000045E-9</v>
      </c>
      <c r="L329" s="13">
        <f t="shared" ca="1" si="82"/>
        <v>62</v>
      </c>
      <c r="M329" s="7">
        <f t="shared" ca="1" si="83"/>
        <v>938</v>
      </c>
      <c r="N329" s="44">
        <f t="shared" ca="1" si="84"/>
        <v>12</v>
      </c>
      <c r="O329" s="94">
        <f t="shared" ca="1" si="85"/>
        <v>3.0624018806381534</v>
      </c>
      <c r="P329" s="94">
        <f t="shared" ca="1" si="86"/>
        <v>30.624018806381528</v>
      </c>
      <c r="Q329" s="94">
        <f t="shared" ca="1" si="87"/>
        <v>30.624018806381528</v>
      </c>
      <c r="R329" s="94">
        <f t="shared" ca="1" si="88"/>
        <v>3.062401880638153</v>
      </c>
      <c r="S329" s="94">
        <f t="shared" ca="1" si="89"/>
        <v>3.0624018806381534</v>
      </c>
      <c r="T329" s="4">
        <f t="shared" ca="1" si="90"/>
        <v>5.1941934217832973E-9</v>
      </c>
      <c r="U329" s="46">
        <f t="shared" ca="1" si="91"/>
        <v>1366.7282638229713</v>
      </c>
      <c r="V329" s="4">
        <f t="shared" ca="1" si="92"/>
        <v>2.3181317260147646E-6</v>
      </c>
      <c r="W329" s="13">
        <f t="shared" ca="1" si="93"/>
        <v>625.71164123801225</v>
      </c>
      <c r="X329" s="4">
        <f t="shared" ca="1" si="94"/>
        <v>1.0612804646575171E-6</v>
      </c>
      <c r="AE329" s="4"/>
    </row>
    <row r="330" spans="1:31">
      <c r="A330">
        <v>2</v>
      </c>
      <c r="B330">
        <v>1</v>
      </c>
      <c r="C330">
        <f t="shared" si="76"/>
        <v>5</v>
      </c>
      <c r="D330">
        <f t="shared" si="77"/>
        <v>3</v>
      </c>
      <c r="E330">
        <f t="shared" si="78"/>
        <v>2</v>
      </c>
      <c r="F330" s="100">
        <f t="shared" ca="1" si="79"/>
        <v>3.4264999999999997E-2</v>
      </c>
      <c r="G330">
        <v>0</v>
      </c>
      <c r="H330">
        <v>0</v>
      </c>
      <c r="I330">
        <v>7</v>
      </c>
      <c r="J330" s="1">
        <f t="shared" ca="1" si="80"/>
        <v>0</v>
      </c>
      <c r="K330" s="1">
        <f t="shared" ca="1" si="81"/>
        <v>0</v>
      </c>
      <c r="L330" s="13">
        <f t="shared" ca="1" si="82"/>
        <v>91</v>
      </c>
      <c r="M330" s="7">
        <f t="shared" ca="1" si="83"/>
        <v>909</v>
      </c>
      <c r="N330" s="44">
        <f t="shared" ca="1" si="84"/>
        <v>12</v>
      </c>
      <c r="O330" s="94">
        <f t="shared" ca="1" si="85"/>
        <v>3.0624018806381534</v>
      </c>
      <c r="P330" s="94">
        <f t="shared" ca="1" si="86"/>
        <v>30.624018806381528</v>
      </c>
      <c r="Q330" s="94">
        <f t="shared" ca="1" si="87"/>
        <v>30.624018806381528</v>
      </c>
      <c r="R330" s="94">
        <f t="shared" ca="1" si="88"/>
        <v>3.062401880638153</v>
      </c>
      <c r="S330" s="94">
        <f t="shared" ca="1" si="89"/>
        <v>3.0624018806381534</v>
      </c>
      <c r="T330" s="4">
        <f t="shared" ca="1" si="90"/>
        <v>0</v>
      </c>
      <c r="U330" s="46">
        <f t="shared" ca="1" si="91"/>
        <v>1395.7282638229713</v>
      </c>
      <c r="V330" s="4">
        <f t="shared" ca="1" si="92"/>
        <v>0</v>
      </c>
      <c r="W330" s="13">
        <f t="shared" ca="1" si="93"/>
        <v>5843.715458328792</v>
      </c>
      <c r="X330" s="4">
        <f t="shared" ca="1" si="94"/>
        <v>0</v>
      </c>
      <c r="AE330" s="4"/>
    </row>
    <row r="331" spans="1:31">
      <c r="A331">
        <v>2</v>
      </c>
      <c r="B331">
        <v>1</v>
      </c>
      <c r="C331">
        <f t="shared" si="76"/>
        <v>5</v>
      </c>
      <c r="D331">
        <f t="shared" si="77"/>
        <v>3</v>
      </c>
      <c r="E331">
        <f t="shared" si="78"/>
        <v>2</v>
      </c>
      <c r="F331" s="100">
        <f t="shared" ca="1" si="79"/>
        <v>3.4264999999999997E-2</v>
      </c>
      <c r="G331">
        <v>0</v>
      </c>
      <c r="H331">
        <v>0</v>
      </c>
      <c r="I331">
        <v>6</v>
      </c>
      <c r="J331" s="1">
        <f t="shared" ca="1" si="80"/>
        <v>0</v>
      </c>
      <c r="K331" s="1">
        <f t="shared" ca="1" si="81"/>
        <v>0</v>
      </c>
      <c r="L331" s="13">
        <f t="shared" ca="1" si="82"/>
        <v>78</v>
      </c>
      <c r="M331" s="7">
        <f t="shared" ca="1" si="83"/>
        <v>922</v>
      </c>
      <c r="N331" s="44">
        <f t="shared" ca="1" si="84"/>
        <v>12</v>
      </c>
      <c r="O331" s="94">
        <f t="shared" ca="1" si="85"/>
        <v>3.0624018806381534</v>
      </c>
      <c r="P331" s="94">
        <f t="shared" ca="1" si="86"/>
        <v>30.624018806381528</v>
      </c>
      <c r="Q331" s="94">
        <f t="shared" ca="1" si="87"/>
        <v>30.624018806381528</v>
      </c>
      <c r="R331" s="94">
        <f t="shared" ca="1" si="88"/>
        <v>3.062401880638153</v>
      </c>
      <c r="S331" s="94">
        <f t="shared" ca="1" si="89"/>
        <v>3.0624018806381534</v>
      </c>
      <c r="T331" s="4">
        <f t="shared" ca="1" si="90"/>
        <v>0</v>
      </c>
      <c r="U331" s="46">
        <f t="shared" ca="1" si="91"/>
        <v>1382.7282638229713</v>
      </c>
      <c r="V331" s="4">
        <f t="shared" ca="1" si="92"/>
        <v>0</v>
      </c>
      <c r="W331" s="13">
        <f t="shared" ca="1" si="93"/>
        <v>5008.8989642818215</v>
      </c>
      <c r="X331" s="4">
        <f t="shared" ca="1" si="94"/>
        <v>0</v>
      </c>
      <c r="AE331" s="4"/>
    </row>
    <row r="332" spans="1:31">
      <c r="A332">
        <v>2</v>
      </c>
      <c r="B332">
        <v>1</v>
      </c>
      <c r="C332">
        <f t="shared" si="76"/>
        <v>5</v>
      </c>
      <c r="D332">
        <f t="shared" si="77"/>
        <v>3</v>
      </c>
      <c r="E332">
        <f t="shared" si="78"/>
        <v>2</v>
      </c>
      <c r="F332" s="100">
        <f t="shared" ca="1" si="79"/>
        <v>3.4264999999999997E-2</v>
      </c>
      <c r="G332">
        <v>0</v>
      </c>
      <c r="H332">
        <v>0</v>
      </c>
      <c r="I332">
        <v>5</v>
      </c>
      <c r="J332" s="1">
        <f t="shared" ca="1" si="80"/>
        <v>0</v>
      </c>
      <c r="K332" s="1">
        <f t="shared" ca="1" si="81"/>
        <v>0</v>
      </c>
      <c r="L332" s="13">
        <f t="shared" ca="1" si="82"/>
        <v>65</v>
      </c>
      <c r="M332" s="7">
        <f t="shared" ca="1" si="83"/>
        <v>935</v>
      </c>
      <c r="N332" s="44">
        <f t="shared" ca="1" si="84"/>
        <v>12</v>
      </c>
      <c r="O332" s="94">
        <f t="shared" ca="1" si="85"/>
        <v>3.0624018806381534</v>
      </c>
      <c r="P332" s="94">
        <f t="shared" ca="1" si="86"/>
        <v>30.624018806381528</v>
      </c>
      <c r="Q332" s="94">
        <f t="shared" ca="1" si="87"/>
        <v>30.624018806381528</v>
      </c>
      <c r="R332" s="94">
        <f t="shared" ca="1" si="88"/>
        <v>3.062401880638153</v>
      </c>
      <c r="S332" s="94">
        <f t="shared" ca="1" si="89"/>
        <v>3.0624018806381534</v>
      </c>
      <c r="T332" s="4">
        <f t="shared" ca="1" si="90"/>
        <v>0</v>
      </c>
      <c r="U332" s="46">
        <f t="shared" ca="1" si="91"/>
        <v>1369.7282638229713</v>
      </c>
      <c r="V332" s="4">
        <f t="shared" ca="1" si="92"/>
        <v>0</v>
      </c>
      <c r="W332" s="13">
        <f t="shared" ca="1" si="93"/>
        <v>4174.0824702348518</v>
      </c>
      <c r="X332" s="4">
        <f t="shared" ca="1" si="94"/>
        <v>0</v>
      </c>
      <c r="AE332" s="4"/>
    </row>
    <row r="333" spans="1:31">
      <c r="A333">
        <v>2</v>
      </c>
      <c r="B333">
        <v>1</v>
      </c>
      <c r="C333">
        <f t="shared" si="76"/>
        <v>5</v>
      </c>
      <c r="D333">
        <f t="shared" si="77"/>
        <v>3</v>
      </c>
      <c r="E333">
        <f t="shared" si="78"/>
        <v>2</v>
      </c>
      <c r="F333" s="100">
        <f t="shared" ca="1" si="79"/>
        <v>3.4264999999999997E-2</v>
      </c>
      <c r="G333">
        <v>0</v>
      </c>
      <c r="H333">
        <v>0</v>
      </c>
      <c r="I333">
        <v>4</v>
      </c>
      <c r="J333" s="1">
        <f t="shared" ca="1" si="80"/>
        <v>0</v>
      </c>
      <c r="K333" s="1">
        <f t="shared" ca="1" si="81"/>
        <v>0</v>
      </c>
      <c r="L333" s="13">
        <f t="shared" ca="1" si="82"/>
        <v>52</v>
      </c>
      <c r="M333" s="7">
        <f t="shared" ca="1" si="83"/>
        <v>948</v>
      </c>
      <c r="N333" s="44">
        <f t="shared" ca="1" si="84"/>
        <v>12</v>
      </c>
      <c r="O333" s="94">
        <f t="shared" ca="1" si="85"/>
        <v>3.0624018806381534</v>
      </c>
      <c r="P333" s="94">
        <f t="shared" ca="1" si="86"/>
        <v>30.624018806381528</v>
      </c>
      <c r="Q333" s="94">
        <f t="shared" ca="1" si="87"/>
        <v>30.624018806381528</v>
      </c>
      <c r="R333" s="94">
        <f t="shared" ca="1" si="88"/>
        <v>3.062401880638153</v>
      </c>
      <c r="S333" s="94">
        <f t="shared" ca="1" si="89"/>
        <v>3.0624018806381534</v>
      </c>
      <c r="T333" s="4">
        <f t="shared" ca="1" si="90"/>
        <v>0</v>
      </c>
      <c r="U333" s="46">
        <f t="shared" ca="1" si="91"/>
        <v>1356.7282638229713</v>
      </c>
      <c r="V333" s="4">
        <f t="shared" ca="1" si="92"/>
        <v>0</v>
      </c>
      <c r="W333" s="13">
        <f t="shared" ca="1" si="93"/>
        <v>3339.2659761878813</v>
      </c>
      <c r="X333" s="4">
        <f t="shared" ca="1" si="94"/>
        <v>0</v>
      </c>
      <c r="AE333" s="4"/>
    </row>
    <row r="334" spans="1:31">
      <c r="A334">
        <v>2</v>
      </c>
      <c r="B334">
        <v>1</v>
      </c>
      <c r="C334">
        <f t="shared" si="76"/>
        <v>5</v>
      </c>
      <c r="D334">
        <f t="shared" si="77"/>
        <v>3</v>
      </c>
      <c r="E334">
        <f t="shared" si="78"/>
        <v>2</v>
      </c>
      <c r="F334" s="100">
        <f t="shared" ca="1" si="79"/>
        <v>3.4264999999999997E-2</v>
      </c>
      <c r="G334">
        <v>0</v>
      </c>
      <c r="H334">
        <v>0</v>
      </c>
      <c r="I334">
        <v>3</v>
      </c>
      <c r="J334" s="1">
        <f t="shared" ca="1" si="80"/>
        <v>4.8514950000000037E-4</v>
      </c>
      <c r="K334" s="1">
        <f t="shared" ca="1" si="81"/>
        <v>1.6623647617500012E-5</v>
      </c>
      <c r="L334" s="13">
        <f t="shared" ca="1" si="82"/>
        <v>39</v>
      </c>
      <c r="M334" s="7">
        <f t="shared" ca="1" si="83"/>
        <v>961</v>
      </c>
      <c r="N334" s="44">
        <f t="shared" ca="1" si="84"/>
        <v>13</v>
      </c>
      <c r="O334" s="94">
        <f t="shared" ca="1" si="85"/>
        <v>3.2733204919050856</v>
      </c>
      <c r="P334" s="94">
        <f t="shared" ca="1" si="86"/>
        <v>30.624018806381528</v>
      </c>
      <c r="Q334" s="94">
        <f t="shared" ca="1" si="87"/>
        <v>30.624018806381528</v>
      </c>
      <c r="R334" s="94">
        <f t="shared" ca="1" si="88"/>
        <v>3.062401880638153</v>
      </c>
      <c r="S334" s="94">
        <f t="shared" ca="1" si="89"/>
        <v>3.2733204919050856</v>
      </c>
      <c r="T334" s="4">
        <f t="shared" ca="1" si="90"/>
        <v>5.4414526396571946E-5</v>
      </c>
      <c r="U334" s="46">
        <f t="shared" ca="1" si="91"/>
        <v>1420.9771208320408</v>
      </c>
      <c r="V334" s="4">
        <f t="shared" ca="1" si="92"/>
        <v>2.362182292924158E-2</v>
      </c>
      <c r="W334" s="13">
        <f t="shared" ca="1" si="93"/>
        <v>2504.4494821409107</v>
      </c>
      <c r="X334" s="4">
        <f t="shared" ca="1" si="94"/>
        <v>4.1633085666940892E-2</v>
      </c>
      <c r="AE334" s="4"/>
    </row>
    <row r="335" spans="1:31">
      <c r="A335">
        <v>2</v>
      </c>
      <c r="B335">
        <v>1</v>
      </c>
      <c r="C335">
        <f t="shared" si="76"/>
        <v>5</v>
      </c>
      <c r="D335">
        <f t="shared" si="77"/>
        <v>3</v>
      </c>
      <c r="E335">
        <f t="shared" si="78"/>
        <v>2</v>
      </c>
      <c r="F335" s="100">
        <f t="shared" ca="1" si="79"/>
        <v>3.4264999999999997E-2</v>
      </c>
      <c r="G335">
        <v>0</v>
      </c>
      <c r="H335">
        <v>0</v>
      </c>
      <c r="I335">
        <v>2</v>
      </c>
      <c r="J335" s="1">
        <f t="shared" ca="1" si="80"/>
        <v>1.4701500000000025E-5</v>
      </c>
      <c r="K335" s="1">
        <f t="shared" ca="1" si="81"/>
        <v>5.0374689750000081E-7</v>
      </c>
      <c r="L335" s="13">
        <f t="shared" ca="1" si="82"/>
        <v>26</v>
      </c>
      <c r="M335" s="7">
        <f t="shared" ca="1" si="83"/>
        <v>974</v>
      </c>
      <c r="N335" s="44">
        <f t="shared" ca="1" si="84"/>
        <v>13</v>
      </c>
      <c r="O335" s="94">
        <f t="shared" ca="1" si="85"/>
        <v>3.2733204919050856</v>
      </c>
      <c r="P335" s="94">
        <f t="shared" ca="1" si="86"/>
        <v>32.733204919050856</v>
      </c>
      <c r="Q335" s="94">
        <f t="shared" ca="1" si="87"/>
        <v>31.256774640182325</v>
      </c>
      <c r="R335" s="94">
        <f t="shared" ca="1" si="88"/>
        <v>3.1994989779616589</v>
      </c>
      <c r="S335" s="94">
        <f t="shared" ca="1" si="89"/>
        <v>3.2733204919050856</v>
      </c>
      <c r="T335" s="4">
        <f t="shared" ca="1" si="90"/>
        <v>1.6489250423203633E-6</v>
      </c>
      <c r="U335" s="46">
        <f t="shared" ca="1" si="91"/>
        <v>1407.9771208320408</v>
      </c>
      <c r="V335" s="4">
        <f t="shared" ca="1" si="92"/>
        <v>7.0926410637012433E-4</v>
      </c>
      <c r="W335" s="13">
        <f t="shared" ca="1" si="93"/>
        <v>1669.6329880939406</v>
      </c>
      <c r="X335" s="4">
        <f t="shared" ca="1" si="94"/>
        <v>8.4107243771597837E-4</v>
      </c>
      <c r="AE335" s="4"/>
    </row>
    <row r="336" spans="1:31">
      <c r="A336">
        <v>2</v>
      </c>
      <c r="B336">
        <v>1</v>
      </c>
      <c r="C336">
        <f t="shared" si="76"/>
        <v>5</v>
      </c>
      <c r="D336">
        <f t="shared" si="77"/>
        <v>3</v>
      </c>
      <c r="E336">
        <f t="shared" si="78"/>
        <v>2</v>
      </c>
      <c r="F336" s="100">
        <f t="shared" ca="1" si="79"/>
        <v>3.4264999999999997E-2</v>
      </c>
      <c r="G336">
        <v>0</v>
      </c>
      <c r="H336">
        <v>0</v>
      </c>
      <c r="I336">
        <v>1</v>
      </c>
      <c r="J336" s="1">
        <f t="shared" ca="1" si="80"/>
        <v>1.4850000000000041E-7</v>
      </c>
      <c r="K336" s="1">
        <f t="shared" ca="1" si="81"/>
        <v>5.0883525000000137E-9</v>
      </c>
      <c r="L336" s="13">
        <f t="shared" ca="1" si="82"/>
        <v>13</v>
      </c>
      <c r="M336" s="7">
        <f t="shared" ca="1" si="83"/>
        <v>987</v>
      </c>
      <c r="N336" s="44">
        <f t="shared" ca="1" si="84"/>
        <v>13</v>
      </c>
      <c r="O336" s="94">
        <f t="shared" ca="1" si="85"/>
        <v>3.2733204919050856</v>
      </c>
      <c r="P336" s="94">
        <f t="shared" ca="1" si="86"/>
        <v>32.733204919050856</v>
      </c>
      <c r="Q336" s="94">
        <f t="shared" ca="1" si="87"/>
        <v>32.733204919050856</v>
      </c>
      <c r="R336" s="94">
        <f t="shared" ca="1" si="88"/>
        <v>3.2733204919050856</v>
      </c>
      <c r="S336" s="94">
        <f t="shared" ca="1" si="89"/>
        <v>3.2733204919050856</v>
      </c>
      <c r="T336" s="4">
        <f t="shared" ca="1" si="90"/>
        <v>1.6655808508286517E-8</v>
      </c>
      <c r="U336" s="46">
        <f t="shared" ca="1" si="91"/>
        <v>1394.9771208320408</v>
      </c>
      <c r="V336" s="4">
        <f t="shared" ca="1" si="92"/>
        <v>7.0981353202285363E-6</v>
      </c>
      <c r="W336" s="13">
        <f t="shared" ca="1" si="93"/>
        <v>834.81649404697032</v>
      </c>
      <c r="X336" s="4">
        <f t="shared" ca="1" si="94"/>
        <v>4.2478405945251476E-6</v>
      </c>
      <c r="AE336" s="4"/>
    </row>
    <row r="337" spans="1:31">
      <c r="A337">
        <v>2</v>
      </c>
      <c r="B337">
        <v>1</v>
      </c>
      <c r="C337">
        <f t="shared" si="76"/>
        <v>5</v>
      </c>
      <c r="D337">
        <f t="shared" si="77"/>
        <v>3</v>
      </c>
      <c r="E337">
        <f t="shared" si="78"/>
        <v>2</v>
      </c>
      <c r="F337" s="100">
        <f t="shared" ca="1" si="79"/>
        <v>3.4264999999999997E-2</v>
      </c>
      <c r="G337">
        <v>0</v>
      </c>
      <c r="H337">
        <v>0</v>
      </c>
      <c r="I337">
        <v>0</v>
      </c>
      <c r="J337" s="1">
        <f t="shared" ca="1" si="80"/>
        <v>5.0000000000000179E-10</v>
      </c>
      <c r="K337" s="1">
        <f t="shared" ca="1" si="81"/>
        <v>1.713250000000006E-11</v>
      </c>
      <c r="L337" s="13">
        <f t="shared" ca="1" si="82"/>
        <v>0</v>
      </c>
      <c r="M337" s="7">
        <f t="shared" ca="1" si="83"/>
        <v>1000</v>
      </c>
      <c r="N337" s="44">
        <f t="shared" ca="1" si="84"/>
        <v>13</v>
      </c>
      <c r="O337" s="94">
        <f t="shared" ca="1" si="85"/>
        <v>3.2733204919050856</v>
      </c>
      <c r="P337" s="94">
        <f t="shared" ca="1" si="86"/>
        <v>32.733204919050856</v>
      </c>
      <c r="Q337" s="94">
        <f t="shared" ca="1" si="87"/>
        <v>32.733204919050856</v>
      </c>
      <c r="R337" s="94">
        <f t="shared" ca="1" si="88"/>
        <v>3.2733204919050856</v>
      </c>
      <c r="S337" s="94">
        <f t="shared" ca="1" si="89"/>
        <v>3.2733204919050856</v>
      </c>
      <c r="T337" s="4">
        <f t="shared" ca="1" si="90"/>
        <v>5.6080163327564077E-11</v>
      </c>
      <c r="U337" s="46">
        <f t="shared" ca="1" si="91"/>
        <v>1381.9771208320408</v>
      </c>
      <c r="V337" s="4">
        <f t="shared" ca="1" si="92"/>
        <v>2.3676723022655023E-8</v>
      </c>
      <c r="W337" s="13">
        <f t="shared" ca="1" si="93"/>
        <v>0</v>
      </c>
      <c r="X337" s="4">
        <f t="shared" ca="1" si="94"/>
        <v>0</v>
      </c>
      <c r="AE337" s="4"/>
    </row>
    <row r="338" spans="1:31">
      <c r="A338">
        <v>2</v>
      </c>
      <c r="B338">
        <v>2</v>
      </c>
      <c r="C338">
        <f t="shared" ref="C338:C401" si="95">MIN(8, 1+$B$10+$B$9+A338+B338)</f>
        <v>6</v>
      </c>
      <c r="D338">
        <f t="shared" ref="D338:D401" si="96">C338-(1+$B$10)</f>
        <v>4</v>
      </c>
      <c r="E338">
        <f t="shared" ref="E338:E401" si="97">MIN(A338, C338-(1+$B$10+$B$9))</f>
        <v>2</v>
      </c>
      <c r="F338" s="100">
        <f t="shared" ref="F338:F401" ca="1" si="98">IF(A338=3, Set1QA, IF(A338=2, (1-Set1QA)*Set1TA + (1-Set1QA)*(1-Set1TA)*(1-Set1DA)*Set1AM3*Set1AM33, IF(A338=1, (1-Set1QA)*(1-Set1TA)*Set1DA + (1-Set1QA)*(1-Set1TA)*(1-Set1DA)*Set1AM3*Set1AM32, (1-Set1QA)*(1-Set1TA)*(1-Set1DA)*(1-Set1AM3)))) * IF($B$9+$B$10&gt;0, IF(B338=3, Set1QA, IF(B338=2, (1-Set1QA)*Set1TA, IF(B338=1, (1-Set1QA)*(1-Set1TA)*Set1DA, (1-Set1QA)*(1-Set1TA)*(1-Set1DA)))), IF(B338=0, 1, 0))</f>
        <v>1.21E-2</v>
      </c>
      <c r="G338">
        <v>1</v>
      </c>
      <c r="H338">
        <v>1</v>
      </c>
      <c r="I338">
        <v>7</v>
      </c>
      <c r="J338" s="1">
        <f t="shared" ref="J338:J401" ca="1" si="99">POWER(95%,G338)*POWER(5%, 1-G338) * IF($B$10=0, IF(H338=0, 1, 0), POWER(Set1WSHitRate,H338)*POWER(1-Set1WSHitRate, 1-H338)) * IF(I338&lt;=D338, POWER(Set1WSHitRate, I338)*POWER(1-Set1WSHitRate, D338-I338)*COMBIN(D338,I338), 0)</f>
        <v>0</v>
      </c>
      <c r="K338" s="1">
        <f t="shared" ref="K338:K401" ca="1" si="100">F338*J338</f>
        <v>0</v>
      </c>
      <c r="L338" s="13">
        <f t="shared" ref="L338:L401" ca="1" si="101">MAX((G338+H338)*Set1WSTP + I338*$B$6, Set1SaveTP)</f>
        <v>215</v>
      </c>
      <c r="M338" s="7">
        <f t="shared" ref="M338:M401" ca="1" si="102">MAX(Set1MinTP-(L338+Set1Regain), 0)</f>
        <v>785</v>
      </c>
      <c r="N338" s="44">
        <f t="shared" ref="N338:N401" ca="1" si="103">CEILING(M338/Set1MeleeTP, 1)</f>
        <v>10</v>
      </c>
      <c r="O338" s="94">
        <f t="shared" ref="O338:O401" ca="1" si="104">VLOOKUP(N338,AvgRoundsSet1,2)</f>
        <v>2.5999636871582168</v>
      </c>
      <c r="P338" s="94">
        <f t="shared" ref="P338:P401" ca="1" si="105">VLOOKUP(CEILING(MAX(M338-1, 0)/Set1MeleeTP, 1), AvgRoundsSet1, 2) + VLOOKUP(CEILING(MAX(M338-2, 0)/Set1MeleeTP, 1), AvgRoundsSet1, 2) + VLOOKUP(CEILING(MAX(M338-3, 0)/Set1MeleeTP, 1), AvgRoundsSet1, 2) + VLOOKUP(CEILING(MAX(M338-4, 0)/Set1MeleeTP, 1), AvgRoundsSet1, 2) + VLOOKUP(CEILING(MAX(M338-5, 0)/Set1MeleeTP, 1), AvgRoundsSet1, 2) + VLOOKUP(CEILING(MAX(M338-6, 0)/Set1MeleeTP, 1), AvgRoundsSet1, 2) + VLOOKUP(CEILING(MAX(M338-7, 0)/Set1MeleeTP, 1), AvgRoundsSet1, 2) + VLOOKUP(CEILING(MAX(M338-8, 0)/Set1MeleeTP, 1), AvgRoundsSet1, 2) + VLOOKUP(CEILING(MAX(M338-9, 0)/Set1MeleeTP, 1), AvgRoundsSet1, 2) + VLOOKUP(CEILING(MAX(M338-10, 0)/Set1MeleeTP, 1), AvgRoundsSet1, 2)</f>
        <v>25.999636871582165</v>
      </c>
      <c r="Q338" s="94">
        <f t="shared" ref="Q338:Q401" ca="1" si="106">VLOOKUP(CEILING(MAX(M338-11, 0)/Set1MeleeTP, 1), AvgRoundsSet1, 2) + VLOOKUP(CEILING(MAX(M338-12, 0)/Set1MeleeTP, 1), AvgRoundsSet1, 2) + VLOOKUP(CEILING(MAX(M338-13, 0)/Set1MeleeTP, 1), AvgRoundsSet1, 2) + VLOOKUP(CEILING(MAX(M338-14, 0)/Set1MeleeTP, 1), AvgRoundsSet1, 2) + VLOOKUP(CEILING(MAX(M338-15, 0)/Set1MeleeTP, 1), AvgRoundsSet1, 2) + VLOOKUP(CEILING(MAX(M338-16, 0)/Set1MeleeTP, 1), AvgRoundsSet1, 2) + VLOOKUP(CEILING(MAX(M338-17, 0)/Set1MeleeTP, 1), AvgRoundsSet1, 2) + VLOOKUP(CEILING(MAX(M338-18, 0)/Set1MeleeTP, 1), AvgRoundsSet1, 2) + VLOOKUP(CEILING(MAX(M338-19, 0)/Set1MeleeTP, 1), AvgRoundsSet1, 2) + VLOOKUP(CEILING(MAX(M338-20, 0)/Set1MeleeTP, 1), AvgRoundsSet1, 2)</f>
        <v>25.999636871582165</v>
      </c>
      <c r="R338" s="94">
        <f t="shared" ref="R338:R401" ca="1" si="107">(P338+Q338)/20</f>
        <v>2.5999636871582164</v>
      </c>
      <c r="S338" s="94">
        <f t="shared" ref="S338:S401" ca="1" si="108">R338*Set1ConserveTP + O338*(1-Set1ConserveTP)</f>
        <v>2.5999636871582168</v>
      </c>
      <c r="T338" s="4">
        <f t="shared" ref="T338:T401" ca="1" si="109">K338*S338</f>
        <v>0</v>
      </c>
      <c r="U338" s="46">
        <f t="shared" ref="U338:U401" ca="1" si="110">MIN(L338+(S338+Set1OverTP)*AvgHitsPerRound1*Set1MeleeTP + Set1Regain + 10.5*Set1ConserveTP, 3000)</f>
        <v>1350.360460436222</v>
      </c>
      <c r="V338" s="4">
        <f t="shared" ref="V338:V401" ca="1" si="111">U338*K338</f>
        <v>0</v>
      </c>
      <c r="W338" s="13">
        <f t="shared" ref="W338:W401" ca="1" si="112">G338*$K$10*((1-$L$10)*$L$14 + $L$10*$M$14*$M$10)*Set1WSDmg + H338*$K$13*((1-$L$13)*$L$15 + $L$13*$M$15*$M$11) + I338*$K$11*((1-$L$11)*$L$14 + $L$11*$M$14*$M$11) + E338*$K$12*$L$12*$M$10</f>
        <v>12313.142557895597</v>
      </c>
      <c r="X338" s="4">
        <f t="shared" ref="X338:X401" ca="1" si="113">K338*W338</f>
        <v>0</v>
      </c>
      <c r="AE338" s="4"/>
    </row>
    <row r="339" spans="1:31">
      <c r="A339">
        <v>2</v>
      </c>
      <c r="B339">
        <v>2</v>
      </c>
      <c r="C339">
        <f t="shared" si="95"/>
        <v>6</v>
      </c>
      <c r="D339">
        <f t="shared" si="96"/>
        <v>4</v>
      </c>
      <c r="E339">
        <f t="shared" si="97"/>
        <v>2</v>
      </c>
      <c r="F339" s="100">
        <f t="shared" ca="1" si="98"/>
        <v>1.21E-2</v>
      </c>
      <c r="G339">
        <v>1</v>
      </c>
      <c r="H339">
        <v>1</v>
      </c>
      <c r="I339">
        <v>6</v>
      </c>
      <c r="J339" s="1">
        <f t="shared" ca="1" si="99"/>
        <v>0</v>
      </c>
      <c r="K339" s="1">
        <f t="shared" ca="1" si="100"/>
        <v>0</v>
      </c>
      <c r="L339" s="13">
        <f t="shared" ca="1" si="101"/>
        <v>202</v>
      </c>
      <c r="M339" s="7">
        <f t="shared" ca="1" si="102"/>
        <v>798</v>
      </c>
      <c r="N339" s="44">
        <f t="shared" ca="1" si="103"/>
        <v>10</v>
      </c>
      <c r="O339" s="94">
        <f t="shared" ca="1" si="104"/>
        <v>2.5999636871582168</v>
      </c>
      <c r="P339" s="94">
        <f t="shared" ca="1" si="105"/>
        <v>25.999636871582165</v>
      </c>
      <c r="Q339" s="94">
        <f t="shared" ca="1" si="106"/>
        <v>25.999636871582165</v>
      </c>
      <c r="R339" s="94">
        <f t="shared" ca="1" si="107"/>
        <v>2.5999636871582164</v>
      </c>
      <c r="S339" s="94">
        <f t="shared" ca="1" si="108"/>
        <v>2.5999636871582168</v>
      </c>
      <c r="T339" s="4">
        <f t="shared" ca="1" si="109"/>
        <v>0</v>
      </c>
      <c r="U339" s="46">
        <f t="shared" ca="1" si="110"/>
        <v>1337.360460436222</v>
      </c>
      <c r="V339" s="4">
        <f t="shared" ca="1" si="111"/>
        <v>0</v>
      </c>
      <c r="W339" s="13">
        <f t="shared" ca="1" si="112"/>
        <v>11478.326063848626</v>
      </c>
      <c r="X339" s="4">
        <f t="shared" ca="1" si="113"/>
        <v>0</v>
      </c>
      <c r="AE339" s="4"/>
    </row>
    <row r="340" spans="1:31">
      <c r="A340">
        <v>2</v>
      </c>
      <c r="B340">
        <v>2</v>
      </c>
      <c r="C340">
        <f t="shared" si="95"/>
        <v>6</v>
      </c>
      <c r="D340">
        <f t="shared" si="96"/>
        <v>4</v>
      </c>
      <c r="E340">
        <f t="shared" si="97"/>
        <v>2</v>
      </c>
      <c r="F340" s="100">
        <f t="shared" ca="1" si="98"/>
        <v>1.21E-2</v>
      </c>
      <c r="G340">
        <v>1</v>
      </c>
      <c r="H340">
        <v>1</v>
      </c>
      <c r="I340">
        <v>5</v>
      </c>
      <c r="J340" s="1">
        <f t="shared" ca="1" si="99"/>
        <v>0</v>
      </c>
      <c r="K340" s="1">
        <f t="shared" ca="1" si="100"/>
        <v>0</v>
      </c>
      <c r="L340" s="13">
        <f t="shared" ca="1" si="101"/>
        <v>189</v>
      </c>
      <c r="M340" s="7">
        <f t="shared" ca="1" si="102"/>
        <v>811</v>
      </c>
      <c r="N340" s="44">
        <f t="shared" ca="1" si="103"/>
        <v>11</v>
      </c>
      <c r="O340" s="94">
        <f t="shared" ca="1" si="104"/>
        <v>2.8397004155948178</v>
      </c>
      <c r="P340" s="94">
        <f t="shared" ca="1" si="105"/>
        <v>28.397004155948181</v>
      </c>
      <c r="Q340" s="94">
        <f t="shared" ca="1" si="106"/>
        <v>25.999636871582165</v>
      </c>
      <c r="R340" s="94">
        <f t="shared" ca="1" si="107"/>
        <v>2.7198320513765175</v>
      </c>
      <c r="S340" s="94">
        <f t="shared" ca="1" si="108"/>
        <v>2.8397004155948178</v>
      </c>
      <c r="T340" s="4">
        <f t="shared" ca="1" si="109"/>
        <v>0</v>
      </c>
      <c r="U340" s="46">
        <f t="shared" ca="1" si="110"/>
        <v>1412.1639413314356</v>
      </c>
      <c r="V340" s="4">
        <f t="shared" ca="1" si="111"/>
        <v>0</v>
      </c>
      <c r="W340" s="13">
        <f t="shared" ca="1" si="112"/>
        <v>10643.509569801656</v>
      </c>
      <c r="X340" s="4">
        <f t="shared" ca="1" si="113"/>
        <v>0</v>
      </c>
      <c r="AE340" s="4"/>
    </row>
    <row r="341" spans="1:31">
      <c r="A341">
        <v>2</v>
      </c>
      <c r="B341">
        <v>2</v>
      </c>
      <c r="C341">
        <f t="shared" si="95"/>
        <v>6</v>
      </c>
      <c r="D341">
        <f t="shared" si="96"/>
        <v>4</v>
      </c>
      <c r="E341">
        <f t="shared" si="97"/>
        <v>2</v>
      </c>
      <c r="F341" s="100">
        <f t="shared" ca="1" si="98"/>
        <v>1.21E-2</v>
      </c>
      <c r="G341">
        <v>1</v>
      </c>
      <c r="H341">
        <v>1</v>
      </c>
      <c r="I341">
        <v>4</v>
      </c>
      <c r="J341" s="1">
        <f t="shared" ca="1" si="99"/>
        <v>0.90344054740499991</v>
      </c>
      <c r="K341" s="1">
        <f t="shared" ca="1" si="100"/>
        <v>1.0931630623600499E-2</v>
      </c>
      <c r="L341" s="13">
        <f t="shared" ca="1" si="101"/>
        <v>176</v>
      </c>
      <c r="M341" s="7">
        <f t="shared" ca="1" si="102"/>
        <v>824</v>
      </c>
      <c r="N341" s="44">
        <f t="shared" ca="1" si="103"/>
        <v>11</v>
      </c>
      <c r="O341" s="94">
        <f t="shared" ca="1" si="104"/>
        <v>2.8397004155948178</v>
      </c>
      <c r="P341" s="94">
        <f t="shared" ca="1" si="105"/>
        <v>28.397004155948181</v>
      </c>
      <c r="Q341" s="94">
        <f t="shared" ca="1" si="106"/>
        <v>28.397004155948181</v>
      </c>
      <c r="R341" s="94">
        <f t="shared" ca="1" si="107"/>
        <v>2.8397004155948182</v>
      </c>
      <c r="S341" s="94">
        <f t="shared" ca="1" si="108"/>
        <v>2.8397004155948178</v>
      </c>
      <c r="T341" s="4">
        <f t="shared" ca="1" si="109"/>
        <v>3.1042556024967374E-2</v>
      </c>
      <c r="U341" s="46">
        <f t="shared" ca="1" si="110"/>
        <v>1399.1639413314356</v>
      </c>
      <c r="V341" s="4">
        <f t="shared" ca="1" si="111"/>
        <v>15.295143388496292</v>
      </c>
      <c r="W341" s="13">
        <f t="shared" ca="1" si="112"/>
        <v>9808.693075754687</v>
      </c>
      <c r="X341" s="4">
        <f t="shared" ca="1" si="113"/>
        <v>107.2250096044181</v>
      </c>
      <c r="AE341" s="4"/>
    </row>
    <row r="342" spans="1:31">
      <c r="A342">
        <v>2</v>
      </c>
      <c r="B342">
        <v>2</v>
      </c>
      <c r="C342">
        <f t="shared" si="95"/>
        <v>6</v>
      </c>
      <c r="D342">
        <f t="shared" si="96"/>
        <v>4</v>
      </c>
      <c r="E342">
        <f t="shared" si="97"/>
        <v>2</v>
      </c>
      <c r="F342" s="100">
        <f t="shared" ca="1" si="98"/>
        <v>1.21E-2</v>
      </c>
      <c r="G342">
        <v>1</v>
      </c>
      <c r="H342">
        <v>1</v>
      </c>
      <c r="I342">
        <v>3</v>
      </c>
      <c r="J342" s="1">
        <f t="shared" ca="1" si="99"/>
        <v>3.650264838000003E-2</v>
      </c>
      <c r="K342" s="1">
        <f t="shared" ca="1" si="100"/>
        <v>4.4168204539800035E-4</v>
      </c>
      <c r="L342" s="13">
        <f t="shared" ca="1" si="101"/>
        <v>163</v>
      </c>
      <c r="M342" s="7">
        <f t="shared" ca="1" si="102"/>
        <v>837</v>
      </c>
      <c r="N342" s="44">
        <f t="shared" ca="1" si="103"/>
        <v>11</v>
      </c>
      <c r="O342" s="94">
        <f t="shared" ca="1" si="104"/>
        <v>2.8397004155948178</v>
      </c>
      <c r="P342" s="94">
        <f t="shared" ca="1" si="105"/>
        <v>28.397004155948181</v>
      </c>
      <c r="Q342" s="94">
        <f t="shared" ca="1" si="106"/>
        <v>28.397004155948181</v>
      </c>
      <c r="R342" s="94">
        <f t="shared" ca="1" si="107"/>
        <v>2.8397004155948182</v>
      </c>
      <c r="S342" s="94">
        <f t="shared" ca="1" si="108"/>
        <v>2.8397004155948178</v>
      </c>
      <c r="T342" s="4">
        <f t="shared" ca="1" si="109"/>
        <v>1.2542446878774708E-3</v>
      </c>
      <c r="U342" s="46">
        <f t="shared" ca="1" si="110"/>
        <v>1386.1639413314356</v>
      </c>
      <c r="V342" s="4">
        <f t="shared" ca="1" si="111"/>
        <v>0.61224372486422218</v>
      </c>
      <c r="W342" s="13">
        <f t="shared" ca="1" si="112"/>
        <v>8973.8765817077146</v>
      </c>
      <c r="X342" s="4">
        <f t="shared" ca="1" si="113"/>
        <v>3.9636001637578788</v>
      </c>
      <c r="AE342" s="4"/>
    </row>
    <row r="343" spans="1:31">
      <c r="A343">
        <v>2</v>
      </c>
      <c r="B343">
        <v>2</v>
      </c>
      <c r="C343">
        <f t="shared" si="95"/>
        <v>6</v>
      </c>
      <c r="D343">
        <f t="shared" si="96"/>
        <v>4</v>
      </c>
      <c r="E343">
        <f t="shared" si="97"/>
        <v>2</v>
      </c>
      <c r="F343" s="100">
        <f t="shared" ca="1" si="98"/>
        <v>1.21E-2</v>
      </c>
      <c r="G343">
        <v>1</v>
      </c>
      <c r="H343">
        <v>1</v>
      </c>
      <c r="I343">
        <v>2</v>
      </c>
      <c r="J343" s="1">
        <f t="shared" ca="1" si="99"/>
        <v>5.5307043000000101E-4</v>
      </c>
      <c r="K343" s="1">
        <f t="shared" ca="1" si="100"/>
        <v>6.6921522030000123E-6</v>
      </c>
      <c r="L343" s="13">
        <f t="shared" ca="1" si="101"/>
        <v>150</v>
      </c>
      <c r="M343" s="7">
        <f t="shared" ca="1" si="102"/>
        <v>850</v>
      </c>
      <c r="N343" s="44">
        <f t="shared" ca="1" si="103"/>
        <v>11</v>
      </c>
      <c r="O343" s="94">
        <f t="shared" ca="1" si="104"/>
        <v>2.8397004155948178</v>
      </c>
      <c r="P343" s="94">
        <f t="shared" ca="1" si="105"/>
        <v>28.397004155948181</v>
      </c>
      <c r="Q343" s="94">
        <f t="shared" ca="1" si="106"/>
        <v>28.397004155948181</v>
      </c>
      <c r="R343" s="94">
        <f t="shared" ca="1" si="107"/>
        <v>2.8397004155948182</v>
      </c>
      <c r="S343" s="94">
        <f t="shared" ca="1" si="108"/>
        <v>2.8397004155948178</v>
      </c>
      <c r="T343" s="4">
        <f t="shared" ca="1" si="109"/>
        <v>1.900370739208291E-5</v>
      </c>
      <c r="U343" s="46">
        <f t="shared" ca="1" si="110"/>
        <v>1373.1639413314356</v>
      </c>
      <c r="V343" s="4">
        <f t="shared" ca="1" si="111"/>
        <v>9.1894220950613469E-3</v>
      </c>
      <c r="W343" s="13">
        <f t="shared" ca="1" si="112"/>
        <v>8139.0600876607459</v>
      </c>
      <c r="X343" s="4">
        <f t="shared" ca="1" si="113"/>
        <v>5.4467828895988335E-2</v>
      </c>
      <c r="AE343" s="4"/>
    </row>
    <row r="344" spans="1:31">
      <c r="A344">
        <v>2</v>
      </c>
      <c r="B344">
        <v>2</v>
      </c>
      <c r="C344">
        <f t="shared" si="95"/>
        <v>6</v>
      </c>
      <c r="D344">
        <f t="shared" si="96"/>
        <v>4</v>
      </c>
      <c r="E344">
        <f t="shared" si="97"/>
        <v>2</v>
      </c>
      <c r="F344" s="100">
        <f t="shared" ca="1" si="98"/>
        <v>1.21E-2</v>
      </c>
      <c r="G344">
        <v>1</v>
      </c>
      <c r="H344">
        <v>1</v>
      </c>
      <c r="I344">
        <v>1</v>
      </c>
      <c r="J344" s="1">
        <f t="shared" ca="1" si="99"/>
        <v>3.7243800000000099E-6</v>
      </c>
      <c r="K344" s="1">
        <f t="shared" ca="1" si="100"/>
        <v>4.5064998000000119E-8</v>
      </c>
      <c r="L344" s="13">
        <f t="shared" ca="1" si="101"/>
        <v>137</v>
      </c>
      <c r="M344" s="7">
        <f t="shared" ca="1" si="102"/>
        <v>863</v>
      </c>
      <c r="N344" s="44">
        <f t="shared" ca="1" si="103"/>
        <v>11</v>
      </c>
      <c r="O344" s="94">
        <f t="shared" ca="1" si="104"/>
        <v>2.8397004155948178</v>
      </c>
      <c r="P344" s="94">
        <f t="shared" ca="1" si="105"/>
        <v>28.397004155948181</v>
      </c>
      <c r="Q344" s="94">
        <f t="shared" ca="1" si="106"/>
        <v>28.397004155948181</v>
      </c>
      <c r="R344" s="94">
        <f t="shared" ca="1" si="107"/>
        <v>2.8397004155948182</v>
      </c>
      <c r="S344" s="94">
        <f t="shared" ca="1" si="108"/>
        <v>2.8397004155948178</v>
      </c>
      <c r="T344" s="4">
        <f t="shared" ca="1" si="109"/>
        <v>1.2797109354937998E-7</v>
      </c>
      <c r="U344" s="46">
        <f t="shared" ca="1" si="110"/>
        <v>1360.1639413314356</v>
      </c>
      <c r="V344" s="4">
        <f t="shared" ca="1" si="111"/>
        <v>6.1295785295773425E-5</v>
      </c>
      <c r="W344" s="13">
        <f t="shared" ca="1" si="112"/>
        <v>7304.2435936137754</v>
      </c>
      <c r="X344" s="4">
        <f t="shared" ca="1" si="113"/>
        <v>3.2916572293771845E-4</v>
      </c>
      <c r="AE344" s="4"/>
    </row>
    <row r="345" spans="1:31">
      <c r="A345">
        <v>2</v>
      </c>
      <c r="B345">
        <v>2</v>
      </c>
      <c r="C345">
        <f t="shared" si="95"/>
        <v>6</v>
      </c>
      <c r="D345">
        <f t="shared" si="96"/>
        <v>4</v>
      </c>
      <c r="E345">
        <f t="shared" si="97"/>
        <v>2</v>
      </c>
      <c r="F345" s="100">
        <f t="shared" ca="1" si="98"/>
        <v>1.21E-2</v>
      </c>
      <c r="G345">
        <v>1</v>
      </c>
      <c r="H345">
        <v>1</v>
      </c>
      <c r="I345">
        <v>0</v>
      </c>
      <c r="J345" s="1">
        <f t="shared" ca="1" si="99"/>
        <v>9.4050000000000352E-9</v>
      </c>
      <c r="K345" s="1">
        <f t="shared" ca="1" si="100"/>
        <v>1.1380050000000043E-10</v>
      </c>
      <c r="L345" s="13">
        <f t="shared" ca="1" si="101"/>
        <v>124</v>
      </c>
      <c r="M345" s="7">
        <f t="shared" ca="1" si="102"/>
        <v>876</v>
      </c>
      <c r="N345" s="44">
        <f t="shared" ca="1" si="103"/>
        <v>11</v>
      </c>
      <c r="O345" s="94">
        <f t="shared" ca="1" si="104"/>
        <v>2.8397004155948178</v>
      </c>
      <c r="P345" s="94">
        <f t="shared" ca="1" si="105"/>
        <v>28.397004155948181</v>
      </c>
      <c r="Q345" s="94">
        <f t="shared" ca="1" si="106"/>
        <v>28.397004155948181</v>
      </c>
      <c r="R345" s="94">
        <f t="shared" ca="1" si="107"/>
        <v>2.8397004155948182</v>
      </c>
      <c r="S345" s="94">
        <f t="shared" ca="1" si="108"/>
        <v>2.8397004155948178</v>
      </c>
      <c r="T345" s="4">
        <f t="shared" ca="1" si="109"/>
        <v>3.2315932714489927E-10</v>
      </c>
      <c r="U345" s="46">
        <f t="shared" ca="1" si="110"/>
        <v>1347.1639413314356</v>
      </c>
      <c r="V345" s="4">
        <f t="shared" ca="1" si="111"/>
        <v>1.5330793010548861E-7</v>
      </c>
      <c r="W345" s="13">
        <f t="shared" ca="1" si="112"/>
        <v>6469.4270995668048</v>
      </c>
      <c r="X345" s="4">
        <f t="shared" ca="1" si="113"/>
        <v>7.3622403864425495E-7</v>
      </c>
      <c r="AE345" s="4"/>
    </row>
    <row r="346" spans="1:31">
      <c r="A346">
        <v>2</v>
      </c>
      <c r="B346">
        <v>2</v>
      </c>
      <c r="C346">
        <f t="shared" si="95"/>
        <v>6</v>
      </c>
      <c r="D346">
        <f t="shared" si="96"/>
        <v>4</v>
      </c>
      <c r="E346">
        <f t="shared" si="97"/>
        <v>2</v>
      </c>
      <c r="F346" s="100">
        <f t="shared" ca="1" si="98"/>
        <v>1.21E-2</v>
      </c>
      <c r="G346">
        <v>1</v>
      </c>
      <c r="H346">
        <v>0</v>
      </c>
      <c r="I346">
        <v>7</v>
      </c>
      <c r="J346" s="1">
        <f t="shared" ca="1" si="99"/>
        <v>0</v>
      </c>
      <c r="K346" s="1">
        <f t="shared" ca="1" si="100"/>
        <v>0</v>
      </c>
      <c r="L346" s="13">
        <f t="shared" ca="1" si="101"/>
        <v>153</v>
      </c>
      <c r="M346" s="7">
        <f t="shared" ca="1" si="102"/>
        <v>847</v>
      </c>
      <c r="N346" s="44">
        <f t="shared" ca="1" si="103"/>
        <v>11</v>
      </c>
      <c r="O346" s="94">
        <f t="shared" ca="1" si="104"/>
        <v>2.8397004155948178</v>
      </c>
      <c r="P346" s="94">
        <f t="shared" ca="1" si="105"/>
        <v>28.397004155948181</v>
      </c>
      <c r="Q346" s="94">
        <f t="shared" ca="1" si="106"/>
        <v>28.397004155948181</v>
      </c>
      <c r="R346" s="94">
        <f t="shared" ca="1" si="107"/>
        <v>2.8397004155948182</v>
      </c>
      <c r="S346" s="94">
        <f t="shared" ca="1" si="108"/>
        <v>2.8397004155948178</v>
      </c>
      <c r="T346" s="4">
        <f t="shared" ca="1" si="109"/>
        <v>0</v>
      </c>
      <c r="U346" s="46">
        <f t="shared" ca="1" si="110"/>
        <v>1376.1639413314356</v>
      </c>
      <c r="V346" s="4">
        <f t="shared" ca="1" si="111"/>
        <v>0</v>
      </c>
      <c r="W346" s="13">
        <f t="shared" ca="1" si="112"/>
        <v>11687.430916657584</v>
      </c>
      <c r="X346" s="4">
        <f t="shared" ca="1" si="113"/>
        <v>0</v>
      </c>
      <c r="AE346" s="4"/>
    </row>
    <row r="347" spans="1:31">
      <c r="A347">
        <v>2</v>
      </c>
      <c r="B347">
        <v>2</v>
      </c>
      <c r="C347">
        <f t="shared" si="95"/>
        <v>6</v>
      </c>
      <c r="D347">
        <f t="shared" si="96"/>
        <v>4</v>
      </c>
      <c r="E347">
        <f t="shared" si="97"/>
        <v>2</v>
      </c>
      <c r="F347" s="100">
        <f t="shared" ca="1" si="98"/>
        <v>1.21E-2</v>
      </c>
      <c r="G347">
        <v>1</v>
      </c>
      <c r="H347">
        <v>0</v>
      </c>
      <c r="I347">
        <v>6</v>
      </c>
      <c r="J347" s="1">
        <f t="shared" ca="1" si="99"/>
        <v>0</v>
      </c>
      <c r="K347" s="1">
        <f t="shared" ca="1" si="100"/>
        <v>0</v>
      </c>
      <c r="L347" s="13">
        <f t="shared" ca="1" si="101"/>
        <v>140</v>
      </c>
      <c r="M347" s="7">
        <f t="shared" ca="1" si="102"/>
        <v>860</v>
      </c>
      <c r="N347" s="44">
        <f t="shared" ca="1" si="103"/>
        <v>11</v>
      </c>
      <c r="O347" s="94">
        <f t="shared" ca="1" si="104"/>
        <v>2.8397004155948178</v>
      </c>
      <c r="P347" s="94">
        <f t="shared" ca="1" si="105"/>
        <v>28.397004155948181</v>
      </c>
      <c r="Q347" s="94">
        <f t="shared" ca="1" si="106"/>
        <v>28.397004155948181</v>
      </c>
      <c r="R347" s="94">
        <f t="shared" ca="1" si="107"/>
        <v>2.8397004155948182</v>
      </c>
      <c r="S347" s="94">
        <f t="shared" ca="1" si="108"/>
        <v>2.8397004155948178</v>
      </c>
      <c r="T347" s="4">
        <f t="shared" ca="1" si="109"/>
        <v>0</v>
      </c>
      <c r="U347" s="46">
        <f t="shared" ca="1" si="110"/>
        <v>1363.1639413314356</v>
      </c>
      <c r="V347" s="4">
        <f t="shared" ca="1" si="111"/>
        <v>0</v>
      </c>
      <c r="W347" s="13">
        <f t="shared" ca="1" si="112"/>
        <v>10852.614422610615</v>
      </c>
      <c r="X347" s="4">
        <f t="shared" ca="1" si="113"/>
        <v>0</v>
      </c>
      <c r="AE347" s="4"/>
    </row>
    <row r="348" spans="1:31">
      <c r="A348">
        <v>2</v>
      </c>
      <c r="B348">
        <v>2</v>
      </c>
      <c r="C348">
        <f t="shared" si="95"/>
        <v>6</v>
      </c>
      <c r="D348">
        <f t="shared" si="96"/>
        <v>4</v>
      </c>
      <c r="E348">
        <f t="shared" si="97"/>
        <v>2</v>
      </c>
      <c r="F348" s="100">
        <f t="shared" ca="1" si="98"/>
        <v>1.21E-2</v>
      </c>
      <c r="G348">
        <v>1</v>
      </c>
      <c r="H348">
        <v>0</v>
      </c>
      <c r="I348">
        <v>5</v>
      </c>
      <c r="J348" s="1">
        <f t="shared" ca="1" si="99"/>
        <v>0</v>
      </c>
      <c r="K348" s="1">
        <f t="shared" ca="1" si="100"/>
        <v>0</v>
      </c>
      <c r="L348" s="13">
        <f t="shared" ca="1" si="101"/>
        <v>127</v>
      </c>
      <c r="M348" s="7">
        <f t="shared" ca="1" si="102"/>
        <v>873</v>
      </c>
      <c r="N348" s="44">
        <f t="shared" ca="1" si="103"/>
        <v>11</v>
      </c>
      <c r="O348" s="94">
        <f t="shared" ca="1" si="104"/>
        <v>2.8397004155948178</v>
      </c>
      <c r="P348" s="94">
        <f t="shared" ca="1" si="105"/>
        <v>28.397004155948181</v>
      </c>
      <c r="Q348" s="94">
        <f t="shared" ca="1" si="106"/>
        <v>28.397004155948181</v>
      </c>
      <c r="R348" s="94">
        <f t="shared" ca="1" si="107"/>
        <v>2.8397004155948182</v>
      </c>
      <c r="S348" s="94">
        <f t="shared" ca="1" si="108"/>
        <v>2.8397004155948178</v>
      </c>
      <c r="T348" s="4">
        <f t="shared" ca="1" si="109"/>
        <v>0</v>
      </c>
      <c r="U348" s="46">
        <f t="shared" ca="1" si="110"/>
        <v>1350.1639413314356</v>
      </c>
      <c r="V348" s="4">
        <f t="shared" ca="1" si="111"/>
        <v>0</v>
      </c>
      <c r="W348" s="13">
        <f t="shared" ca="1" si="112"/>
        <v>10017.797928563645</v>
      </c>
      <c r="X348" s="4">
        <f t="shared" ca="1" si="113"/>
        <v>0</v>
      </c>
      <c r="AE348" s="4"/>
    </row>
    <row r="349" spans="1:31">
      <c r="A349">
        <v>2</v>
      </c>
      <c r="B349">
        <v>2</v>
      </c>
      <c r="C349">
        <f t="shared" si="95"/>
        <v>6</v>
      </c>
      <c r="D349">
        <f t="shared" si="96"/>
        <v>4</v>
      </c>
      <c r="E349">
        <f t="shared" si="97"/>
        <v>2</v>
      </c>
      <c r="F349" s="100">
        <f t="shared" ca="1" si="98"/>
        <v>1.21E-2</v>
      </c>
      <c r="G349">
        <v>1</v>
      </c>
      <c r="H349">
        <v>0</v>
      </c>
      <c r="I349">
        <v>4</v>
      </c>
      <c r="J349" s="1">
        <f t="shared" ca="1" si="99"/>
        <v>9.1256620950000075E-3</v>
      </c>
      <c r="K349" s="1">
        <f t="shared" ca="1" si="100"/>
        <v>1.1042051134950009E-4</v>
      </c>
      <c r="L349" s="13">
        <f t="shared" ca="1" si="101"/>
        <v>114</v>
      </c>
      <c r="M349" s="7">
        <f t="shared" ca="1" si="102"/>
        <v>886</v>
      </c>
      <c r="N349" s="44">
        <f t="shared" ca="1" si="103"/>
        <v>12</v>
      </c>
      <c r="O349" s="94">
        <f t="shared" ca="1" si="104"/>
        <v>3.0624018806381534</v>
      </c>
      <c r="P349" s="94">
        <f t="shared" ca="1" si="105"/>
        <v>29.510511481164862</v>
      </c>
      <c r="Q349" s="94">
        <f t="shared" ca="1" si="106"/>
        <v>28.397004155948181</v>
      </c>
      <c r="R349" s="94">
        <f t="shared" ca="1" si="107"/>
        <v>2.8953757818556523</v>
      </c>
      <c r="S349" s="94">
        <f t="shared" ca="1" si="108"/>
        <v>3.0624018806381534</v>
      </c>
      <c r="T349" s="4">
        <f t="shared" ca="1" si="109"/>
        <v>3.3815198161773563E-4</v>
      </c>
      <c r="U349" s="46">
        <f t="shared" ca="1" si="110"/>
        <v>1418.7282638229713</v>
      </c>
      <c r="V349" s="4">
        <f t="shared" ca="1" si="111"/>
        <v>0.15665670035732096</v>
      </c>
      <c r="W349" s="13">
        <f t="shared" ca="1" si="112"/>
        <v>9182.9814345166742</v>
      </c>
      <c r="X349" s="4">
        <f t="shared" ca="1" si="113"/>
        <v>1.013989505712297</v>
      </c>
      <c r="AE349" s="4"/>
    </row>
    <row r="350" spans="1:31">
      <c r="A350">
        <v>2</v>
      </c>
      <c r="B350">
        <v>2</v>
      </c>
      <c r="C350">
        <f t="shared" si="95"/>
        <v>6</v>
      </c>
      <c r="D350">
        <f t="shared" si="96"/>
        <v>4</v>
      </c>
      <c r="E350">
        <f t="shared" si="97"/>
        <v>2</v>
      </c>
      <c r="F350" s="100">
        <f t="shared" ca="1" si="98"/>
        <v>1.21E-2</v>
      </c>
      <c r="G350">
        <v>1</v>
      </c>
      <c r="H350">
        <v>0</v>
      </c>
      <c r="I350">
        <v>3</v>
      </c>
      <c r="J350" s="1">
        <f t="shared" ca="1" si="99"/>
        <v>3.6871362000000067E-4</v>
      </c>
      <c r="K350" s="1">
        <f t="shared" ca="1" si="100"/>
        <v>4.4614348020000076E-6</v>
      </c>
      <c r="L350" s="13">
        <f t="shared" ca="1" si="101"/>
        <v>101</v>
      </c>
      <c r="M350" s="7">
        <f t="shared" ca="1" si="102"/>
        <v>899</v>
      </c>
      <c r="N350" s="44">
        <f t="shared" ca="1" si="103"/>
        <v>12</v>
      </c>
      <c r="O350" s="94">
        <f t="shared" ca="1" si="104"/>
        <v>3.0624018806381534</v>
      </c>
      <c r="P350" s="94">
        <f t="shared" ca="1" si="105"/>
        <v>30.624018806381528</v>
      </c>
      <c r="Q350" s="94">
        <f t="shared" ca="1" si="106"/>
        <v>30.178615876294863</v>
      </c>
      <c r="R350" s="94">
        <f t="shared" ca="1" si="107"/>
        <v>3.0401317341338197</v>
      </c>
      <c r="S350" s="94">
        <f t="shared" ca="1" si="108"/>
        <v>3.0624018806381534</v>
      </c>
      <c r="T350" s="4">
        <f t="shared" ca="1" si="109"/>
        <v>1.3662706327989331E-5</v>
      </c>
      <c r="U350" s="46">
        <f t="shared" ca="1" si="110"/>
        <v>1405.7282638229713</v>
      </c>
      <c r="V350" s="4">
        <f t="shared" ca="1" si="111"/>
        <v>6.2715649983748518E-3</v>
      </c>
      <c r="W350" s="13">
        <f t="shared" ca="1" si="112"/>
        <v>8348.1649404697037</v>
      </c>
      <c r="X350" s="4">
        <f t="shared" ca="1" si="113"/>
        <v>3.7244793598247859E-2</v>
      </c>
      <c r="AE350" s="4"/>
    </row>
    <row r="351" spans="1:31">
      <c r="A351">
        <v>2</v>
      </c>
      <c r="B351">
        <v>2</v>
      </c>
      <c r="C351">
        <f t="shared" si="95"/>
        <v>6</v>
      </c>
      <c r="D351">
        <f t="shared" si="96"/>
        <v>4</v>
      </c>
      <c r="E351">
        <f t="shared" si="97"/>
        <v>2</v>
      </c>
      <c r="F351" s="100">
        <f t="shared" ca="1" si="98"/>
        <v>1.21E-2</v>
      </c>
      <c r="G351">
        <v>1</v>
      </c>
      <c r="H351">
        <v>0</v>
      </c>
      <c r="I351">
        <v>2</v>
      </c>
      <c r="J351" s="1">
        <f t="shared" ca="1" si="99"/>
        <v>5.5865700000000149E-6</v>
      </c>
      <c r="K351" s="1">
        <f t="shared" ca="1" si="100"/>
        <v>6.7597497000000181E-8</v>
      </c>
      <c r="L351" s="13">
        <f t="shared" ca="1" si="101"/>
        <v>88</v>
      </c>
      <c r="M351" s="7">
        <f t="shared" ca="1" si="102"/>
        <v>912</v>
      </c>
      <c r="N351" s="44">
        <f t="shared" ca="1" si="103"/>
        <v>12</v>
      </c>
      <c r="O351" s="94">
        <f t="shared" ca="1" si="104"/>
        <v>3.0624018806381534</v>
      </c>
      <c r="P351" s="94">
        <f t="shared" ca="1" si="105"/>
        <v>30.624018806381528</v>
      </c>
      <c r="Q351" s="94">
        <f t="shared" ca="1" si="106"/>
        <v>30.624018806381528</v>
      </c>
      <c r="R351" s="94">
        <f t="shared" ca="1" si="107"/>
        <v>3.062401880638153</v>
      </c>
      <c r="S351" s="94">
        <f t="shared" ca="1" si="108"/>
        <v>3.0624018806381534</v>
      </c>
      <c r="T351" s="4">
        <f t="shared" ca="1" si="109"/>
        <v>2.0701070193923248E-7</v>
      </c>
      <c r="U351" s="46">
        <f t="shared" ca="1" si="110"/>
        <v>1392.7282638229713</v>
      </c>
      <c r="V351" s="4">
        <f t="shared" ca="1" si="111"/>
        <v>9.4144944635588757E-5</v>
      </c>
      <c r="W351" s="13">
        <f t="shared" ca="1" si="112"/>
        <v>7513.3484464227331</v>
      </c>
      <c r="X351" s="4">
        <f t="shared" ca="1" si="113"/>
        <v>5.0788354906701678E-4</v>
      </c>
      <c r="AE351" s="4"/>
    </row>
    <row r="352" spans="1:31">
      <c r="A352">
        <v>2</v>
      </c>
      <c r="B352">
        <v>2</v>
      </c>
      <c r="C352">
        <f t="shared" si="95"/>
        <v>6</v>
      </c>
      <c r="D352">
        <f t="shared" si="96"/>
        <v>4</v>
      </c>
      <c r="E352">
        <f t="shared" si="97"/>
        <v>2</v>
      </c>
      <c r="F352" s="100">
        <f t="shared" ca="1" si="98"/>
        <v>1.21E-2</v>
      </c>
      <c r="G352">
        <v>1</v>
      </c>
      <c r="H352">
        <v>0</v>
      </c>
      <c r="I352">
        <v>1</v>
      </c>
      <c r="J352" s="1">
        <f t="shared" ca="1" si="99"/>
        <v>3.7620000000000134E-8</v>
      </c>
      <c r="K352" s="1">
        <f t="shared" ca="1" si="100"/>
        <v>4.5520200000000161E-10</v>
      </c>
      <c r="L352" s="13">
        <f t="shared" ca="1" si="101"/>
        <v>75</v>
      </c>
      <c r="M352" s="7">
        <f t="shared" ca="1" si="102"/>
        <v>925</v>
      </c>
      <c r="N352" s="44">
        <f t="shared" ca="1" si="103"/>
        <v>12</v>
      </c>
      <c r="O352" s="94">
        <f t="shared" ca="1" si="104"/>
        <v>3.0624018806381534</v>
      </c>
      <c r="P352" s="94">
        <f t="shared" ca="1" si="105"/>
        <v>30.624018806381528</v>
      </c>
      <c r="Q352" s="94">
        <f t="shared" ca="1" si="106"/>
        <v>30.624018806381528</v>
      </c>
      <c r="R352" s="94">
        <f t="shared" ca="1" si="107"/>
        <v>3.062401880638153</v>
      </c>
      <c r="S352" s="94">
        <f t="shared" ca="1" si="108"/>
        <v>3.0624018806381534</v>
      </c>
      <c r="T352" s="4">
        <f t="shared" ca="1" si="109"/>
        <v>1.3940114608702537E-9</v>
      </c>
      <c r="U352" s="46">
        <f t="shared" ca="1" si="110"/>
        <v>1379.7282638229713</v>
      </c>
      <c r="V352" s="4">
        <f t="shared" ca="1" si="111"/>
        <v>6.2805506514874642E-7</v>
      </c>
      <c r="W352" s="13">
        <f t="shared" ca="1" si="112"/>
        <v>6678.5319523757635</v>
      </c>
      <c r="X352" s="4">
        <f t="shared" ca="1" si="113"/>
        <v>3.0400811017853629E-6</v>
      </c>
      <c r="AE352" s="4"/>
    </row>
    <row r="353" spans="1:31">
      <c r="A353">
        <v>2</v>
      </c>
      <c r="B353">
        <v>2</v>
      </c>
      <c r="C353">
        <f t="shared" si="95"/>
        <v>6</v>
      </c>
      <c r="D353">
        <f t="shared" si="96"/>
        <v>4</v>
      </c>
      <c r="E353">
        <f t="shared" si="97"/>
        <v>2</v>
      </c>
      <c r="F353" s="100">
        <f t="shared" ca="1" si="98"/>
        <v>1.21E-2</v>
      </c>
      <c r="G353">
        <v>1</v>
      </c>
      <c r="H353">
        <v>0</v>
      </c>
      <c r="I353">
        <v>0</v>
      </c>
      <c r="J353" s="1">
        <f t="shared" ca="1" si="99"/>
        <v>9.5000000000000434E-11</v>
      </c>
      <c r="K353" s="1">
        <f t="shared" ca="1" si="100"/>
        <v>1.1495000000000051E-12</v>
      </c>
      <c r="L353" s="13">
        <f t="shared" ca="1" si="101"/>
        <v>62</v>
      </c>
      <c r="M353" s="7">
        <f t="shared" ca="1" si="102"/>
        <v>938</v>
      </c>
      <c r="N353" s="44">
        <f t="shared" ca="1" si="103"/>
        <v>12</v>
      </c>
      <c r="O353" s="94">
        <f t="shared" ca="1" si="104"/>
        <v>3.0624018806381534</v>
      </c>
      <c r="P353" s="94">
        <f t="shared" ca="1" si="105"/>
        <v>30.624018806381528</v>
      </c>
      <c r="Q353" s="94">
        <f t="shared" ca="1" si="106"/>
        <v>30.624018806381528</v>
      </c>
      <c r="R353" s="94">
        <f t="shared" ca="1" si="107"/>
        <v>3.062401880638153</v>
      </c>
      <c r="S353" s="94">
        <f t="shared" ca="1" si="108"/>
        <v>3.0624018806381534</v>
      </c>
      <c r="T353" s="4">
        <f t="shared" ca="1" si="109"/>
        <v>3.5202309617935732E-12</v>
      </c>
      <c r="U353" s="46">
        <f t="shared" ca="1" si="110"/>
        <v>1366.7282638229713</v>
      </c>
      <c r="V353" s="4">
        <f t="shared" ca="1" si="111"/>
        <v>1.5710541392645125E-9</v>
      </c>
      <c r="W353" s="13">
        <f t="shared" ca="1" si="112"/>
        <v>5843.7154583287929</v>
      </c>
      <c r="X353" s="4">
        <f t="shared" ca="1" si="113"/>
        <v>6.7173509193489772E-9</v>
      </c>
      <c r="AE353" s="4"/>
    </row>
    <row r="354" spans="1:31">
      <c r="A354">
        <v>2</v>
      </c>
      <c r="B354">
        <v>2</v>
      </c>
      <c r="C354">
        <f t="shared" si="95"/>
        <v>6</v>
      </c>
      <c r="D354">
        <f t="shared" si="96"/>
        <v>4</v>
      </c>
      <c r="E354">
        <f t="shared" si="97"/>
        <v>2</v>
      </c>
      <c r="F354" s="100">
        <f t="shared" ca="1" si="98"/>
        <v>1.21E-2</v>
      </c>
      <c r="G354">
        <v>0</v>
      </c>
      <c r="H354">
        <v>1</v>
      </c>
      <c r="I354">
        <v>7</v>
      </c>
      <c r="J354" s="1">
        <f t="shared" ca="1" si="99"/>
        <v>0</v>
      </c>
      <c r="K354" s="1">
        <f t="shared" ca="1" si="100"/>
        <v>0</v>
      </c>
      <c r="L354" s="13">
        <f t="shared" ca="1" si="101"/>
        <v>153</v>
      </c>
      <c r="M354" s="7">
        <f t="shared" ca="1" si="102"/>
        <v>847</v>
      </c>
      <c r="N354" s="44">
        <f t="shared" ca="1" si="103"/>
        <v>11</v>
      </c>
      <c r="O354" s="94">
        <f t="shared" ca="1" si="104"/>
        <v>2.8397004155948178</v>
      </c>
      <c r="P354" s="94">
        <f t="shared" ca="1" si="105"/>
        <v>28.397004155948181</v>
      </c>
      <c r="Q354" s="94">
        <f t="shared" ca="1" si="106"/>
        <v>28.397004155948181</v>
      </c>
      <c r="R354" s="94">
        <f t="shared" ca="1" si="107"/>
        <v>2.8397004155948182</v>
      </c>
      <c r="S354" s="94">
        <f t="shared" ca="1" si="108"/>
        <v>2.8397004155948178</v>
      </c>
      <c r="T354" s="4">
        <f t="shared" ca="1" si="109"/>
        <v>0</v>
      </c>
      <c r="U354" s="46">
        <f t="shared" ca="1" si="110"/>
        <v>1376.1639413314356</v>
      </c>
      <c r="V354" s="4">
        <f t="shared" ca="1" si="111"/>
        <v>0</v>
      </c>
      <c r="W354" s="13">
        <f t="shared" ca="1" si="112"/>
        <v>6469.4270995668039</v>
      </c>
      <c r="X354" s="4">
        <f t="shared" ca="1" si="113"/>
        <v>0</v>
      </c>
      <c r="AE354" s="4"/>
    </row>
    <row r="355" spans="1:31">
      <c r="A355">
        <v>2</v>
      </c>
      <c r="B355">
        <v>2</v>
      </c>
      <c r="C355">
        <f t="shared" si="95"/>
        <v>6</v>
      </c>
      <c r="D355">
        <f t="shared" si="96"/>
        <v>4</v>
      </c>
      <c r="E355">
        <f t="shared" si="97"/>
        <v>2</v>
      </c>
      <c r="F355" s="100">
        <f t="shared" ca="1" si="98"/>
        <v>1.21E-2</v>
      </c>
      <c r="G355">
        <v>0</v>
      </c>
      <c r="H355">
        <v>1</v>
      </c>
      <c r="I355">
        <v>6</v>
      </c>
      <c r="J355" s="1">
        <f t="shared" ca="1" si="99"/>
        <v>0</v>
      </c>
      <c r="K355" s="1">
        <f t="shared" ca="1" si="100"/>
        <v>0</v>
      </c>
      <c r="L355" s="13">
        <f t="shared" ca="1" si="101"/>
        <v>140</v>
      </c>
      <c r="M355" s="7">
        <f t="shared" ca="1" si="102"/>
        <v>860</v>
      </c>
      <c r="N355" s="44">
        <f t="shared" ca="1" si="103"/>
        <v>11</v>
      </c>
      <c r="O355" s="94">
        <f t="shared" ca="1" si="104"/>
        <v>2.8397004155948178</v>
      </c>
      <c r="P355" s="94">
        <f t="shared" ca="1" si="105"/>
        <v>28.397004155948181</v>
      </c>
      <c r="Q355" s="94">
        <f t="shared" ca="1" si="106"/>
        <v>28.397004155948181</v>
      </c>
      <c r="R355" s="94">
        <f t="shared" ca="1" si="107"/>
        <v>2.8397004155948182</v>
      </c>
      <c r="S355" s="94">
        <f t="shared" ca="1" si="108"/>
        <v>2.8397004155948178</v>
      </c>
      <c r="T355" s="4">
        <f t="shared" ca="1" si="109"/>
        <v>0</v>
      </c>
      <c r="U355" s="46">
        <f t="shared" ca="1" si="110"/>
        <v>1363.1639413314356</v>
      </c>
      <c r="V355" s="4">
        <f t="shared" ca="1" si="111"/>
        <v>0</v>
      </c>
      <c r="W355" s="13">
        <f t="shared" ca="1" si="112"/>
        <v>5634.6106055198334</v>
      </c>
      <c r="X355" s="4">
        <f t="shared" ca="1" si="113"/>
        <v>0</v>
      </c>
      <c r="AE355" s="4"/>
    </row>
    <row r="356" spans="1:31">
      <c r="A356">
        <v>2</v>
      </c>
      <c r="B356">
        <v>2</v>
      </c>
      <c r="C356">
        <f t="shared" si="95"/>
        <v>6</v>
      </c>
      <c r="D356">
        <f t="shared" si="96"/>
        <v>4</v>
      </c>
      <c r="E356">
        <f t="shared" si="97"/>
        <v>2</v>
      </c>
      <c r="F356" s="100">
        <f t="shared" ca="1" si="98"/>
        <v>1.21E-2</v>
      </c>
      <c r="G356">
        <v>0</v>
      </c>
      <c r="H356">
        <v>1</v>
      </c>
      <c r="I356">
        <v>5</v>
      </c>
      <c r="J356" s="1">
        <f t="shared" ca="1" si="99"/>
        <v>0</v>
      </c>
      <c r="K356" s="1">
        <f t="shared" ca="1" si="100"/>
        <v>0</v>
      </c>
      <c r="L356" s="13">
        <f t="shared" ca="1" si="101"/>
        <v>127</v>
      </c>
      <c r="M356" s="7">
        <f t="shared" ca="1" si="102"/>
        <v>873</v>
      </c>
      <c r="N356" s="44">
        <f t="shared" ca="1" si="103"/>
        <v>11</v>
      </c>
      <c r="O356" s="94">
        <f t="shared" ca="1" si="104"/>
        <v>2.8397004155948178</v>
      </c>
      <c r="P356" s="94">
        <f t="shared" ca="1" si="105"/>
        <v>28.397004155948181</v>
      </c>
      <c r="Q356" s="94">
        <f t="shared" ca="1" si="106"/>
        <v>28.397004155948181</v>
      </c>
      <c r="R356" s="94">
        <f t="shared" ca="1" si="107"/>
        <v>2.8397004155948182</v>
      </c>
      <c r="S356" s="94">
        <f t="shared" ca="1" si="108"/>
        <v>2.8397004155948178</v>
      </c>
      <c r="T356" s="4">
        <f t="shared" ca="1" si="109"/>
        <v>0</v>
      </c>
      <c r="U356" s="46">
        <f t="shared" ca="1" si="110"/>
        <v>1350.1639413314356</v>
      </c>
      <c r="V356" s="4">
        <f t="shared" ca="1" si="111"/>
        <v>0</v>
      </c>
      <c r="W356" s="13">
        <f t="shared" ca="1" si="112"/>
        <v>4799.7941114728637</v>
      </c>
      <c r="X356" s="4">
        <f t="shared" ca="1" si="113"/>
        <v>0</v>
      </c>
      <c r="AE356" s="4"/>
    </row>
    <row r="357" spans="1:31">
      <c r="A357">
        <v>2</v>
      </c>
      <c r="B357">
        <v>2</v>
      </c>
      <c r="C357">
        <f t="shared" si="95"/>
        <v>6</v>
      </c>
      <c r="D357">
        <f t="shared" si="96"/>
        <v>4</v>
      </c>
      <c r="E357">
        <f t="shared" si="97"/>
        <v>2</v>
      </c>
      <c r="F357" s="100">
        <f t="shared" ca="1" si="98"/>
        <v>1.21E-2</v>
      </c>
      <c r="G357">
        <v>0</v>
      </c>
      <c r="H357">
        <v>1</v>
      </c>
      <c r="I357">
        <v>4</v>
      </c>
      <c r="J357" s="1">
        <f t="shared" ca="1" si="99"/>
        <v>4.7549502495E-2</v>
      </c>
      <c r="K357" s="1">
        <f t="shared" ca="1" si="100"/>
        <v>5.7534898018949993E-4</v>
      </c>
      <c r="L357" s="13">
        <f t="shared" ca="1" si="101"/>
        <v>114</v>
      </c>
      <c r="M357" s="7">
        <f t="shared" ca="1" si="102"/>
        <v>886</v>
      </c>
      <c r="N357" s="44">
        <f t="shared" ca="1" si="103"/>
        <v>12</v>
      </c>
      <c r="O357" s="94">
        <f t="shared" ca="1" si="104"/>
        <v>3.0624018806381534</v>
      </c>
      <c r="P357" s="94">
        <f t="shared" ca="1" si="105"/>
        <v>29.510511481164862</v>
      </c>
      <c r="Q357" s="94">
        <f t="shared" ca="1" si="106"/>
        <v>28.397004155948181</v>
      </c>
      <c r="R357" s="94">
        <f t="shared" ca="1" si="107"/>
        <v>2.8953757818556523</v>
      </c>
      <c r="S357" s="94">
        <f t="shared" ca="1" si="108"/>
        <v>3.0624018806381534</v>
      </c>
      <c r="T357" s="4">
        <f t="shared" ca="1" si="109"/>
        <v>1.7619497989555682E-3</v>
      </c>
      <c r="U357" s="46">
        <f t="shared" ca="1" si="110"/>
        <v>1418.7282638229713</v>
      </c>
      <c r="V357" s="4">
        <f t="shared" ca="1" si="111"/>
        <v>0.81626385975656635</v>
      </c>
      <c r="W357" s="13">
        <f t="shared" ca="1" si="112"/>
        <v>3964.9776174258936</v>
      </c>
      <c r="X357" s="4">
        <f t="shared" ca="1" si="113"/>
        <v>2.2812458286601811</v>
      </c>
      <c r="AE357" s="4"/>
    </row>
    <row r="358" spans="1:31">
      <c r="A358">
        <v>2</v>
      </c>
      <c r="B358">
        <v>2</v>
      </c>
      <c r="C358">
        <f t="shared" si="95"/>
        <v>6</v>
      </c>
      <c r="D358">
        <f t="shared" si="96"/>
        <v>4</v>
      </c>
      <c r="E358">
        <f t="shared" si="97"/>
        <v>2</v>
      </c>
      <c r="F358" s="100">
        <f t="shared" ca="1" si="98"/>
        <v>1.21E-2</v>
      </c>
      <c r="G358">
        <v>0</v>
      </c>
      <c r="H358">
        <v>1</v>
      </c>
      <c r="I358">
        <v>3</v>
      </c>
      <c r="J358" s="1">
        <f t="shared" ca="1" si="99"/>
        <v>1.9211920200000018E-3</v>
      </c>
      <c r="K358" s="1">
        <f t="shared" ca="1" si="100"/>
        <v>2.3246423442000021E-5</v>
      </c>
      <c r="L358" s="13">
        <f t="shared" ca="1" si="101"/>
        <v>101</v>
      </c>
      <c r="M358" s="7">
        <f t="shared" ca="1" si="102"/>
        <v>899</v>
      </c>
      <c r="N358" s="44">
        <f t="shared" ca="1" si="103"/>
        <v>12</v>
      </c>
      <c r="O358" s="94">
        <f t="shared" ca="1" si="104"/>
        <v>3.0624018806381534</v>
      </c>
      <c r="P358" s="94">
        <f t="shared" ca="1" si="105"/>
        <v>30.624018806381528</v>
      </c>
      <c r="Q358" s="94">
        <f t="shared" ca="1" si="106"/>
        <v>30.178615876294863</v>
      </c>
      <c r="R358" s="94">
        <f t="shared" ca="1" si="107"/>
        <v>3.0401317341338197</v>
      </c>
      <c r="S358" s="94">
        <f t="shared" ca="1" si="108"/>
        <v>3.0624018806381534</v>
      </c>
      <c r="T358" s="4">
        <f t="shared" ca="1" si="109"/>
        <v>7.1189890866891716E-5</v>
      </c>
      <c r="U358" s="46">
        <f t="shared" ca="1" si="110"/>
        <v>1405.7282638229713</v>
      </c>
      <c r="V358" s="4">
        <f t="shared" ca="1" si="111"/>
        <v>3.2678154465216311E-2</v>
      </c>
      <c r="W358" s="13">
        <f t="shared" ca="1" si="112"/>
        <v>3130.1611233789231</v>
      </c>
      <c r="X358" s="4">
        <f t="shared" ca="1" si="113"/>
        <v>7.2765050915752916E-2</v>
      </c>
      <c r="AE358" s="4"/>
    </row>
    <row r="359" spans="1:31">
      <c r="A359">
        <v>2</v>
      </c>
      <c r="B359">
        <v>2</v>
      </c>
      <c r="C359">
        <f t="shared" si="95"/>
        <v>6</v>
      </c>
      <c r="D359">
        <f t="shared" si="96"/>
        <v>4</v>
      </c>
      <c r="E359">
        <f t="shared" si="97"/>
        <v>2</v>
      </c>
      <c r="F359" s="100">
        <f t="shared" ca="1" si="98"/>
        <v>1.21E-2</v>
      </c>
      <c r="G359">
        <v>0</v>
      </c>
      <c r="H359">
        <v>1</v>
      </c>
      <c r="I359">
        <v>2</v>
      </c>
      <c r="J359" s="1">
        <f t="shared" ca="1" si="99"/>
        <v>2.9108970000000054E-5</v>
      </c>
      <c r="K359" s="1">
        <f t="shared" ca="1" si="100"/>
        <v>3.5221853700000064E-7</v>
      </c>
      <c r="L359" s="13">
        <f t="shared" ca="1" si="101"/>
        <v>88</v>
      </c>
      <c r="M359" s="7">
        <f t="shared" ca="1" si="102"/>
        <v>912</v>
      </c>
      <c r="N359" s="44">
        <f t="shared" ca="1" si="103"/>
        <v>12</v>
      </c>
      <c r="O359" s="94">
        <f t="shared" ca="1" si="104"/>
        <v>3.0624018806381534</v>
      </c>
      <c r="P359" s="94">
        <f t="shared" ca="1" si="105"/>
        <v>30.624018806381528</v>
      </c>
      <c r="Q359" s="94">
        <f t="shared" ca="1" si="106"/>
        <v>30.624018806381528</v>
      </c>
      <c r="R359" s="94">
        <f t="shared" ca="1" si="107"/>
        <v>3.062401880638153</v>
      </c>
      <c r="S359" s="94">
        <f t="shared" ca="1" si="108"/>
        <v>3.0624018806381534</v>
      </c>
      <c r="T359" s="4">
        <f t="shared" ca="1" si="109"/>
        <v>1.078634710104421E-6</v>
      </c>
      <c r="U359" s="46">
        <f t="shared" ca="1" si="110"/>
        <v>1392.7282638229713</v>
      </c>
      <c r="V359" s="4">
        <f t="shared" ca="1" si="111"/>
        <v>4.9054471152227782E-4</v>
      </c>
      <c r="W359" s="13">
        <f t="shared" ca="1" si="112"/>
        <v>2295.344629331953</v>
      </c>
      <c r="X359" s="4">
        <f t="shared" ca="1" si="113"/>
        <v>8.0846292725410924E-4</v>
      </c>
      <c r="AE359" s="4"/>
    </row>
    <row r="360" spans="1:31">
      <c r="A360">
        <v>2</v>
      </c>
      <c r="B360">
        <v>2</v>
      </c>
      <c r="C360">
        <f t="shared" si="95"/>
        <v>6</v>
      </c>
      <c r="D360">
        <f t="shared" si="96"/>
        <v>4</v>
      </c>
      <c r="E360">
        <f t="shared" si="97"/>
        <v>2</v>
      </c>
      <c r="F360" s="100">
        <f t="shared" ca="1" si="98"/>
        <v>1.21E-2</v>
      </c>
      <c r="G360">
        <v>0</v>
      </c>
      <c r="H360">
        <v>1</v>
      </c>
      <c r="I360">
        <v>1</v>
      </c>
      <c r="J360" s="1">
        <f t="shared" ca="1" si="99"/>
        <v>1.9602000000000053E-7</v>
      </c>
      <c r="K360" s="1">
        <f t="shared" ca="1" si="100"/>
        <v>2.3718420000000064E-9</v>
      </c>
      <c r="L360" s="13">
        <f t="shared" ca="1" si="101"/>
        <v>75</v>
      </c>
      <c r="M360" s="7">
        <f t="shared" ca="1" si="102"/>
        <v>925</v>
      </c>
      <c r="N360" s="44">
        <f t="shared" ca="1" si="103"/>
        <v>12</v>
      </c>
      <c r="O360" s="94">
        <f t="shared" ca="1" si="104"/>
        <v>3.0624018806381534</v>
      </c>
      <c r="P360" s="94">
        <f t="shared" ca="1" si="105"/>
        <v>30.624018806381528</v>
      </c>
      <c r="Q360" s="94">
        <f t="shared" ca="1" si="106"/>
        <v>30.624018806381528</v>
      </c>
      <c r="R360" s="94">
        <f t="shared" ca="1" si="107"/>
        <v>3.062401880638153</v>
      </c>
      <c r="S360" s="94">
        <f t="shared" ca="1" si="108"/>
        <v>3.0624018806381534</v>
      </c>
      <c r="T360" s="4">
        <f t="shared" ca="1" si="109"/>
        <v>7.263533401376579E-9</v>
      </c>
      <c r="U360" s="46">
        <f t="shared" ca="1" si="110"/>
        <v>1379.7282638229713</v>
      </c>
      <c r="V360" s="4">
        <f t="shared" ca="1" si="111"/>
        <v>3.2724974447224124E-6</v>
      </c>
      <c r="W360" s="13">
        <f t="shared" ca="1" si="112"/>
        <v>1460.5281352849825</v>
      </c>
      <c r="X360" s="4">
        <f t="shared" ca="1" si="113"/>
        <v>3.4641419734506127E-6</v>
      </c>
      <c r="AE360" s="4"/>
    </row>
    <row r="361" spans="1:31">
      <c r="A361">
        <v>2</v>
      </c>
      <c r="B361">
        <v>2</v>
      </c>
      <c r="C361">
        <f t="shared" si="95"/>
        <v>6</v>
      </c>
      <c r="D361">
        <f t="shared" si="96"/>
        <v>4</v>
      </c>
      <c r="E361">
        <f t="shared" si="97"/>
        <v>2</v>
      </c>
      <c r="F361" s="100">
        <f t="shared" ca="1" si="98"/>
        <v>1.21E-2</v>
      </c>
      <c r="G361">
        <v>0</v>
      </c>
      <c r="H361">
        <v>1</v>
      </c>
      <c r="I361">
        <v>0</v>
      </c>
      <c r="J361" s="1">
        <f t="shared" ca="1" si="99"/>
        <v>4.9500000000000181E-10</v>
      </c>
      <c r="K361" s="1">
        <f t="shared" ca="1" si="100"/>
        <v>5.9895000000000217E-12</v>
      </c>
      <c r="L361" s="13">
        <f t="shared" ca="1" si="101"/>
        <v>62</v>
      </c>
      <c r="M361" s="7">
        <f t="shared" ca="1" si="102"/>
        <v>938</v>
      </c>
      <c r="N361" s="44">
        <f t="shared" ca="1" si="103"/>
        <v>12</v>
      </c>
      <c r="O361" s="94">
        <f t="shared" ca="1" si="104"/>
        <v>3.0624018806381534</v>
      </c>
      <c r="P361" s="94">
        <f t="shared" ca="1" si="105"/>
        <v>30.624018806381528</v>
      </c>
      <c r="Q361" s="94">
        <f t="shared" ca="1" si="106"/>
        <v>30.624018806381528</v>
      </c>
      <c r="R361" s="94">
        <f t="shared" ca="1" si="107"/>
        <v>3.062401880638153</v>
      </c>
      <c r="S361" s="94">
        <f t="shared" ca="1" si="108"/>
        <v>3.0624018806381534</v>
      </c>
      <c r="T361" s="4">
        <f t="shared" ca="1" si="109"/>
        <v>1.8342256064082288E-11</v>
      </c>
      <c r="U361" s="46">
        <f t="shared" ca="1" si="110"/>
        <v>1366.7282638229713</v>
      </c>
      <c r="V361" s="4">
        <f t="shared" ca="1" si="111"/>
        <v>8.1860189361677153E-9</v>
      </c>
      <c r="W361" s="13">
        <f t="shared" ca="1" si="112"/>
        <v>625.71164123801225</v>
      </c>
      <c r="X361" s="4">
        <f t="shared" ca="1" si="113"/>
        <v>3.7476998751950878E-9</v>
      </c>
      <c r="AE361" s="4"/>
    </row>
    <row r="362" spans="1:31">
      <c r="A362">
        <v>2</v>
      </c>
      <c r="B362">
        <v>2</v>
      </c>
      <c r="C362">
        <f t="shared" si="95"/>
        <v>6</v>
      </c>
      <c r="D362">
        <f t="shared" si="96"/>
        <v>4</v>
      </c>
      <c r="E362">
        <f t="shared" si="97"/>
        <v>2</v>
      </c>
      <c r="F362" s="100">
        <f t="shared" ca="1" si="98"/>
        <v>1.21E-2</v>
      </c>
      <c r="G362">
        <v>0</v>
      </c>
      <c r="H362">
        <v>0</v>
      </c>
      <c r="I362">
        <v>7</v>
      </c>
      <c r="J362" s="1">
        <f t="shared" ca="1" si="99"/>
        <v>0</v>
      </c>
      <c r="K362" s="1">
        <f t="shared" ca="1" si="100"/>
        <v>0</v>
      </c>
      <c r="L362" s="13">
        <f t="shared" ca="1" si="101"/>
        <v>91</v>
      </c>
      <c r="M362" s="7">
        <f t="shared" ca="1" si="102"/>
        <v>909</v>
      </c>
      <c r="N362" s="44">
        <f t="shared" ca="1" si="103"/>
        <v>12</v>
      </c>
      <c r="O362" s="94">
        <f t="shared" ca="1" si="104"/>
        <v>3.0624018806381534</v>
      </c>
      <c r="P362" s="94">
        <f t="shared" ca="1" si="105"/>
        <v>30.624018806381528</v>
      </c>
      <c r="Q362" s="94">
        <f t="shared" ca="1" si="106"/>
        <v>30.624018806381528</v>
      </c>
      <c r="R362" s="94">
        <f t="shared" ca="1" si="107"/>
        <v>3.062401880638153</v>
      </c>
      <c r="S362" s="94">
        <f t="shared" ca="1" si="108"/>
        <v>3.0624018806381534</v>
      </c>
      <c r="T362" s="4">
        <f t="shared" ca="1" si="109"/>
        <v>0</v>
      </c>
      <c r="U362" s="46">
        <f t="shared" ca="1" si="110"/>
        <v>1395.7282638229713</v>
      </c>
      <c r="V362" s="4">
        <f t="shared" ca="1" si="111"/>
        <v>0</v>
      </c>
      <c r="W362" s="13">
        <f t="shared" ca="1" si="112"/>
        <v>5843.715458328792</v>
      </c>
      <c r="X362" s="4">
        <f t="shared" ca="1" si="113"/>
        <v>0</v>
      </c>
      <c r="AE362" s="4"/>
    </row>
    <row r="363" spans="1:31">
      <c r="A363">
        <v>2</v>
      </c>
      <c r="B363">
        <v>2</v>
      </c>
      <c r="C363">
        <f t="shared" si="95"/>
        <v>6</v>
      </c>
      <c r="D363">
        <f t="shared" si="96"/>
        <v>4</v>
      </c>
      <c r="E363">
        <f t="shared" si="97"/>
        <v>2</v>
      </c>
      <c r="F363" s="100">
        <f t="shared" ca="1" si="98"/>
        <v>1.21E-2</v>
      </c>
      <c r="G363">
        <v>0</v>
      </c>
      <c r="H363">
        <v>0</v>
      </c>
      <c r="I363">
        <v>6</v>
      </c>
      <c r="J363" s="1">
        <f t="shared" ca="1" si="99"/>
        <v>0</v>
      </c>
      <c r="K363" s="1">
        <f t="shared" ca="1" si="100"/>
        <v>0</v>
      </c>
      <c r="L363" s="13">
        <f t="shared" ca="1" si="101"/>
        <v>78</v>
      </c>
      <c r="M363" s="7">
        <f t="shared" ca="1" si="102"/>
        <v>922</v>
      </c>
      <c r="N363" s="44">
        <f t="shared" ca="1" si="103"/>
        <v>12</v>
      </c>
      <c r="O363" s="94">
        <f t="shared" ca="1" si="104"/>
        <v>3.0624018806381534</v>
      </c>
      <c r="P363" s="94">
        <f t="shared" ca="1" si="105"/>
        <v>30.624018806381528</v>
      </c>
      <c r="Q363" s="94">
        <f t="shared" ca="1" si="106"/>
        <v>30.624018806381528</v>
      </c>
      <c r="R363" s="94">
        <f t="shared" ca="1" si="107"/>
        <v>3.062401880638153</v>
      </c>
      <c r="S363" s="94">
        <f t="shared" ca="1" si="108"/>
        <v>3.0624018806381534</v>
      </c>
      <c r="T363" s="4">
        <f t="shared" ca="1" si="109"/>
        <v>0</v>
      </c>
      <c r="U363" s="46">
        <f t="shared" ca="1" si="110"/>
        <v>1382.7282638229713</v>
      </c>
      <c r="V363" s="4">
        <f t="shared" ca="1" si="111"/>
        <v>0</v>
      </c>
      <c r="W363" s="13">
        <f t="shared" ca="1" si="112"/>
        <v>5008.8989642818215</v>
      </c>
      <c r="X363" s="4">
        <f t="shared" ca="1" si="113"/>
        <v>0</v>
      </c>
      <c r="AE363" s="4"/>
    </row>
    <row r="364" spans="1:31">
      <c r="A364">
        <v>2</v>
      </c>
      <c r="B364">
        <v>2</v>
      </c>
      <c r="C364">
        <f t="shared" si="95"/>
        <v>6</v>
      </c>
      <c r="D364">
        <f t="shared" si="96"/>
        <v>4</v>
      </c>
      <c r="E364">
        <f t="shared" si="97"/>
        <v>2</v>
      </c>
      <c r="F364" s="100">
        <f t="shared" ca="1" si="98"/>
        <v>1.21E-2</v>
      </c>
      <c r="G364">
        <v>0</v>
      </c>
      <c r="H364">
        <v>0</v>
      </c>
      <c r="I364">
        <v>5</v>
      </c>
      <c r="J364" s="1">
        <f t="shared" ca="1" si="99"/>
        <v>0</v>
      </c>
      <c r="K364" s="1">
        <f t="shared" ca="1" si="100"/>
        <v>0</v>
      </c>
      <c r="L364" s="13">
        <f t="shared" ca="1" si="101"/>
        <v>65</v>
      </c>
      <c r="M364" s="7">
        <f t="shared" ca="1" si="102"/>
        <v>935</v>
      </c>
      <c r="N364" s="44">
        <f t="shared" ca="1" si="103"/>
        <v>12</v>
      </c>
      <c r="O364" s="94">
        <f t="shared" ca="1" si="104"/>
        <v>3.0624018806381534</v>
      </c>
      <c r="P364" s="94">
        <f t="shared" ca="1" si="105"/>
        <v>30.624018806381528</v>
      </c>
      <c r="Q364" s="94">
        <f t="shared" ca="1" si="106"/>
        <v>30.624018806381528</v>
      </c>
      <c r="R364" s="94">
        <f t="shared" ca="1" si="107"/>
        <v>3.062401880638153</v>
      </c>
      <c r="S364" s="94">
        <f t="shared" ca="1" si="108"/>
        <v>3.0624018806381534</v>
      </c>
      <c r="T364" s="4">
        <f t="shared" ca="1" si="109"/>
        <v>0</v>
      </c>
      <c r="U364" s="46">
        <f t="shared" ca="1" si="110"/>
        <v>1369.7282638229713</v>
      </c>
      <c r="V364" s="4">
        <f t="shared" ca="1" si="111"/>
        <v>0</v>
      </c>
      <c r="W364" s="13">
        <f t="shared" ca="1" si="112"/>
        <v>4174.0824702348518</v>
      </c>
      <c r="X364" s="4">
        <f t="shared" ca="1" si="113"/>
        <v>0</v>
      </c>
      <c r="AE364" s="4"/>
    </row>
    <row r="365" spans="1:31">
      <c r="A365">
        <v>2</v>
      </c>
      <c r="B365">
        <v>2</v>
      </c>
      <c r="C365">
        <f t="shared" si="95"/>
        <v>6</v>
      </c>
      <c r="D365">
        <f t="shared" si="96"/>
        <v>4</v>
      </c>
      <c r="E365">
        <f t="shared" si="97"/>
        <v>2</v>
      </c>
      <c r="F365" s="100">
        <f t="shared" ca="1" si="98"/>
        <v>1.21E-2</v>
      </c>
      <c r="G365">
        <v>0</v>
      </c>
      <c r="H365">
        <v>0</v>
      </c>
      <c r="I365">
        <v>4</v>
      </c>
      <c r="J365" s="1">
        <f t="shared" ca="1" si="99"/>
        <v>4.802980050000004E-4</v>
      </c>
      <c r="K365" s="1">
        <f t="shared" ca="1" si="100"/>
        <v>5.8116058605000045E-6</v>
      </c>
      <c r="L365" s="13">
        <f t="shared" ca="1" si="101"/>
        <v>52</v>
      </c>
      <c r="M365" s="7">
        <f t="shared" ca="1" si="102"/>
        <v>948</v>
      </c>
      <c r="N365" s="44">
        <f t="shared" ca="1" si="103"/>
        <v>12</v>
      </c>
      <c r="O365" s="94">
        <f t="shared" ca="1" si="104"/>
        <v>3.0624018806381534</v>
      </c>
      <c r="P365" s="94">
        <f t="shared" ca="1" si="105"/>
        <v>30.624018806381528</v>
      </c>
      <c r="Q365" s="94">
        <f t="shared" ca="1" si="106"/>
        <v>30.624018806381528</v>
      </c>
      <c r="R365" s="94">
        <f t="shared" ca="1" si="107"/>
        <v>3.062401880638153</v>
      </c>
      <c r="S365" s="94">
        <f t="shared" ca="1" si="108"/>
        <v>3.0624018806381534</v>
      </c>
      <c r="T365" s="4">
        <f t="shared" ca="1" si="109"/>
        <v>1.7797472716722929E-5</v>
      </c>
      <c r="U365" s="46">
        <f t="shared" ca="1" si="110"/>
        <v>1356.7282638229713</v>
      </c>
      <c r="V365" s="4">
        <f t="shared" ca="1" si="111"/>
        <v>7.8847699291395758E-3</v>
      </c>
      <c r="W365" s="13">
        <f t="shared" ca="1" si="112"/>
        <v>3339.2659761878813</v>
      </c>
      <c r="X365" s="4">
        <f t="shared" ca="1" si="113"/>
        <v>1.940649771698176E-2</v>
      </c>
      <c r="AE365" s="4"/>
    </row>
    <row r="366" spans="1:31">
      <c r="A366">
        <v>2</v>
      </c>
      <c r="B366">
        <v>2</v>
      </c>
      <c r="C366">
        <f t="shared" si="95"/>
        <v>6</v>
      </c>
      <c r="D366">
        <f t="shared" si="96"/>
        <v>4</v>
      </c>
      <c r="E366">
        <f t="shared" si="97"/>
        <v>2</v>
      </c>
      <c r="F366" s="100">
        <f t="shared" ca="1" si="98"/>
        <v>1.21E-2</v>
      </c>
      <c r="G366">
        <v>0</v>
      </c>
      <c r="H366">
        <v>0</v>
      </c>
      <c r="I366">
        <v>3</v>
      </c>
      <c r="J366" s="1">
        <f t="shared" ca="1" si="99"/>
        <v>1.9405980000000033E-5</v>
      </c>
      <c r="K366" s="1">
        <f t="shared" ca="1" si="100"/>
        <v>2.348123580000004E-7</v>
      </c>
      <c r="L366" s="13">
        <f t="shared" ca="1" si="101"/>
        <v>39</v>
      </c>
      <c r="M366" s="7">
        <f t="shared" ca="1" si="102"/>
        <v>961</v>
      </c>
      <c r="N366" s="44">
        <f t="shared" ca="1" si="103"/>
        <v>13</v>
      </c>
      <c r="O366" s="94">
        <f t="shared" ca="1" si="104"/>
        <v>3.2733204919050856</v>
      </c>
      <c r="P366" s="94">
        <f t="shared" ca="1" si="105"/>
        <v>30.624018806381528</v>
      </c>
      <c r="Q366" s="94">
        <f t="shared" ca="1" si="106"/>
        <v>30.624018806381528</v>
      </c>
      <c r="R366" s="94">
        <f t="shared" ca="1" si="107"/>
        <v>3.062401880638153</v>
      </c>
      <c r="S366" s="94">
        <f t="shared" ca="1" si="108"/>
        <v>3.2733204919050856</v>
      </c>
      <c r="T366" s="4">
        <f t="shared" ca="1" si="109"/>
        <v>7.6861610319395435E-7</v>
      </c>
      <c r="U366" s="46">
        <f t="shared" ca="1" si="110"/>
        <v>1420.9771208320408</v>
      </c>
      <c r="V366" s="4">
        <f t="shared" ca="1" si="111"/>
        <v>3.3366298840662296E-4</v>
      </c>
      <c r="W366" s="13">
        <f t="shared" ca="1" si="112"/>
        <v>2504.4494821409107</v>
      </c>
      <c r="X366" s="4">
        <f t="shared" ca="1" si="113"/>
        <v>5.8807568839338718E-4</v>
      </c>
      <c r="AE366" s="4"/>
    </row>
    <row r="367" spans="1:31">
      <c r="A367">
        <v>2</v>
      </c>
      <c r="B367">
        <v>2</v>
      </c>
      <c r="C367">
        <f t="shared" si="95"/>
        <v>6</v>
      </c>
      <c r="D367">
        <f t="shared" si="96"/>
        <v>4</v>
      </c>
      <c r="E367">
        <f t="shared" si="97"/>
        <v>2</v>
      </c>
      <c r="F367" s="100">
        <f t="shared" ca="1" si="98"/>
        <v>1.21E-2</v>
      </c>
      <c r="G367">
        <v>0</v>
      </c>
      <c r="H367">
        <v>0</v>
      </c>
      <c r="I367">
        <v>2</v>
      </c>
      <c r="J367" s="1">
        <f t="shared" ca="1" si="99"/>
        <v>2.9403000000000079E-7</v>
      </c>
      <c r="K367" s="1">
        <f t="shared" ca="1" si="100"/>
        <v>3.5577630000000096E-9</v>
      </c>
      <c r="L367" s="13">
        <f t="shared" ca="1" si="101"/>
        <v>26</v>
      </c>
      <c r="M367" s="7">
        <f t="shared" ca="1" si="102"/>
        <v>974</v>
      </c>
      <c r="N367" s="44">
        <f t="shared" ca="1" si="103"/>
        <v>13</v>
      </c>
      <c r="O367" s="94">
        <f t="shared" ca="1" si="104"/>
        <v>3.2733204919050856</v>
      </c>
      <c r="P367" s="94">
        <f t="shared" ca="1" si="105"/>
        <v>32.733204919050856</v>
      </c>
      <c r="Q367" s="94">
        <f t="shared" ca="1" si="106"/>
        <v>31.256774640182325</v>
      </c>
      <c r="R367" s="94">
        <f t="shared" ca="1" si="107"/>
        <v>3.1994989779616589</v>
      </c>
      <c r="S367" s="94">
        <f t="shared" ca="1" si="108"/>
        <v>3.2733204919050856</v>
      </c>
      <c r="T367" s="4">
        <f t="shared" ca="1" si="109"/>
        <v>1.1645698533241744E-8</v>
      </c>
      <c r="U367" s="46">
        <f t="shared" ca="1" si="110"/>
        <v>1407.9771208320408</v>
      </c>
      <c r="V367" s="4">
        <f t="shared" ca="1" si="111"/>
        <v>5.0092489053427774E-6</v>
      </c>
      <c r="W367" s="13">
        <f t="shared" ca="1" si="112"/>
        <v>1669.6329880939406</v>
      </c>
      <c r="X367" s="4">
        <f t="shared" ca="1" si="113"/>
        <v>5.9401584686200781E-6</v>
      </c>
      <c r="AE367" s="4"/>
    </row>
    <row r="368" spans="1:31">
      <c r="A368">
        <v>2</v>
      </c>
      <c r="B368">
        <v>2</v>
      </c>
      <c r="C368">
        <f t="shared" si="95"/>
        <v>6</v>
      </c>
      <c r="D368">
        <f t="shared" si="96"/>
        <v>4</v>
      </c>
      <c r="E368">
        <f t="shared" si="97"/>
        <v>2</v>
      </c>
      <c r="F368" s="100">
        <f t="shared" ca="1" si="98"/>
        <v>1.21E-2</v>
      </c>
      <c r="G368">
        <v>0</v>
      </c>
      <c r="H368">
        <v>0</v>
      </c>
      <c r="I368">
        <v>1</v>
      </c>
      <c r="J368" s="1">
        <f t="shared" ca="1" si="99"/>
        <v>1.9800000000000068E-9</v>
      </c>
      <c r="K368" s="1">
        <f t="shared" ca="1" si="100"/>
        <v>2.395800000000008E-11</v>
      </c>
      <c r="L368" s="13">
        <f t="shared" ca="1" si="101"/>
        <v>13</v>
      </c>
      <c r="M368" s="7">
        <f t="shared" ca="1" si="102"/>
        <v>987</v>
      </c>
      <c r="N368" s="44">
        <f t="shared" ca="1" si="103"/>
        <v>13</v>
      </c>
      <c r="O368" s="94">
        <f t="shared" ca="1" si="104"/>
        <v>3.2733204919050856</v>
      </c>
      <c r="P368" s="94">
        <f t="shared" ca="1" si="105"/>
        <v>32.733204919050856</v>
      </c>
      <c r="Q368" s="94">
        <f t="shared" ca="1" si="106"/>
        <v>32.733204919050856</v>
      </c>
      <c r="R368" s="94">
        <f t="shared" ca="1" si="107"/>
        <v>3.2733204919050856</v>
      </c>
      <c r="S368" s="94">
        <f t="shared" ca="1" si="108"/>
        <v>3.2733204919050856</v>
      </c>
      <c r="T368" s="4">
        <f t="shared" ca="1" si="109"/>
        <v>7.8422212345062305E-11</v>
      </c>
      <c r="U368" s="46">
        <f t="shared" ca="1" si="110"/>
        <v>1394.9771208320408</v>
      </c>
      <c r="V368" s="4">
        <f t="shared" ca="1" si="111"/>
        <v>3.3420861860894142E-8</v>
      </c>
      <c r="W368" s="13">
        <f t="shared" ca="1" si="112"/>
        <v>834.81649404697032</v>
      </c>
      <c r="X368" s="4">
        <f t="shared" ca="1" si="113"/>
        <v>2.0000533564377383E-8</v>
      </c>
      <c r="AE368" s="4"/>
    </row>
    <row r="369" spans="1:31">
      <c r="A369">
        <v>2</v>
      </c>
      <c r="B369">
        <v>2</v>
      </c>
      <c r="C369">
        <f t="shared" si="95"/>
        <v>6</v>
      </c>
      <c r="D369">
        <f t="shared" si="96"/>
        <v>4</v>
      </c>
      <c r="E369">
        <f t="shared" si="97"/>
        <v>2</v>
      </c>
      <c r="F369" s="100">
        <f t="shared" ca="1" si="98"/>
        <v>1.21E-2</v>
      </c>
      <c r="G369">
        <v>0</v>
      </c>
      <c r="H369">
        <v>0</v>
      </c>
      <c r="I369">
        <v>0</v>
      </c>
      <c r="J369" s="1">
        <f t="shared" ca="1" si="99"/>
        <v>5.0000000000000231E-12</v>
      </c>
      <c r="K369" s="1">
        <f t="shared" ca="1" si="100"/>
        <v>6.0500000000000272E-14</v>
      </c>
      <c r="L369" s="13">
        <f t="shared" ca="1" si="101"/>
        <v>0</v>
      </c>
      <c r="M369" s="7">
        <f t="shared" ca="1" si="102"/>
        <v>1000</v>
      </c>
      <c r="N369" s="44">
        <f t="shared" ca="1" si="103"/>
        <v>13</v>
      </c>
      <c r="O369" s="94">
        <f t="shared" ca="1" si="104"/>
        <v>3.2733204919050856</v>
      </c>
      <c r="P369" s="94">
        <f t="shared" ca="1" si="105"/>
        <v>32.733204919050856</v>
      </c>
      <c r="Q369" s="94">
        <f t="shared" ca="1" si="106"/>
        <v>32.733204919050856</v>
      </c>
      <c r="R369" s="94">
        <f t="shared" ca="1" si="107"/>
        <v>3.2733204919050856</v>
      </c>
      <c r="S369" s="94">
        <f t="shared" ca="1" si="108"/>
        <v>3.2733204919050856</v>
      </c>
      <c r="T369" s="4">
        <f t="shared" ca="1" si="109"/>
        <v>1.9803588976025856E-13</v>
      </c>
      <c r="U369" s="46">
        <f t="shared" ca="1" si="110"/>
        <v>1381.9771208320408</v>
      </c>
      <c r="V369" s="4">
        <f t="shared" ca="1" si="111"/>
        <v>8.3609615810338841E-11</v>
      </c>
      <c r="W369" s="13">
        <f t="shared" ca="1" si="112"/>
        <v>0</v>
      </c>
      <c r="X369" s="4">
        <f t="shared" ca="1" si="113"/>
        <v>0</v>
      </c>
      <c r="AE369" s="4"/>
    </row>
    <row r="370" spans="1:31">
      <c r="A370">
        <v>2</v>
      </c>
      <c r="B370">
        <v>3</v>
      </c>
      <c r="C370">
        <f t="shared" si="95"/>
        <v>7</v>
      </c>
      <c r="D370">
        <f t="shared" si="96"/>
        <v>5</v>
      </c>
      <c r="E370">
        <f t="shared" si="97"/>
        <v>2</v>
      </c>
      <c r="F370" s="100">
        <f t="shared" ca="1" si="98"/>
        <v>0</v>
      </c>
      <c r="G370">
        <v>1</v>
      </c>
      <c r="H370">
        <v>1</v>
      </c>
      <c r="I370">
        <v>7</v>
      </c>
      <c r="J370" s="1">
        <f t="shared" ca="1" si="99"/>
        <v>0</v>
      </c>
      <c r="K370" s="1">
        <f t="shared" ca="1" si="100"/>
        <v>0</v>
      </c>
      <c r="L370" s="13">
        <f t="shared" ca="1" si="101"/>
        <v>215</v>
      </c>
      <c r="M370" s="7">
        <f t="shared" ca="1" si="102"/>
        <v>785</v>
      </c>
      <c r="N370" s="44">
        <f t="shared" ca="1" si="103"/>
        <v>10</v>
      </c>
      <c r="O370" s="94">
        <f t="shared" ca="1" si="104"/>
        <v>2.5999636871582168</v>
      </c>
      <c r="P370" s="94">
        <f t="shared" ca="1" si="105"/>
        <v>25.999636871582165</v>
      </c>
      <c r="Q370" s="94">
        <f t="shared" ca="1" si="106"/>
        <v>25.999636871582165</v>
      </c>
      <c r="R370" s="94">
        <f t="shared" ca="1" si="107"/>
        <v>2.5999636871582164</v>
      </c>
      <c r="S370" s="94">
        <f t="shared" ca="1" si="108"/>
        <v>2.5999636871582168</v>
      </c>
      <c r="T370" s="4">
        <f t="shared" ca="1" si="109"/>
        <v>0</v>
      </c>
      <c r="U370" s="46">
        <f t="shared" ca="1" si="110"/>
        <v>1350.360460436222</v>
      </c>
      <c r="V370" s="4">
        <f t="shared" ca="1" si="111"/>
        <v>0</v>
      </c>
      <c r="W370" s="13">
        <f t="shared" ca="1" si="112"/>
        <v>12313.142557895597</v>
      </c>
      <c r="X370" s="4">
        <f t="shared" ca="1" si="113"/>
        <v>0</v>
      </c>
      <c r="AE370" s="4"/>
    </row>
    <row r="371" spans="1:31">
      <c r="A371">
        <v>2</v>
      </c>
      <c r="B371">
        <v>3</v>
      </c>
      <c r="C371">
        <f t="shared" si="95"/>
        <v>7</v>
      </c>
      <c r="D371">
        <f t="shared" si="96"/>
        <v>5</v>
      </c>
      <c r="E371">
        <f t="shared" si="97"/>
        <v>2</v>
      </c>
      <c r="F371" s="100">
        <f t="shared" ca="1" si="98"/>
        <v>0</v>
      </c>
      <c r="G371">
        <v>1</v>
      </c>
      <c r="H371">
        <v>1</v>
      </c>
      <c r="I371">
        <v>6</v>
      </c>
      <c r="J371" s="1">
        <f t="shared" ca="1" si="99"/>
        <v>0</v>
      </c>
      <c r="K371" s="1">
        <f t="shared" ca="1" si="100"/>
        <v>0</v>
      </c>
      <c r="L371" s="13">
        <f t="shared" ca="1" si="101"/>
        <v>202</v>
      </c>
      <c r="M371" s="7">
        <f t="shared" ca="1" si="102"/>
        <v>798</v>
      </c>
      <c r="N371" s="44">
        <f t="shared" ca="1" si="103"/>
        <v>10</v>
      </c>
      <c r="O371" s="94">
        <f t="shared" ca="1" si="104"/>
        <v>2.5999636871582168</v>
      </c>
      <c r="P371" s="94">
        <f t="shared" ca="1" si="105"/>
        <v>25.999636871582165</v>
      </c>
      <c r="Q371" s="94">
        <f t="shared" ca="1" si="106"/>
        <v>25.999636871582165</v>
      </c>
      <c r="R371" s="94">
        <f t="shared" ca="1" si="107"/>
        <v>2.5999636871582164</v>
      </c>
      <c r="S371" s="94">
        <f t="shared" ca="1" si="108"/>
        <v>2.5999636871582168</v>
      </c>
      <c r="T371" s="4">
        <f t="shared" ca="1" si="109"/>
        <v>0</v>
      </c>
      <c r="U371" s="46">
        <f t="shared" ca="1" si="110"/>
        <v>1337.360460436222</v>
      </c>
      <c r="V371" s="4">
        <f t="shared" ca="1" si="111"/>
        <v>0</v>
      </c>
      <c r="W371" s="13">
        <f t="shared" ca="1" si="112"/>
        <v>11478.326063848626</v>
      </c>
      <c r="X371" s="4">
        <f t="shared" ca="1" si="113"/>
        <v>0</v>
      </c>
      <c r="AE371" s="4"/>
    </row>
    <row r="372" spans="1:31">
      <c r="A372">
        <v>2</v>
      </c>
      <c r="B372">
        <v>3</v>
      </c>
      <c r="C372">
        <f t="shared" si="95"/>
        <v>7</v>
      </c>
      <c r="D372">
        <f t="shared" si="96"/>
        <v>5</v>
      </c>
      <c r="E372">
        <f t="shared" si="97"/>
        <v>2</v>
      </c>
      <c r="F372" s="100">
        <f t="shared" ca="1" si="98"/>
        <v>0</v>
      </c>
      <c r="G372">
        <v>1</v>
      </c>
      <c r="H372">
        <v>1</v>
      </c>
      <c r="I372">
        <v>5</v>
      </c>
      <c r="J372" s="1">
        <f t="shared" ca="1" si="99"/>
        <v>0.89440614193094992</v>
      </c>
      <c r="K372" s="1">
        <f t="shared" ca="1" si="100"/>
        <v>0</v>
      </c>
      <c r="L372" s="13">
        <f t="shared" ca="1" si="101"/>
        <v>189</v>
      </c>
      <c r="M372" s="7">
        <f t="shared" ca="1" si="102"/>
        <v>811</v>
      </c>
      <c r="N372" s="44">
        <f t="shared" ca="1" si="103"/>
        <v>11</v>
      </c>
      <c r="O372" s="94">
        <f t="shared" ca="1" si="104"/>
        <v>2.8397004155948178</v>
      </c>
      <c r="P372" s="94">
        <f t="shared" ca="1" si="105"/>
        <v>28.397004155948181</v>
      </c>
      <c r="Q372" s="94">
        <f t="shared" ca="1" si="106"/>
        <v>25.999636871582165</v>
      </c>
      <c r="R372" s="94">
        <f t="shared" ca="1" si="107"/>
        <v>2.7198320513765175</v>
      </c>
      <c r="S372" s="94">
        <f t="shared" ca="1" si="108"/>
        <v>2.8397004155948178</v>
      </c>
      <c r="T372" s="4">
        <f t="shared" ca="1" si="109"/>
        <v>0</v>
      </c>
      <c r="U372" s="46">
        <f t="shared" ca="1" si="110"/>
        <v>1412.1639413314356</v>
      </c>
      <c r="V372" s="4">
        <f t="shared" ca="1" si="111"/>
        <v>0</v>
      </c>
      <c r="W372" s="13">
        <f t="shared" ca="1" si="112"/>
        <v>10643.509569801656</v>
      </c>
      <c r="X372" s="4">
        <f t="shared" ca="1" si="113"/>
        <v>0</v>
      </c>
      <c r="AE372" s="4"/>
    </row>
    <row r="373" spans="1:31">
      <c r="A373">
        <v>2</v>
      </c>
      <c r="B373">
        <v>3</v>
      </c>
      <c r="C373">
        <f t="shared" si="95"/>
        <v>7</v>
      </c>
      <c r="D373">
        <f t="shared" si="96"/>
        <v>5</v>
      </c>
      <c r="E373">
        <f t="shared" si="97"/>
        <v>2</v>
      </c>
      <c r="F373" s="100">
        <f t="shared" ca="1" si="98"/>
        <v>0</v>
      </c>
      <c r="G373">
        <v>1</v>
      </c>
      <c r="H373">
        <v>1</v>
      </c>
      <c r="I373">
        <v>4</v>
      </c>
      <c r="J373" s="1">
        <f t="shared" ca="1" si="99"/>
        <v>4.5172027370250036E-2</v>
      </c>
      <c r="K373" s="1">
        <f t="shared" ca="1" si="100"/>
        <v>0</v>
      </c>
      <c r="L373" s="13">
        <f t="shared" ca="1" si="101"/>
        <v>176</v>
      </c>
      <c r="M373" s="7">
        <f t="shared" ca="1" si="102"/>
        <v>824</v>
      </c>
      <c r="N373" s="44">
        <f t="shared" ca="1" si="103"/>
        <v>11</v>
      </c>
      <c r="O373" s="94">
        <f t="shared" ca="1" si="104"/>
        <v>2.8397004155948178</v>
      </c>
      <c r="P373" s="94">
        <f t="shared" ca="1" si="105"/>
        <v>28.397004155948181</v>
      </c>
      <c r="Q373" s="94">
        <f t="shared" ca="1" si="106"/>
        <v>28.397004155948181</v>
      </c>
      <c r="R373" s="94">
        <f t="shared" ca="1" si="107"/>
        <v>2.8397004155948182</v>
      </c>
      <c r="S373" s="94">
        <f t="shared" ca="1" si="108"/>
        <v>2.8397004155948178</v>
      </c>
      <c r="T373" s="4">
        <f t="shared" ca="1" si="109"/>
        <v>0</v>
      </c>
      <c r="U373" s="46">
        <f t="shared" ca="1" si="110"/>
        <v>1399.1639413314356</v>
      </c>
      <c r="V373" s="4">
        <f t="shared" ca="1" si="111"/>
        <v>0</v>
      </c>
      <c r="W373" s="13">
        <f t="shared" ca="1" si="112"/>
        <v>9808.693075754687</v>
      </c>
      <c r="X373" s="4">
        <f t="shared" ca="1" si="113"/>
        <v>0</v>
      </c>
      <c r="AE373" s="4"/>
    </row>
    <row r="374" spans="1:31">
      <c r="A374">
        <v>2</v>
      </c>
      <c r="B374">
        <v>3</v>
      </c>
      <c r="C374">
        <f t="shared" si="95"/>
        <v>7</v>
      </c>
      <c r="D374">
        <f t="shared" si="96"/>
        <v>5</v>
      </c>
      <c r="E374">
        <f t="shared" si="97"/>
        <v>2</v>
      </c>
      <c r="F374" s="100">
        <f t="shared" ca="1" si="98"/>
        <v>0</v>
      </c>
      <c r="G374">
        <v>1</v>
      </c>
      <c r="H374">
        <v>1</v>
      </c>
      <c r="I374">
        <v>3</v>
      </c>
      <c r="J374" s="1">
        <f t="shared" ca="1" si="99"/>
        <v>9.1256620950000162E-4</v>
      </c>
      <c r="K374" s="1">
        <f t="shared" ca="1" si="100"/>
        <v>0</v>
      </c>
      <c r="L374" s="13">
        <f t="shared" ca="1" si="101"/>
        <v>163</v>
      </c>
      <c r="M374" s="7">
        <f t="shared" ca="1" si="102"/>
        <v>837</v>
      </c>
      <c r="N374" s="44">
        <f t="shared" ca="1" si="103"/>
        <v>11</v>
      </c>
      <c r="O374" s="94">
        <f t="shared" ca="1" si="104"/>
        <v>2.8397004155948178</v>
      </c>
      <c r="P374" s="94">
        <f t="shared" ca="1" si="105"/>
        <v>28.397004155948181</v>
      </c>
      <c r="Q374" s="94">
        <f t="shared" ca="1" si="106"/>
        <v>28.397004155948181</v>
      </c>
      <c r="R374" s="94">
        <f t="shared" ca="1" si="107"/>
        <v>2.8397004155948182</v>
      </c>
      <c r="S374" s="94">
        <f t="shared" ca="1" si="108"/>
        <v>2.8397004155948178</v>
      </c>
      <c r="T374" s="4">
        <f t="shared" ca="1" si="109"/>
        <v>0</v>
      </c>
      <c r="U374" s="46">
        <f t="shared" ca="1" si="110"/>
        <v>1386.1639413314356</v>
      </c>
      <c r="V374" s="4">
        <f t="shared" ca="1" si="111"/>
        <v>0</v>
      </c>
      <c r="W374" s="13">
        <f t="shared" ca="1" si="112"/>
        <v>8973.8765817077146</v>
      </c>
      <c r="X374" s="4">
        <f t="shared" ca="1" si="113"/>
        <v>0</v>
      </c>
      <c r="AE374" s="4"/>
    </row>
    <row r="375" spans="1:31">
      <c r="A375">
        <v>2</v>
      </c>
      <c r="B375">
        <v>3</v>
      </c>
      <c r="C375">
        <f t="shared" si="95"/>
        <v>7</v>
      </c>
      <c r="D375">
        <f t="shared" si="96"/>
        <v>5</v>
      </c>
      <c r="E375">
        <f t="shared" si="97"/>
        <v>2</v>
      </c>
      <c r="F375" s="100">
        <f t="shared" ca="1" si="98"/>
        <v>0</v>
      </c>
      <c r="G375">
        <v>1</v>
      </c>
      <c r="H375">
        <v>1</v>
      </c>
      <c r="I375">
        <v>2</v>
      </c>
      <c r="J375" s="1">
        <f t="shared" ca="1" si="99"/>
        <v>9.2178405000000246E-6</v>
      </c>
      <c r="K375" s="1">
        <f t="shared" ca="1" si="100"/>
        <v>0</v>
      </c>
      <c r="L375" s="13">
        <f t="shared" ca="1" si="101"/>
        <v>150</v>
      </c>
      <c r="M375" s="7">
        <f t="shared" ca="1" si="102"/>
        <v>850</v>
      </c>
      <c r="N375" s="44">
        <f t="shared" ca="1" si="103"/>
        <v>11</v>
      </c>
      <c r="O375" s="94">
        <f t="shared" ca="1" si="104"/>
        <v>2.8397004155948178</v>
      </c>
      <c r="P375" s="94">
        <f t="shared" ca="1" si="105"/>
        <v>28.397004155948181</v>
      </c>
      <c r="Q375" s="94">
        <f t="shared" ca="1" si="106"/>
        <v>28.397004155948181</v>
      </c>
      <c r="R375" s="94">
        <f t="shared" ca="1" si="107"/>
        <v>2.8397004155948182</v>
      </c>
      <c r="S375" s="94">
        <f t="shared" ca="1" si="108"/>
        <v>2.8397004155948178</v>
      </c>
      <c r="T375" s="4">
        <f t="shared" ca="1" si="109"/>
        <v>0</v>
      </c>
      <c r="U375" s="46">
        <f t="shared" ca="1" si="110"/>
        <v>1373.1639413314356</v>
      </c>
      <c r="V375" s="4">
        <f t="shared" ca="1" si="111"/>
        <v>0</v>
      </c>
      <c r="W375" s="13">
        <f t="shared" ca="1" si="112"/>
        <v>8139.0600876607459</v>
      </c>
      <c r="X375" s="4">
        <f t="shared" ca="1" si="113"/>
        <v>0</v>
      </c>
      <c r="AE375" s="4"/>
    </row>
    <row r="376" spans="1:31">
      <c r="A376">
        <v>2</v>
      </c>
      <c r="B376">
        <v>3</v>
      </c>
      <c r="C376">
        <f t="shared" si="95"/>
        <v>7</v>
      </c>
      <c r="D376">
        <f t="shared" si="96"/>
        <v>5</v>
      </c>
      <c r="E376">
        <f t="shared" si="97"/>
        <v>2</v>
      </c>
      <c r="F376" s="100">
        <f t="shared" ca="1" si="98"/>
        <v>0</v>
      </c>
      <c r="G376">
        <v>1</v>
      </c>
      <c r="H376">
        <v>1</v>
      </c>
      <c r="I376">
        <v>1</v>
      </c>
      <c r="J376" s="1">
        <f t="shared" ca="1" si="99"/>
        <v>4.6554750000000167E-8</v>
      </c>
      <c r="K376" s="1">
        <f t="shared" ca="1" si="100"/>
        <v>0</v>
      </c>
      <c r="L376" s="13">
        <f t="shared" ca="1" si="101"/>
        <v>137</v>
      </c>
      <c r="M376" s="7">
        <f t="shared" ca="1" si="102"/>
        <v>863</v>
      </c>
      <c r="N376" s="44">
        <f t="shared" ca="1" si="103"/>
        <v>11</v>
      </c>
      <c r="O376" s="94">
        <f t="shared" ca="1" si="104"/>
        <v>2.8397004155948178</v>
      </c>
      <c r="P376" s="94">
        <f t="shared" ca="1" si="105"/>
        <v>28.397004155948181</v>
      </c>
      <c r="Q376" s="94">
        <f t="shared" ca="1" si="106"/>
        <v>28.397004155948181</v>
      </c>
      <c r="R376" s="94">
        <f t="shared" ca="1" si="107"/>
        <v>2.8397004155948182</v>
      </c>
      <c r="S376" s="94">
        <f t="shared" ca="1" si="108"/>
        <v>2.8397004155948178</v>
      </c>
      <c r="T376" s="4">
        <f t="shared" ca="1" si="109"/>
        <v>0</v>
      </c>
      <c r="U376" s="46">
        <f t="shared" ca="1" si="110"/>
        <v>1360.1639413314356</v>
      </c>
      <c r="V376" s="4">
        <f t="shared" ca="1" si="111"/>
        <v>0</v>
      </c>
      <c r="W376" s="13">
        <f t="shared" ca="1" si="112"/>
        <v>7304.2435936137754</v>
      </c>
      <c r="X376" s="4">
        <f t="shared" ca="1" si="113"/>
        <v>0</v>
      </c>
      <c r="AE376" s="4"/>
    </row>
    <row r="377" spans="1:31">
      <c r="A377">
        <v>2</v>
      </c>
      <c r="B377">
        <v>3</v>
      </c>
      <c r="C377">
        <f t="shared" si="95"/>
        <v>7</v>
      </c>
      <c r="D377">
        <f t="shared" si="96"/>
        <v>5</v>
      </c>
      <c r="E377">
        <f t="shared" si="97"/>
        <v>2</v>
      </c>
      <c r="F377" s="100">
        <f t="shared" ca="1" si="98"/>
        <v>0</v>
      </c>
      <c r="G377">
        <v>1</v>
      </c>
      <c r="H377">
        <v>1</v>
      </c>
      <c r="I377">
        <v>0</v>
      </c>
      <c r="J377" s="1">
        <f t="shared" ca="1" si="99"/>
        <v>9.4050000000000427E-11</v>
      </c>
      <c r="K377" s="1">
        <f t="shared" ca="1" si="100"/>
        <v>0</v>
      </c>
      <c r="L377" s="13">
        <f t="shared" ca="1" si="101"/>
        <v>124</v>
      </c>
      <c r="M377" s="7">
        <f t="shared" ca="1" si="102"/>
        <v>876</v>
      </c>
      <c r="N377" s="44">
        <f t="shared" ca="1" si="103"/>
        <v>11</v>
      </c>
      <c r="O377" s="94">
        <f t="shared" ca="1" si="104"/>
        <v>2.8397004155948178</v>
      </c>
      <c r="P377" s="94">
        <f t="shared" ca="1" si="105"/>
        <v>28.397004155948181</v>
      </c>
      <c r="Q377" s="94">
        <f t="shared" ca="1" si="106"/>
        <v>28.397004155948181</v>
      </c>
      <c r="R377" s="94">
        <f t="shared" ca="1" si="107"/>
        <v>2.8397004155948182</v>
      </c>
      <c r="S377" s="94">
        <f t="shared" ca="1" si="108"/>
        <v>2.8397004155948178</v>
      </c>
      <c r="T377" s="4">
        <f t="shared" ca="1" si="109"/>
        <v>0</v>
      </c>
      <c r="U377" s="46">
        <f t="shared" ca="1" si="110"/>
        <v>1347.1639413314356</v>
      </c>
      <c r="V377" s="4">
        <f t="shared" ca="1" si="111"/>
        <v>0</v>
      </c>
      <c r="W377" s="13">
        <f t="shared" ca="1" si="112"/>
        <v>6469.4270995668048</v>
      </c>
      <c r="X377" s="4">
        <f t="shared" ca="1" si="113"/>
        <v>0</v>
      </c>
      <c r="AE377" s="4"/>
    </row>
    <row r="378" spans="1:31">
      <c r="A378">
        <v>2</v>
      </c>
      <c r="B378">
        <v>3</v>
      </c>
      <c r="C378">
        <f t="shared" si="95"/>
        <v>7</v>
      </c>
      <c r="D378">
        <f t="shared" si="96"/>
        <v>5</v>
      </c>
      <c r="E378">
        <f t="shared" si="97"/>
        <v>2</v>
      </c>
      <c r="F378" s="100">
        <f t="shared" ca="1" si="98"/>
        <v>0</v>
      </c>
      <c r="G378">
        <v>1</v>
      </c>
      <c r="H378">
        <v>0</v>
      </c>
      <c r="I378">
        <v>7</v>
      </c>
      <c r="J378" s="1">
        <f t="shared" ca="1" si="99"/>
        <v>0</v>
      </c>
      <c r="K378" s="1">
        <f t="shared" ca="1" si="100"/>
        <v>0</v>
      </c>
      <c r="L378" s="13">
        <f t="shared" ca="1" si="101"/>
        <v>153</v>
      </c>
      <c r="M378" s="7">
        <f t="shared" ca="1" si="102"/>
        <v>847</v>
      </c>
      <c r="N378" s="44">
        <f t="shared" ca="1" si="103"/>
        <v>11</v>
      </c>
      <c r="O378" s="94">
        <f t="shared" ca="1" si="104"/>
        <v>2.8397004155948178</v>
      </c>
      <c r="P378" s="94">
        <f t="shared" ca="1" si="105"/>
        <v>28.397004155948181</v>
      </c>
      <c r="Q378" s="94">
        <f t="shared" ca="1" si="106"/>
        <v>28.397004155948181</v>
      </c>
      <c r="R378" s="94">
        <f t="shared" ca="1" si="107"/>
        <v>2.8397004155948182</v>
      </c>
      <c r="S378" s="94">
        <f t="shared" ca="1" si="108"/>
        <v>2.8397004155948178</v>
      </c>
      <c r="T378" s="4">
        <f t="shared" ca="1" si="109"/>
        <v>0</v>
      </c>
      <c r="U378" s="46">
        <f t="shared" ca="1" si="110"/>
        <v>1376.1639413314356</v>
      </c>
      <c r="V378" s="4">
        <f t="shared" ca="1" si="111"/>
        <v>0</v>
      </c>
      <c r="W378" s="13">
        <f t="shared" ca="1" si="112"/>
        <v>11687.430916657584</v>
      </c>
      <c r="X378" s="4">
        <f t="shared" ca="1" si="113"/>
        <v>0</v>
      </c>
      <c r="AE378" s="4"/>
    </row>
    <row r="379" spans="1:31">
      <c r="A379">
        <v>2</v>
      </c>
      <c r="B379">
        <v>3</v>
      </c>
      <c r="C379">
        <f t="shared" si="95"/>
        <v>7</v>
      </c>
      <c r="D379">
        <f t="shared" si="96"/>
        <v>5</v>
      </c>
      <c r="E379">
        <f t="shared" si="97"/>
        <v>2</v>
      </c>
      <c r="F379" s="100">
        <f t="shared" ca="1" si="98"/>
        <v>0</v>
      </c>
      <c r="G379">
        <v>1</v>
      </c>
      <c r="H379">
        <v>0</v>
      </c>
      <c r="I379">
        <v>6</v>
      </c>
      <c r="J379" s="1">
        <f t="shared" ca="1" si="99"/>
        <v>0</v>
      </c>
      <c r="K379" s="1">
        <f t="shared" ca="1" si="100"/>
        <v>0</v>
      </c>
      <c r="L379" s="13">
        <f t="shared" ca="1" si="101"/>
        <v>140</v>
      </c>
      <c r="M379" s="7">
        <f t="shared" ca="1" si="102"/>
        <v>860</v>
      </c>
      <c r="N379" s="44">
        <f t="shared" ca="1" si="103"/>
        <v>11</v>
      </c>
      <c r="O379" s="94">
        <f t="shared" ca="1" si="104"/>
        <v>2.8397004155948178</v>
      </c>
      <c r="P379" s="94">
        <f t="shared" ca="1" si="105"/>
        <v>28.397004155948181</v>
      </c>
      <c r="Q379" s="94">
        <f t="shared" ca="1" si="106"/>
        <v>28.397004155948181</v>
      </c>
      <c r="R379" s="94">
        <f t="shared" ca="1" si="107"/>
        <v>2.8397004155948182</v>
      </c>
      <c r="S379" s="94">
        <f t="shared" ca="1" si="108"/>
        <v>2.8397004155948178</v>
      </c>
      <c r="T379" s="4">
        <f t="shared" ca="1" si="109"/>
        <v>0</v>
      </c>
      <c r="U379" s="46">
        <f t="shared" ca="1" si="110"/>
        <v>1363.1639413314356</v>
      </c>
      <c r="V379" s="4">
        <f t="shared" ca="1" si="111"/>
        <v>0</v>
      </c>
      <c r="W379" s="13">
        <f t="shared" ca="1" si="112"/>
        <v>10852.614422610615</v>
      </c>
      <c r="X379" s="4">
        <f t="shared" ca="1" si="113"/>
        <v>0</v>
      </c>
      <c r="AE379" s="4"/>
    </row>
    <row r="380" spans="1:31">
      <c r="A380">
        <v>2</v>
      </c>
      <c r="B380">
        <v>3</v>
      </c>
      <c r="C380">
        <f t="shared" si="95"/>
        <v>7</v>
      </c>
      <c r="D380">
        <f t="shared" si="96"/>
        <v>5</v>
      </c>
      <c r="E380">
        <f t="shared" si="97"/>
        <v>2</v>
      </c>
      <c r="F380" s="100">
        <f t="shared" ca="1" si="98"/>
        <v>0</v>
      </c>
      <c r="G380">
        <v>1</v>
      </c>
      <c r="H380">
        <v>0</v>
      </c>
      <c r="I380">
        <v>5</v>
      </c>
      <c r="J380" s="1">
        <f t="shared" ca="1" si="99"/>
        <v>9.0344054740500064E-3</v>
      </c>
      <c r="K380" s="1">
        <f t="shared" ca="1" si="100"/>
        <v>0</v>
      </c>
      <c r="L380" s="13">
        <f t="shared" ca="1" si="101"/>
        <v>127</v>
      </c>
      <c r="M380" s="7">
        <f t="shared" ca="1" si="102"/>
        <v>873</v>
      </c>
      <c r="N380" s="44">
        <f t="shared" ca="1" si="103"/>
        <v>11</v>
      </c>
      <c r="O380" s="94">
        <f t="shared" ca="1" si="104"/>
        <v>2.8397004155948178</v>
      </c>
      <c r="P380" s="94">
        <f t="shared" ca="1" si="105"/>
        <v>28.397004155948181</v>
      </c>
      <c r="Q380" s="94">
        <f t="shared" ca="1" si="106"/>
        <v>28.397004155948181</v>
      </c>
      <c r="R380" s="94">
        <f t="shared" ca="1" si="107"/>
        <v>2.8397004155948182</v>
      </c>
      <c r="S380" s="94">
        <f t="shared" ca="1" si="108"/>
        <v>2.8397004155948178</v>
      </c>
      <c r="T380" s="4">
        <f t="shared" ca="1" si="109"/>
        <v>0</v>
      </c>
      <c r="U380" s="46">
        <f t="shared" ca="1" si="110"/>
        <v>1350.1639413314356</v>
      </c>
      <c r="V380" s="4">
        <f t="shared" ca="1" si="111"/>
        <v>0</v>
      </c>
      <c r="W380" s="13">
        <f t="shared" ca="1" si="112"/>
        <v>10017.797928563645</v>
      </c>
      <c r="X380" s="4">
        <f t="shared" ca="1" si="113"/>
        <v>0</v>
      </c>
      <c r="AE380" s="4"/>
    </row>
    <row r="381" spans="1:31">
      <c r="A381">
        <v>2</v>
      </c>
      <c r="B381">
        <v>3</v>
      </c>
      <c r="C381">
        <f t="shared" si="95"/>
        <v>7</v>
      </c>
      <c r="D381">
        <f t="shared" si="96"/>
        <v>5</v>
      </c>
      <c r="E381">
        <f t="shared" si="97"/>
        <v>2</v>
      </c>
      <c r="F381" s="100">
        <f t="shared" ca="1" si="98"/>
        <v>0</v>
      </c>
      <c r="G381">
        <v>1</v>
      </c>
      <c r="H381">
        <v>0</v>
      </c>
      <c r="I381">
        <v>4</v>
      </c>
      <c r="J381" s="1">
        <f t="shared" ca="1" si="99"/>
        <v>4.5628310475000076E-4</v>
      </c>
      <c r="K381" s="1">
        <f t="shared" ca="1" si="100"/>
        <v>0</v>
      </c>
      <c r="L381" s="13">
        <f t="shared" ca="1" si="101"/>
        <v>114</v>
      </c>
      <c r="M381" s="7">
        <f t="shared" ca="1" si="102"/>
        <v>886</v>
      </c>
      <c r="N381" s="44">
        <f t="shared" ca="1" si="103"/>
        <v>12</v>
      </c>
      <c r="O381" s="94">
        <f t="shared" ca="1" si="104"/>
        <v>3.0624018806381534</v>
      </c>
      <c r="P381" s="94">
        <f t="shared" ca="1" si="105"/>
        <v>29.510511481164862</v>
      </c>
      <c r="Q381" s="94">
        <f t="shared" ca="1" si="106"/>
        <v>28.397004155948181</v>
      </c>
      <c r="R381" s="94">
        <f t="shared" ca="1" si="107"/>
        <v>2.8953757818556523</v>
      </c>
      <c r="S381" s="94">
        <f t="shared" ca="1" si="108"/>
        <v>3.0624018806381534</v>
      </c>
      <c r="T381" s="4">
        <f t="shared" ca="1" si="109"/>
        <v>0</v>
      </c>
      <c r="U381" s="46">
        <f t="shared" ca="1" si="110"/>
        <v>1418.7282638229713</v>
      </c>
      <c r="V381" s="4">
        <f t="shared" ca="1" si="111"/>
        <v>0</v>
      </c>
      <c r="W381" s="13">
        <f t="shared" ca="1" si="112"/>
        <v>9182.9814345166742</v>
      </c>
      <c r="X381" s="4">
        <f t="shared" ca="1" si="113"/>
        <v>0</v>
      </c>
      <c r="AE381" s="4"/>
    </row>
    <row r="382" spans="1:31">
      <c r="A382">
        <v>2</v>
      </c>
      <c r="B382">
        <v>3</v>
      </c>
      <c r="C382">
        <f t="shared" si="95"/>
        <v>7</v>
      </c>
      <c r="D382">
        <f t="shared" si="96"/>
        <v>5</v>
      </c>
      <c r="E382">
        <f t="shared" si="97"/>
        <v>2</v>
      </c>
      <c r="F382" s="100">
        <f t="shared" ca="1" si="98"/>
        <v>0</v>
      </c>
      <c r="G382">
        <v>1</v>
      </c>
      <c r="H382">
        <v>0</v>
      </c>
      <c r="I382">
        <v>3</v>
      </c>
      <c r="J382" s="1">
        <f t="shared" ca="1" si="99"/>
        <v>9.2178405000000246E-6</v>
      </c>
      <c r="K382" s="1">
        <f t="shared" ca="1" si="100"/>
        <v>0</v>
      </c>
      <c r="L382" s="13">
        <f t="shared" ca="1" si="101"/>
        <v>101</v>
      </c>
      <c r="M382" s="7">
        <f t="shared" ca="1" si="102"/>
        <v>899</v>
      </c>
      <c r="N382" s="44">
        <f t="shared" ca="1" si="103"/>
        <v>12</v>
      </c>
      <c r="O382" s="94">
        <f t="shared" ca="1" si="104"/>
        <v>3.0624018806381534</v>
      </c>
      <c r="P382" s="94">
        <f t="shared" ca="1" si="105"/>
        <v>30.624018806381528</v>
      </c>
      <c r="Q382" s="94">
        <f t="shared" ca="1" si="106"/>
        <v>30.178615876294863</v>
      </c>
      <c r="R382" s="94">
        <f t="shared" ca="1" si="107"/>
        <v>3.0401317341338197</v>
      </c>
      <c r="S382" s="94">
        <f t="shared" ca="1" si="108"/>
        <v>3.0624018806381534</v>
      </c>
      <c r="T382" s="4">
        <f t="shared" ca="1" si="109"/>
        <v>0</v>
      </c>
      <c r="U382" s="46">
        <f t="shared" ca="1" si="110"/>
        <v>1405.7282638229713</v>
      </c>
      <c r="V382" s="4">
        <f t="shared" ca="1" si="111"/>
        <v>0</v>
      </c>
      <c r="W382" s="13">
        <f t="shared" ca="1" si="112"/>
        <v>8348.1649404697037</v>
      </c>
      <c r="X382" s="4">
        <f t="shared" ca="1" si="113"/>
        <v>0</v>
      </c>
      <c r="AE382" s="4"/>
    </row>
    <row r="383" spans="1:31">
      <c r="A383">
        <v>2</v>
      </c>
      <c r="B383">
        <v>3</v>
      </c>
      <c r="C383">
        <f t="shared" si="95"/>
        <v>7</v>
      </c>
      <c r="D383">
        <f t="shared" si="96"/>
        <v>5</v>
      </c>
      <c r="E383">
        <f t="shared" si="97"/>
        <v>2</v>
      </c>
      <c r="F383" s="100">
        <f t="shared" ca="1" si="98"/>
        <v>0</v>
      </c>
      <c r="G383">
        <v>1</v>
      </c>
      <c r="H383">
        <v>0</v>
      </c>
      <c r="I383">
        <v>2</v>
      </c>
      <c r="J383" s="1">
        <f t="shared" ca="1" si="99"/>
        <v>9.3109500000000335E-8</v>
      </c>
      <c r="K383" s="1">
        <f t="shared" ca="1" si="100"/>
        <v>0</v>
      </c>
      <c r="L383" s="13">
        <f t="shared" ca="1" si="101"/>
        <v>88</v>
      </c>
      <c r="M383" s="7">
        <f t="shared" ca="1" si="102"/>
        <v>912</v>
      </c>
      <c r="N383" s="44">
        <f t="shared" ca="1" si="103"/>
        <v>12</v>
      </c>
      <c r="O383" s="94">
        <f t="shared" ca="1" si="104"/>
        <v>3.0624018806381534</v>
      </c>
      <c r="P383" s="94">
        <f t="shared" ca="1" si="105"/>
        <v>30.624018806381528</v>
      </c>
      <c r="Q383" s="94">
        <f t="shared" ca="1" si="106"/>
        <v>30.624018806381528</v>
      </c>
      <c r="R383" s="94">
        <f t="shared" ca="1" si="107"/>
        <v>3.062401880638153</v>
      </c>
      <c r="S383" s="94">
        <f t="shared" ca="1" si="108"/>
        <v>3.0624018806381534</v>
      </c>
      <c r="T383" s="4">
        <f t="shared" ca="1" si="109"/>
        <v>0</v>
      </c>
      <c r="U383" s="46">
        <f t="shared" ca="1" si="110"/>
        <v>1392.7282638229713</v>
      </c>
      <c r="V383" s="4">
        <f t="shared" ca="1" si="111"/>
        <v>0</v>
      </c>
      <c r="W383" s="13">
        <f t="shared" ca="1" si="112"/>
        <v>7513.3484464227331</v>
      </c>
      <c r="X383" s="4">
        <f t="shared" ca="1" si="113"/>
        <v>0</v>
      </c>
      <c r="AE383" s="4"/>
    </row>
    <row r="384" spans="1:31">
      <c r="A384">
        <v>2</v>
      </c>
      <c r="B384">
        <v>3</v>
      </c>
      <c r="C384">
        <f t="shared" si="95"/>
        <v>7</v>
      </c>
      <c r="D384">
        <f t="shared" si="96"/>
        <v>5</v>
      </c>
      <c r="E384">
        <f t="shared" si="97"/>
        <v>2</v>
      </c>
      <c r="F384" s="100">
        <f t="shared" ca="1" si="98"/>
        <v>0</v>
      </c>
      <c r="G384">
        <v>1</v>
      </c>
      <c r="H384">
        <v>0</v>
      </c>
      <c r="I384">
        <v>1</v>
      </c>
      <c r="J384" s="1">
        <f t="shared" ca="1" si="99"/>
        <v>4.7025000000000207E-10</v>
      </c>
      <c r="K384" s="1">
        <f t="shared" ca="1" si="100"/>
        <v>0</v>
      </c>
      <c r="L384" s="13">
        <f t="shared" ca="1" si="101"/>
        <v>75</v>
      </c>
      <c r="M384" s="7">
        <f t="shared" ca="1" si="102"/>
        <v>925</v>
      </c>
      <c r="N384" s="44">
        <f t="shared" ca="1" si="103"/>
        <v>12</v>
      </c>
      <c r="O384" s="94">
        <f t="shared" ca="1" si="104"/>
        <v>3.0624018806381534</v>
      </c>
      <c r="P384" s="94">
        <f t="shared" ca="1" si="105"/>
        <v>30.624018806381528</v>
      </c>
      <c r="Q384" s="94">
        <f t="shared" ca="1" si="106"/>
        <v>30.624018806381528</v>
      </c>
      <c r="R384" s="94">
        <f t="shared" ca="1" si="107"/>
        <v>3.062401880638153</v>
      </c>
      <c r="S384" s="94">
        <f t="shared" ca="1" si="108"/>
        <v>3.0624018806381534</v>
      </c>
      <c r="T384" s="4">
        <f t="shared" ca="1" si="109"/>
        <v>0</v>
      </c>
      <c r="U384" s="46">
        <f t="shared" ca="1" si="110"/>
        <v>1379.7282638229713</v>
      </c>
      <c r="V384" s="4">
        <f t="shared" ca="1" si="111"/>
        <v>0</v>
      </c>
      <c r="W384" s="13">
        <f t="shared" ca="1" si="112"/>
        <v>6678.5319523757635</v>
      </c>
      <c r="X384" s="4">
        <f t="shared" ca="1" si="113"/>
        <v>0</v>
      </c>
      <c r="AE384" s="4"/>
    </row>
    <row r="385" spans="1:31">
      <c r="A385">
        <v>2</v>
      </c>
      <c r="B385">
        <v>3</v>
      </c>
      <c r="C385">
        <f t="shared" si="95"/>
        <v>7</v>
      </c>
      <c r="D385">
        <f t="shared" si="96"/>
        <v>5</v>
      </c>
      <c r="E385">
        <f t="shared" si="97"/>
        <v>2</v>
      </c>
      <c r="F385" s="100">
        <f t="shared" ca="1" si="98"/>
        <v>0</v>
      </c>
      <c r="G385">
        <v>1</v>
      </c>
      <c r="H385">
        <v>0</v>
      </c>
      <c r="I385">
        <v>0</v>
      </c>
      <c r="J385" s="1">
        <f t="shared" ca="1" si="99"/>
        <v>9.5000000000000524E-13</v>
      </c>
      <c r="K385" s="1">
        <f t="shared" ca="1" si="100"/>
        <v>0</v>
      </c>
      <c r="L385" s="13">
        <f t="shared" ca="1" si="101"/>
        <v>62</v>
      </c>
      <c r="M385" s="7">
        <f t="shared" ca="1" si="102"/>
        <v>938</v>
      </c>
      <c r="N385" s="44">
        <f t="shared" ca="1" si="103"/>
        <v>12</v>
      </c>
      <c r="O385" s="94">
        <f t="shared" ca="1" si="104"/>
        <v>3.0624018806381534</v>
      </c>
      <c r="P385" s="94">
        <f t="shared" ca="1" si="105"/>
        <v>30.624018806381528</v>
      </c>
      <c r="Q385" s="94">
        <f t="shared" ca="1" si="106"/>
        <v>30.624018806381528</v>
      </c>
      <c r="R385" s="94">
        <f t="shared" ca="1" si="107"/>
        <v>3.062401880638153</v>
      </c>
      <c r="S385" s="94">
        <f t="shared" ca="1" si="108"/>
        <v>3.0624018806381534</v>
      </c>
      <c r="T385" s="4">
        <f t="shared" ca="1" si="109"/>
        <v>0</v>
      </c>
      <c r="U385" s="46">
        <f t="shared" ca="1" si="110"/>
        <v>1366.7282638229713</v>
      </c>
      <c r="V385" s="4">
        <f t="shared" ca="1" si="111"/>
        <v>0</v>
      </c>
      <c r="W385" s="13">
        <f t="shared" ca="1" si="112"/>
        <v>5843.7154583287929</v>
      </c>
      <c r="X385" s="4">
        <f t="shared" ca="1" si="113"/>
        <v>0</v>
      </c>
      <c r="AE385" s="4"/>
    </row>
    <row r="386" spans="1:31">
      <c r="A386">
        <v>2</v>
      </c>
      <c r="B386">
        <v>3</v>
      </c>
      <c r="C386">
        <f t="shared" si="95"/>
        <v>7</v>
      </c>
      <c r="D386">
        <f t="shared" si="96"/>
        <v>5</v>
      </c>
      <c r="E386">
        <f t="shared" si="97"/>
        <v>2</v>
      </c>
      <c r="F386" s="100">
        <f t="shared" ca="1" si="98"/>
        <v>0</v>
      </c>
      <c r="G386">
        <v>0</v>
      </c>
      <c r="H386">
        <v>1</v>
      </c>
      <c r="I386">
        <v>7</v>
      </c>
      <c r="J386" s="1">
        <f t="shared" ca="1" si="99"/>
        <v>0</v>
      </c>
      <c r="K386" s="1">
        <f t="shared" ca="1" si="100"/>
        <v>0</v>
      </c>
      <c r="L386" s="13">
        <f t="shared" ca="1" si="101"/>
        <v>153</v>
      </c>
      <c r="M386" s="7">
        <f t="shared" ca="1" si="102"/>
        <v>847</v>
      </c>
      <c r="N386" s="44">
        <f t="shared" ca="1" si="103"/>
        <v>11</v>
      </c>
      <c r="O386" s="94">
        <f t="shared" ca="1" si="104"/>
        <v>2.8397004155948178</v>
      </c>
      <c r="P386" s="94">
        <f t="shared" ca="1" si="105"/>
        <v>28.397004155948181</v>
      </c>
      <c r="Q386" s="94">
        <f t="shared" ca="1" si="106"/>
        <v>28.397004155948181</v>
      </c>
      <c r="R386" s="94">
        <f t="shared" ca="1" si="107"/>
        <v>2.8397004155948182</v>
      </c>
      <c r="S386" s="94">
        <f t="shared" ca="1" si="108"/>
        <v>2.8397004155948178</v>
      </c>
      <c r="T386" s="4">
        <f t="shared" ca="1" si="109"/>
        <v>0</v>
      </c>
      <c r="U386" s="46">
        <f t="shared" ca="1" si="110"/>
        <v>1376.1639413314356</v>
      </c>
      <c r="V386" s="4">
        <f t="shared" ca="1" si="111"/>
        <v>0</v>
      </c>
      <c r="W386" s="13">
        <f t="shared" ca="1" si="112"/>
        <v>6469.4270995668039</v>
      </c>
      <c r="X386" s="4">
        <f t="shared" ca="1" si="113"/>
        <v>0</v>
      </c>
      <c r="AE386" s="4"/>
    </row>
    <row r="387" spans="1:31">
      <c r="A387">
        <v>2</v>
      </c>
      <c r="B387">
        <v>3</v>
      </c>
      <c r="C387">
        <f t="shared" si="95"/>
        <v>7</v>
      </c>
      <c r="D387">
        <f t="shared" si="96"/>
        <v>5</v>
      </c>
      <c r="E387">
        <f t="shared" si="97"/>
        <v>2</v>
      </c>
      <c r="F387" s="100">
        <f t="shared" ca="1" si="98"/>
        <v>0</v>
      </c>
      <c r="G387">
        <v>0</v>
      </c>
      <c r="H387">
        <v>1</v>
      </c>
      <c r="I387">
        <v>6</v>
      </c>
      <c r="J387" s="1">
        <f t="shared" ca="1" si="99"/>
        <v>0</v>
      </c>
      <c r="K387" s="1">
        <f t="shared" ca="1" si="100"/>
        <v>0</v>
      </c>
      <c r="L387" s="13">
        <f t="shared" ca="1" si="101"/>
        <v>140</v>
      </c>
      <c r="M387" s="7">
        <f t="shared" ca="1" si="102"/>
        <v>860</v>
      </c>
      <c r="N387" s="44">
        <f t="shared" ca="1" si="103"/>
        <v>11</v>
      </c>
      <c r="O387" s="94">
        <f t="shared" ca="1" si="104"/>
        <v>2.8397004155948178</v>
      </c>
      <c r="P387" s="94">
        <f t="shared" ca="1" si="105"/>
        <v>28.397004155948181</v>
      </c>
      <c r="Q387" s="94">
        <f t="shared" ca="1" si="106"/>
        <v>28.397004155948181</v>
      </c>
      <c r="R387" s="94">
        <f t="shared" ca="1" si="107"/>
        <v>2.8397004155948182</v>
      </c>
      <c r="S387" s="94">
        <f t="shared" ca="1" si="108"/>
        <v>2.8397004155948178</v>
      </c>
      <c r="T387" s="4">
        <f t="shared" ca="1" si="109"/>
        <v>0</v>
      </c>
      <c r="U387" s="46">
        <f t="shared" ca="1" si="110"/>
        <v>1363.1639413314356</v>
      </c>
      <c r="V387" s="4">
        <f t="shared" ca="1" si="111"/>
        <v>0</v>
      </c>
      <c r="W387" s="13">
        <f t="shared" ca="1" si="112"/>
        <v>5634.6106055198334</v>
      </c>
      <c r="X387" s="4">
        <f t="shared" ca="1" si="113"/>
        <v>0</v>
      </c>
      <c r="AE387" s="4"/>
    </row>
    <row r="388" spans="1:31">
      <c r="A388">
        <v>2</v>
      </c>
      <c r="B388">
        <v>3</v>
      </c>
      <c r="C388">
        <f t="shared" si="95"/>
        <v>7</v>
      </c>
      <c r="D388">
        <f t="shared" si="96"/>
        <v>5</v>
      </c>
      <c r="E388">
        <f t="shared" si="97"/>
        <v>2</v>
      </c>
      <c r="F388" s="100">
        <f t="shared" ca="1" si="98"/>
        <v>0</v>
      </c>
      <c r="G388">
        <v>0</v>
      </c>
      <c r="H388">
        <v>1</v>
      </c>
      <c r="I388">
        <v>5</v>
      </c>
      <c r="J388" s="1">
        <f t="shared" ca="1" si="99"/>
        <v>4.707400747005E-2</v>
      </c>
      <c r="K388" s="1">
        <f t="shared" ca="1" si="100"/>
        <v>0</v>
      </c>
      <c r="L388" s="13">
        <f t="shared" ca="1" si="101"/>
        <v>127</v>
      </c>
      <c r="M388" s="7">
        <f t="shared" ca="1" si="102"/>
        <v>873</v>
      </c>
      <c r="N388" s="44">
        <f t="shared" ca="1" si="103"/>
        <v>11</v>
      </c>
      <c r="O388" s="94">
        <f t="shared" ca="1" si="104"/>
        <v>2.8397004155948178</v>
      </c>
      <c r="P388" s="94">
        <f t="shared" ca="1" si="105"/>
        <v>28.397004155948181</v>
      </c>
      <c r="Q388" s="94">
        <f t="shared" ca="1" si="106"/>
        <v>28.397004155948181</v>
      </c>
      <c r="R388" s="94">
        <f t="shared" ca="1" si="107"/>
        <v>2.8397004155948182</v>
      </c>
      <c r="S388" s="94">
        <f t="shared" ca="1" si="108"/>
        <v>2.8397004155948178</v>
      </c>
      <c r="T388" s="4">
        <f t="shared" ca="1" si="109"/>
        <v>0</v>
      </c>
      <c r="U388" s="46">
        <f t="shared" ca="1" si="110"/>
        <v>1350.1639413314356</v>
      </c>
      <c r="V388" s="4">
        <f t="shared" ca="1" si="111"/>
        <v>0</v>
      </c>
      <c r="W388" s="13">
        <f t="shared" ca="1" si="112"/>
        <v>4799.7941114728637</v>
      </c>
      <c r="X388" s="4">
        <f t="shared" ca="1" si="113"/>
        <v>0</v>
      </c>
      <c r="AE388" s="4"/>
    </row>
    <row r="389" spans="1:31">
      <c r="A389">
        <v>2</v>
      </c>
      <c r="B389">
        <v>3</v>
      </c>
      <c r="C389">
        <f t="shared" si="95"/>
        <v>7</v>
      </c>
      <c r="D389">
        <f t="shared" si="96"/>
        <v>5</v>
      </c>
      <c r="E389">
        <f t="shared" si="97"/>
        <v>2</v>
      </c>
      <c r="F389" s="100">
        <f t="shared" ca="1" si="98"/>
        <v>0</v>
      </c>
      <c r="G389">
        <v>0</v>
      </c>
      <c r="H389">
        <v>1</v>
      </c>
      <c r="I389">
        <v>4</v>
      </c>
      <c r="J389" s="1">
        <f t="shared" ca="1" si="99"/>
        <v>2.377475124750002E-3</v>
      </c>
      <c r="K389" s="1">
        <f t="shared" ca="1" si="100"/>
        <v>0</v>
      </c>
      <c r="L389" s="13">
        <f t="shared" ca="1" si="101"/>
        <v>114</v>
      </c>
      <c r="M389" s="7">
        <f t="shared" ca="1" si="102"/>
        <v>886</v>
      </c>
      <c r="N389" s="44">
        <f t="shared" ca="1" si="103"/>
        <v>12</v>
      </c>
      <c r="O389" s="94">
        <f t="shared" ca="1" si="104"/>
        <v>3.0624018806381534</v>
      </c>
      <c r="P389" s="94">
        <f t="shared" ca="1" si="105"/>
        <v>29.510511481164862</v>
      </c>
      <c r="Q389" s="94">
        <f t="shared" ca="1" si="106"/>
        <v>28.397004155948181</v>
      </c>
      <c r="R389" s="94">
        <f t="shared" ca="1" si="107"/>
        <v>2.8953757818556523</v>
      </c>
      <c r="S389" s="94">
        <f t="shared" ca="1" si="108"/>
        <v>3.0624018806381534</v>
      </c>
      <c r="T389" s="4">
        <f t="shared" ca="1" si="109"/>
        <v>0</v>
      </c>
      <c r="U389" s="46">
        <f t="shared" ca="1" si="110"/>
        <v>1418.7282638229713</v>
      </c>
      <c r="V389" s="4">
        <f t="shared" ca="1" si="111"/>
        <v>0</v>
      </c>
      <c r="W389" s="13">
        <f t="shared" ca="1" si="112"/>
        <v>3964.9776174258936</v>
      </c>
      <c r="X389" s="4">
        <f t="shared" ca="1" si="113"/>
        <v>0</v>
      </c>
      <c r="AE389" s="4"/>
    </row>
    <row r="390" spans="1:31">
      <c r="A390">
        <v>2</v>
      </c>
      <c r="B390">
        <v>3</v>
      </c>
      <c r="C390">
        <f t="shared" si="95"/>
        <v>7</v>
      </c>
      <c r="D390">
        <f t="shared" si="96"/>
        <v>5</v>
      </c>
      <c r="E390">
        <f t="shared" si="97"/>
        <v>2</v>
      </c>
      <c r="F390" s="100">
        <f t="shared" ca="1" si="98"/>
        <v>0</v>
      </c>
      <c r="G390">
        <v>0</v>
      </c>
      <c r="H390">
        <v>1</v>
      </c>
      <c r="I390">
        <v>3</v>
      </c>
      <c r="J390" s="1">
        <f t="shared" ca="1" si="99"/>
        <v>4.8029800500000085E-5</v>
      </c>
      <c r="K390" s="1">
        <f t="shared" ca="1" si="100"/>
        <v>0</v>
      </c>
      <c r="L390" s="13">
        <f t="shared" ca="1" si="101"/>
        <v>101</v>
      </c>
      <c r="M390" s="7">
        <f t="shared" ca="1" si="102"/>
        <v>899</v>
      </c>
      <c r="N390" s="44">
        <f t="shared" ca="1" si="103"/>
        <v>12</v>
      </c>
      <c r="O390" s="94">
        <f t="shared" ca="1" si="104"/>
        <v>3.0624018806381534</v>
      </c>
      <c r="P390" s="94">
        <f t="shared" ca="1" si="105"/>
        <v>30.624018806381528</v>
      </c>
      <c r="Q390" s="94">
        <f t="shared" ca="1" si="106"/>
        <v>30.178615876294863</v>
      </c>
      <c r="R390" s="94">
        <f t="shared" ca="1" si="107"/>
        <v>3.0401317341338197</v>
      </c>
      <c r="S390" s="94">
        <f t="shared" ca="1" si="108"/>
        <v>3.0624018806381534</v>
      </c>
      <c r="T390" s="4">
        <f t="shared" ca="1" si="109"/>
        <v>0</v>
      </c>
      <c r="U390" s="46">
        <f t="shared" ca="1" si="110"/>
        <v>1405.7282638229713</v>
      </c>
      <c r="V390" s="4">
        <f t="shared" ca="1" si="111"/>
        <v>0</v>
      </c>
      <c r="W390" s="13">
        <f t="shared" ca="1" si="112"/>
        <v>3130.1611233789231</v>
      </c>
      <c r="X390" s="4">
        <f t="shared" ca="1" si="113"/>
        <v>0</v>
      </c>
      <c r="AE390" s="4"/>
    </row>
    <row r="391" spans="1:31">
      <c r="A391">
        <v>2</v>
      </c>
      <c r="B391">
        <v>3</v>
      </c>
      <c r="C391">
        <f t="shared" si="95"/>
        <v>7</v>
      </c>
      <c r="D391">
        <f t="shared" si="96"/>
        <v>5</v>
      </c>
      <c r="E391">
        <f t="shared" si="97"/>
        <v>2</v>
      </c>
      <c r="F391" s="100">
        <f t="shared" ca="1" si="98"/>
        <v>0</v>
      </c>
      <c r="G391">
        <v>0</v>
      </c>
      <c r="H391">
        <v>1</v>
      </c>
      <c r="I391">
        <v>2</v>
      </c>
      <c r="J391" s="1">
        <f t="shared" ca="1" si="99"/>
        <v>4.8514950000000139E-7</v>
      </c>
      <c r="K391" s="1">
        <f t="shared" ca="1" si="100"/>
        <v>0</v>
      </c>
      <c r="L391" s="13">
        <f t="shared" ca="1" si="101"/>
        <v>88</v>
      </c>
      <c r="M391" s="7">
        <f t="shared" ca="1" si="102"/>
        <v>912</v>
      </c>
      <c r="N391" s="44">
        <f t="shared" ca="1" si="103"/>
        <v>12</v>
      </c>
      <c r="O391" s="94">
        <f t="shared" ca="1" si="104"/>
        <v>3.0624018806381534</v>
      </c>
      <c r="P391" s="94">
        <f t="shared" ca="1" si="105"/>
        <v>30.624018806381528</v>
      </c>
      <c r="Q391" s="94">
        <f t="shared" ca="1" si="106"/>
        <v>30.624018806381528</v>
      </c>
      <c r="R391" s="94">
        <f t="shared" ca="1" si="107"/>
        <v>3.062401880638153</v>
      </c>
      <c r="S391" s="94">
        <f t="shared" ca="1" si="108"/>
        <v>3.0624018806381534</v>
      </c>
      <c r="T391" s="4">
        <f t="shared" ca="1" si="109"/>
        <v>0</v>
      </c>
      <c r="U391" s="46">
        <f t="shared" ca="1" si="110"/>
        <v>1392.7282638229713</v>
      </c>
      <c r="V391" s="4">
        <f t="shared" ca="1" si="111"/>
        <v>0</v>
      </c>
      <c r="W391" s="13">
        <f t="shared" ca="1" si="112"/>
        <v>2295.344629331953</v>
      </c>
      <c r="X391" s="4">
        <f t="shared" ca="1" si="113"/>
        <v>0</v>
      </c>
      <c r="AE391" s="4"/>
    </row>
    <row r="392" spans="1:31">
      <c r="A392">
        <v>2</v>
      </c>
      <c r="B392">
        <v>3</v>
      </c>
      <c r="C392">
        <f t="shared" si="95"/>
        <v>7</v>
      </c>
      <c r="D392">
        <f t="shared" si="96"/>
        <v>5</v>
      </c>
      <c r="E392">
        <f t="shared" si="97"/>
        <v>2</v>
      </c>
      <c r="F392" s="100">
        <f t="shared" ca="1" si="98"/>
        <v>0</v>
      </c>
      <c r="G392">
        <v>0</v>
      </c>
      <c r="H392">
        <v>1</v>
      </c>
      <c r="I392">
        <v>1</v>
      </c>
      <c r="J392" s="1">
        <f t="shared" ca="1" si="99"/>
        <v>2.450250000000009E-9</v>
      </c>
      <c r="K392" s="1">
        <f t="shared" ca="1" si="100"/>
        <v>0</v>
      </c>
      <c r="L392" s="13">
        <f t="shared" ca="1" si="101"/>
        <v>75</v>
      </c>
      <c r="M392" s="7">
        <f t="shared" ca="1" si="102"/>
        <v>925</v>
      </c>
      <c r="N392" s="44">
        <f t="shared" ca="1" si="103"/>
        <v>12</v>
      </c>
      <c r="O392" s="94">
        <f t="shared" ca="1" si="104"/>
        <v>3.0624018806381534</v>
      </c>
      <c r="P392" s="94">
        <f t="shared" ca="1" si="105"/>
        <v>30.624018806381528</v>
      </c>
      <c r="Q392" s="94">
        <f t="shared" ca="1" si="106"/>
        <v>30.624018806381528</v>
      </c>
      <c r="R392" s="94">
        <f t="shared" ca="1" si="107"/>
        <v>3.062401880638153</v>
      </c>
      <c r="S392" s="94">
        <f t="shared" ca="1" si="108"/>
        <v>3.0624018806381534</v>
      </c>
      <c r="T392" s="4">
        <f t="shared" ca="1" si="109"/>
        <v>0</v>
      </c>
      <c r="U392" s="46">
        <f t="shared" ca="1" si="110"/>
        <v>1379.7282638229713</v>
      </c>
      <c r="V392" s="4">
        <f t="shared" ca="1" si="111"/>
        <v>0</v>
      </c>
      <c r="W392" s="13">
        <f t="shared" ca="1" si="112"/>
        <v>1460.5281352849825</v>
      </c>
      <c r="X392" s="4">
        <f t="shared" ca="1" si="113"/>
        <v>0</v>
      </c>
      <c r="AE392" s="4"/>
    </row>
    <row r="393" spans="1:31">
      <c r="A393">
        <v>2</v>
      </c>
      <c r="B393">
        <v>3</v>
      </c>
      <c r="C393">
        <f t="shared" si="95"/>
        <v>7</v>
      </c>
      <c r="D393">
        <f t="shared" si="96"/>
        <v>5</v>
      </c>
      <c r="E393">
        <f t="shared" si="97"/>
        <v>2</v>
      </c>
      <c r="F393" s="100">
        <f t="shared" ca="1" si="98"/>
        <v>0</v>
      </c>
      <c r="G393">
        <v>0</v>
      </c>
      <c r="H393">
        <v>1</v>
      </c>
      <c r="I393">
        <v>0</v>
      </c>
      <c r="J393" s="1">
        <f t="shared" ca="1" si="99"/>
        <v>4.9500000000000231E-12</v>
      </c>
      <c r="K393" s="1">
        <f t="shared" ca="1" si="100"/>
        <v>0</v>
      </c>
      <c r="L393" s="13">
        <f t="shared" ca="1" si="101"/>
        <v>62</v>
      </c>
      <c r="M393" s="7">
        <f t="shared" ca="1" si="102"/>
        <v>938</v>
      </c>
      <c r="N393" s="44">
        <f t="shared" ca="1" si="103"/>
        <v>12</v>
      </c>
      <c r="O393" s="94">
        <f t="shared" ca="1" si="104"/>
        <v>3.0624018806381534</v>
      </c>
      <c r="P393" s="94">
        <f t="shared" ca="1" si="105"/>
        <v>30.624018806381528</v>
      </c>
      <c r="Q393" s="94">
        <f t="shared" ca="1" si="106"/>
        <v>30.624018806381528</v>
      </c>
      <c r="R393" s="94">
        <f t="shared" ca="1" si="107"/>
        <v>3.062401880638153</v>
      </c>
      <c r="S393" s="94">
        <f t="shared" ca="1" si="108"/>
        <v>3.0624018806381534</v>
      </c>
      <c r="T393" s="4">
        <f t="shared" ca="1" si="109"/>
        <v>0</v>
      </c>
      <c r="U393" s="46">
        <f t="shared" ca="1" si="110"/>
        <v>1366.7282638229713</v>
      </c>
      <c r="V393" s="4">
        <f t="shared" ca="1" si="111"/>
        <v>0</v>
      </c>
      <c r="W393" s="13">
        <f t="shared" ca="1" si="112"/>
        <v>625.71164123801225</v>
      </c>
      <c r="X393" s="4">
        <f t="shared" ca="1" si="113"/>
        <v>0</v>
      </c>
      <c r="AE393" s="4"/>
    </row>
    <row r="394" spans="1:31">
      <c r="A394">
        <v>2</v>
      </c>
      <c r="B394">
        <v>3</v>
      </c>
      <c r="C394">
        <f t="shared" si="95"/>
        <v>7</v>
      </c>
      <c r="D394">
        <f t="shared" si="96"/>
        <v>5</v>
      </c>
      <c r="E394">
        <f t="shared" si="97"/>
        <v>2</v>
      </c>
      <c r="F394" s="100">
        <f t="shared" ca="1" si="98"/>
        <v>0</v>
      </c>
      <c r="G394">
        <v>0</v>
      </c>
      <c r="H394">
        <v>0</v>
      </c>
      <c r="I394">
        <v>7</v>
      </c>
      <c r="J394" s="1">
        <f t="shared" ca="1" si="99"/>
        <v>0</v>
      </c>
      <c r="K394" s="1">
        <f t="shared" ca="1" si="100"/>
        <v>0</v>
      </c>
      <c r="L394" s="13">
        <f t="shared" ca="1" si="101"/>
        <v>91</v>
      </c>
      <c r="M394" s="7">
        <f t="shared" ca="1" si="102"/>
        <v>909</v>
      </c>
      <c r="N394" s="44">
        <f t="shared" ca="1" si="103"/>
        <v>12</v>
      </c>
      <c r="O394" s="94">
        <f t="shared" ca="1" si="104"/>
        <v>3.0624018806381534</v>
      </c>
      <c r="P394" s="94">
        <f t="shared" ca="1" si="105"/>
        <v>30.624018806381528</v>
      </c>
      <c r="Q394" s="94">
        <f t="shared" ca="1" si="106"/>
        <v>30.624018806381528</v>
      </c>
      <c r="R394" s="94">
        <f t="shared" ca="1" si="107"/>
        <v>3.062401880638153</v>
      </c>
      <c r="S394" s="94">
        <f t="shared" ca="1" si="108"/>
        <v>3.0624018806381534</v>
      </c>
      <c r="T394" s="4">
        <f t="shared" ca="1" si="109"/>
        <v>0</v>
      </c>
      <c r="U394" s="46">
        <f t="shared" ca="1" si="110"/>
        <v>1395.7282638229713</v>
      </c>
      <c r="V394" s="4">
        <f t="shared" ca="1" si="111"/>
        <v>0</v>
      </c>
      <c r="W394" s="13">
        <f t="shared" ca="1" si="112"/>
        <v>5843.715458328792</v>
      </c>
      <c r="X394" s="4">
        <f t="shared" ca="1" si="113"/>
        <v>0</v>
      </c>
      <c r="AE394" s="4"/>
    </row>
    <row r="395" spans="1:31">
      <c r="A395">
        <v>2</v>
      </c>
      <c r="B395">
        <v>3</v>
      </c>
      <c r="C395">
        <f t="shared" si="95"/>
        <v>7</v>
      </c>
      <c r="D395">
        <f t="shared" si="96"/>
        <v>5</v>
      </c>
      <c r="E395">
        <f t="shared" si="97"/>
        <v>2</v>
      </c>
      <c r="F395" s="100">
        <f t="shared" ca="1" si="98"/>
        <v>0</v>
      </c>
      <c r="G395">
        <v>0</v>
      </c>
      <c r="H395">
        <v>0</v>
      </c>
      <c r="I395">
        <v>6</v>
      </c>
      <c r="J395" s="1">
        <f t="shared" ca="1" si="99"/>
        <v>0</v>
      </c>
      <c r="K395" s="1">
        <f t="shared" ca="1" si="100"/>
        <v>0</v>
      </c>
      <c r="L395" s="13">
        <f t="shared" ca="1" si="101"/>
        <v>78</v>
      </c>
      <c r="M395" s="7">
        <f t="shared" ca="1" si="102"/>
        <v>922</v>
      </c>
      <c r="N395" s="44">
        <f t="shared" ca="1" si="103"/>
        <v>12</v>
      </c>
      <c r="O395" s="94">
        <f t="shared" ca="1" si="104"/>
        <v>3.0624018806381534</v>
      </c>
      <c r="P395" s="94">
        <f t="shared" ca="1" si="105"/>
        <v>30.624018806381528</v>
      </c>
      <c r="Q395" s="94">
        <f t="shared" ca="1" si="106"/>
        <v>30.624018806381528</v>
      </c>
      <c r="R395" s="94">
        <f t="shared" ca="1" si="107"/>
        <v>3.062401880638153</v>
      </c>
      <c r="S395" s="94">
        <f t="shared" ca="1" si="108"/>
        <v>3.0624018806381534</v>
      </c>
      <c r="T395" s="4">
        <f t="shared" ca="1" si="109"/>
        <v>0</v>
      </c>
      <c r="U395" s="46">
        <f t="shared" ca="1" si="110"/>
        <v>1382.7282638229713</v>
      </c>
      <c r="V395" s="4">
        <f t="shared" ca="1" si="111"/>
        <v>0</v>
      </c>
      <c r="W395" s="13">
        <f t="shared" ca="1" si="112"/>
        <v>5008.8989642818215</v>
      </c>
      <c r="X395" s="4">
        <f t="shared" ca="1" si="113"/>
        <v>0</v>
      </c>
      <c r="AE395" s="4"/>
    </row>
    <row r="396" spans="1:31">
      <c r="A396">
        <v>2</v>
      </c>
      <c r="B396">
        <v>3</v>
      </c>
      <c r="C396">
        <f t="shared" si="95"/>
        <v>7</v>
      </c>
      <c r="D396">
        <f t="shared" si="96"/>
        <v>5</v>
      </c>
      <c r="E396">
        <f t="shared" si="97"/>
        <v>2</v>
      </c>
      <c r="F396" s="100">
        <f t="shared" ca="1" si="98"/>
        <v>0</v>
      </c>
      <c r="G396">
        <v>0</v>
      </c>
      <c r="H396">
        <v>0</v>
      </c>
      <c r="I396">
        <v>5</v>
      </c>
      <c r="J396" s="1">
        <f t="shared" ca="1" si="99"/>
        <v>4.7549502495000039E-4</v>
      </c>
      <c r="K396" s="1">
        <f t="shared" ca="1" si="100"/>
        <v>0</v>
      </c>
      <c r="L396" s="13">
        <f t="shared" ca="1" si="101"/>
        <v>65</v>
      </c>
      <c r="M396" s="7">
        <f t="shared" ca="1" si="102"/>
        <v>935</v>
      </c>
      <c r="N396" s="44">
        <f t="shared" ca="1" si="103"/>
        <v>12</v>
      </c>
      <c r="O396" s="94">
        <f t="shared" ca="1" si="104"/>
        <v>3.0624018806381534</v>
      </c>
      <c r="P396" s="94">
        <f t="shared" ca="1" si="105"/>
        <v>30.624018806381528</v>
      </c>
      <c r="Q396" s="94">
        <f t="shared" ca="1" si="106"/>
        <v>30.624018806381528</v>
      </c>
      <c r="R396" s="94">
        <f t="shared" ca="1" si="107"/>
        <v>3.062401880638153</v>
      </c>
      <c r="S396" s="94">
        <f t="shared" ca="1" si="108"/>
        <v>3.0624018806381534</v>
      </c>
      <c r="T396" s="4">
        <f t="shared" ca="1" si="109"/>
        <v>0</v>
      </c>
      <c r="U396" s="46">
        <f t="shared" ca="1" si="110"/>
        <v>1369.7282638229713</v>
      </c>
      <c r="V396" s="4">
        <f t="shared" ca="1" si="111"/>
        <v>0</v>
      </c>
      <c r="W396" s="13">
        <f t="shared" ca="1" si="112"/>
        <v>4174.0824702348518</v>
      </c>
      <c r="X396" s="4">
        <f t="shared" ca="1" si="113"/>
        <v>0</v>
      </c>
      <c r="AE396" s="4"/>
    </row>
    <row r="397" spans="1:31">
      <c r="A397">
        <v>2</v>
      </c>
      <c r="B397">
        <v>3</v>
      </c>
      <c r="C397">
        <f t="shared" si="95"/>
        <v>7</v>
      </c>
      <c r="D397">
        <f t="shared" si="96"/>
        <v>5</v>
      </c>
      <c r="E397">
        <f t="shared" si="97"/>
        <v>2</v>
      </c>
      <c r="F397" s="100">
        <f t="shared" ca="1" si="98"/>
        <v>0</v>
      </c>
      <c r="G397">
        <v>0</v>
      </c>
      <c r="H397">
        <v>0</v>
      </c>
      <c r="I397">
        <v>4</v>
      </c>
      <c r="J397" s="1">
        <f t="shared" ca="1" si="99"/>
        <v>2.4014900250000042E-5</v>
      </c>
      <c r="K397" s="1">
        <f t="shared" ca="1" si="100"/>
        <v>0</v>
      </c>
      <c r="L397" s="13">
        <f t="shared" ca="1" si="101"/>
        <v>52</v>
      </c>
      <c r="M397" s="7">
        <f t="shared" ca="1" si="102"/>
        <v>948</v>
      </c>
      <c r="N397" s="44">
        <f t="shared" ca="1" si="103"/>
        <v>12</v>
      </c>
      <c r="O397" s="94">
        <f t="shared" ca="1" si="104"/>
        <v>3.0624018806381534</v>
      </c>
      <c r="P397" s="94">
        <f t="shared" ca="1" si="105"/>
        <v>30.624018806381528</v>
      </c>
      <c r="Q397" s="94">
        <f t="shared" ca="1" si="106"/>
        <v>30.624018806381528</v>
      </c>
      <c r="R397" s="94">
        <f t="shared" ca="1" si="107"/>
        <v>3.062401880638153</v>
      </c>
      <c r="S397" s="94">
        <f t="shared" ca="1" si="108"/>
        <v>3.0624018806381534</v>
      </c>
      <c r="T397" s="4">
        <f t="shared" ca="1" si="109"/>
        <v>0</v>
      </c>
      <c r="U397" s="46">
        <f t="shared" ca="1" si="110"/>
        <v>1356.7282638229713</v>
      </c>
      <c r="V397" s="4">
        <f t="shared" ca="1" si="111"/>
        <v>0</v>
      </c>
      <c r="W397" s="13">
        <f t="shared" ca="1" si="112"/>
        <v>3339.2659761878813</v>
      </c>
      <c r="X397" s="4">
        <f t="shared" ca="1" si="113"/>
        <v>0</v>
      </c>
      <c r="AE397" s="4"/>
    </row>
    <row r="398" spans="1:31">
      <c r="A398">
        <v>2</v>
      </c>
      <c r="B398">
        <v>3</v>
      </c>
      <c r="C398">
        <f t="shared" si="95"/>
        <v>7</v>
      </c>
      <c r="D398">
        <f t="shared" si="96"/>
        <v>5</v>
      </c>
      <c r="E398">
        <f t="shared" si="97"/>
        <v>2</v>
      </c>
      <c r="F398" s="100">
        <f t="shared" ca="1" si="98"/>
        <v>0</v>
      </c>
      <c r="G398">
        <v>0</v>
      </c>
      <c r="H398">
        <v>0</v>
      </c>
      <c r="I398">
        <v>3</v>
      </c>
      <c r="J398" s="1">
        <f t="shared" ca="1" si="99"/>
        <v>4.8514950000000128E-7</v>
      </c>
      <c r="K398" s="1">
        <f t="shared" ca="1" si="100"/>
        <v>0</v>
      </c>
      <c r="L398" s="13">
        <f t="shared" ca="1" si="101"/>
        <v>39</v>
      </c>
      <c r="M398" s="7">
        <f t="shared" ca="1" si="102"/>
        <v>961</v>
      </c>
      <c r="N398" s="44">
        <f t="shared" ca="1" si="103"/>
        <v>13</v>
      </c>
      <c r="O398" s="94">
        <f t="shared" ca="1" si="104"/>
        <v>3.2733204919050856</v>
      </c>
      <c r="P398" s="94">
        <f t="shared" ca="1" si="105"/>
        <v>30.624018806381528</v>
      </c>
      <c r="Q398" s="94">
        <f t="shared" ca="1" si="106"/>
        <v>30.624018806381528</v>
      </c>
      <c r="R398" s="94">
        <f t="shared" ca="1" si="107"/>
        <v>3.062401880638153</v>
      </c>
      <c r="S398" s="94">
        <f t="shared" ca="1" si="108"/>
        <v>3.2733204919050856</v>
      </c>
      <c r="T398" s="4">
        <f t="shared" ca="1" si="109"/>
        <v>0</v>
      </c>
      <c r="U398" s="46">
        <f t="shared" ca="1" si="110"/>
        <v>1420.9771208320408</v>
      </c>
      <c r="V398" s="4">
        <f t="shared" ca="1" si="111"/>
        <v>0</v>
      </c>
      <c r="W398" s="13">
        <f t="shared" ca="1" si="112"/>
        <v>2504.4494821409107</v>
      </c>
      <c r="X398" s="4">
        <f t="shared" ca="1" si="113"/>
        <v>0</v>
      </c>
      <c r="AE398" s="4"/>
    </row>
    <row r="399" spans="1:31">
      <c r="A399">
        <v>2</v>
      </c>
      <c r="B399">
        <v>3</v>
      </c>
      <c r="C399">
        <f t="shared" si="95"/>
        <v>7</v>
      </c>
      <c r="D399">
        <f t="shared" si="96"/>
        <v>5</v>
      </c>
      <c r="E399">
        <f t="shared" si="97"/>
        <v>2</v>
      </c>
      <c r="F399" s="100">
        <f t="shared" ca="1" si="98"/>
        <v>0</v>
      </c>
      <c r="G399">
        <v>0</v>
      </c>
      <c r="H399">
        <v>0</v>
      </c>
      <c r="I399">
        <v>2</v>
      </c>
      <c r="J399" s="1">
        <f t="shared" ca="1" si="99"/>
        <v>4.900500000000018E-9</v>
      </c>
      <c r="K399" s="1">
        <f t="shared" ca="1" si="100"/>
        <v>0</v>
      </c>
      <c r="L399" s="13">
        <f t="shared" ca="1" si="101"/>
        <v>26</v>
      </c>
      <c r="M399" s="7">
        <f t="shared" ca="1" si="102"/>
        <v>974</v>
      </c>
      <c r="N399" s="44">
        <f t="shared" ca="1" si="103"/>
        <v>13</v>
      </c>
      <c r="O399" s="94">
        <f t="shared" ca="1" si="104"/>
        <v>3.2733204919050856</v>
      </c>
      <c r="P399" s="94">
        <f t="shared" ca="1" si="105"/>
        <v>32.733204919050856</v>
      </c>
      <c r="Q399" s="94">
        <f t="shared" ca="1" si="106"/>
        <v>31.256774640182325</v>
      </c>
      <c r="R399" s="94">
        <f t="shared" ca="1" si="107"/>
        <v>3.1994989779616589</v>
      </c>
      <c r="S399" s="94">
        <f t="shared" ca="1" si="108"/>
        <v>3.2733204919050856</v>
      </c>
      <c r="T399" s="4">
        <f t="shared" ca="1" si="109"/>
        <v>0</v>
      </c>
      <c r="U399" s="46">
        <f t="shared" ca="1" si="110"/>
        <v>1407.9771208320408</v>
      </c>
      <c r="V399" s="4">
        <f t="shared" ca="1" si="111"/>
        <v>0</v>
      </c>
      <c r="W399" s="13">
        <f t="shared" ca="1" si="112"/>
        <v>1669.6329880939406</v>
      </c>
      <c r="X399" s="4">
        <f t="shared" ca="1" si="113"/>
        <v>0</v>
      </c>
      <c r="AE399" s="4"/>
    </row>
    <row r="400" spans="1:31">
      <c r="A400">
        <v>2</v>
      </c>
      <c r="B400">
        <v>3</v>
      </c>
      <c r="C400">
        <f t="shared" si="95"/>
        <v>7</v>
      </c>
      <c r="D400">
        <f t="shared" si="96"/>
        <v>5</v>
      </c>
      <c r="E400">
        <f t="shared" si="97"/>
        <v>2</v>
      </c>
      <c r="F400" s="100">
        <f t="shared" ca="1" si="98"/>
        <v>0</v>
      </c>
      <c r="G400">
        <v>0</v>
      </c>
      <c r="H400">
        <v>0</v>
      </c>
      <c r="I400">
        <v>1</v>
      </c>
      <c r="J400" s="1">
        <f t="shared" ca="1" si="99"/>
        <v>2.4750000000000112E-11</v>
      </c>
      <c r="K400" s="1">
        <f t="shared" ca="1" si="100"/>
        <v>0</v>
      </c>
      <c r="L400" s="13">
        <f t="shared" ca="1" si="101"/>
        <v>13</v>
      </c>
      <c r="M400" s="7">
        <f t="shared" ca="1" si="102"/>
        <v>987</v>
      </c>
      <c r="N400" s="44">
        <f t="shared" ca="1" si="103"/>
        <v>13</v>
      </c>
      <c r="O400" s="94">
        <f t="shared" ca="1" si="104"/>
        <v>3.2733204919050856</v>
      </c>
      <c r="P400" s="94">
        <f t="shared" ca="1" si="105"/>
        <v>32.733204919050856</v>
      </c>
      <c r="Q400" s="94">
        <f t="shared" ca="1" si="106"/>
        <v>32.733204919050856</v>
      </c>
      <c r="R400" s="94">
        <f t="shared" ca="1" si="107"/>
        <v>3.2733204919050856</v>
      </c>
      <c r="S400" s="94">
        <f t="shared" ca="1" si="108"/>
        <v>3.2733204919050856</v>
      </c>
      <c r="T400" s="4">
        <f t="shared" ca="1" si="109"/>
        <v>0</v>
      </c>
      <c r="U400" s="46">
        <f t="shared" ca="1" si="110"/>
        <v>1394.9771208320408</v>
      </c>
      <c r="V400" s="4">
        <f t="shared" ca="1" si="111"/>
        <v>0</v>
      </c>
      <c r="W400" s="13">
        <f t="shared" ca="1" si="112"/>
        <v>834.81649404697032</v>
      </c>
      <c r="X400" s="4">
        <f t="shared" ca="1" si="113"/>
        <v>0</v>
      </c>
      <c r="AE400" s="4"/>
    </row>
    <row r="401" spans="1:31">
      <c r="A401">
        <v>2</v>
      </c>
      <c r="B401">
        <v>3</v>
      </c>
      <c r="C401">
        <f t="shared" si="95"/>
        <v>7</v>
      </c>
      <c r="D401">
        <f t="shared" si="96"/>
        <v>5</v>
      </c>
      <c r="E401">
        <f t="shared" si="97"/>
        <v>2</v>
      </c>
      <c r="F401" s="100">
        <f t="shared" ca="1" si="98"/>
        <v>0</v>
      </c>
      <c r="G401">
        <v>0</v>
      </c>
      <c r="H401">
        <v>0</v>
      </c>
      <c r="I401">
        <v>0</v>
      </c>
      <c r="J401" s="1">
        <f t="shared" ca="1" si="99"/>
        <v>5.0000000000000273E-14</v>
      </c>
      <c r="K401" s="1">
        <f t="shared" ca="1" si="100"/>
        <v>0</v>
      </c>
      <c r="L401" s="13">
        <f t="shared" ca="1" si="101"/>
        <v>0</v>
      </c>
      <c r="M401" s="7">
        <f t="shared" ca="1" si="102"/>
        <v>1000</v>
      </c>
      <c r="N401" s="44">
        <f t="shared" ca="1" si="103"/>
        <v>13</v>
      </c>
      <c r="O401" s="94">
        <f t="shared" ca="1" si="104"/>
        <v>3.2733204919050856</v>
      </c>
      <c r="P401" s="94">
        <f t="shared" ca="1" si="105"/>
        <v>32.733204919050856</v>
      </c>
      <c r="Q401" s="94">
        <f t="shared" ca="1" si="106"/>
        <v>32.733204919050856</v>
      </c>
      <c r="R401" s="94">
        <f t="shared" ca="1" si="107"/>
        <v>3.2733204919050856</v>
      </c>
      <c r="S401" s="94">
        <f t="shared" ca="1" si="108"/>
        <v>3.2733204919050856</v>
      </c>
      <c r="T401" s="4">
        <f t="shared" ca="1" si="109"/>
        <v>0</v>
      </c>
      <c r="U401" s="46">
        <f t="shared" ca="1" si="110"/>
        <v>1381.9771208320408</v>
      </c>
      <c r="V401" s="4">
        <f t="shared" ca="1" si="111"/>
        <v>0</v>
      </c>
      <c r="W401" s="13">
        <f t="shared" ca="1" si="112"/>
        <v>0</v>
      </c>
      <c r="X401" s="4">
        <f t="shared" ca="1" si="113"/>
        <v>0</v>
      </c>
      <c r="AE401" s="4"/>
    </row>
    <row r="402" spans="1:31">
      <c r="A402">
        <v>3</v>
      </c>
      <c r="B402">
        <v>0</v>
      </c>
      <c r="C402">
        <f t="shared" ref="C402:C465" si="114">MIN(8, 1+$B$10+$B$9+A402+B402)</f>
        <v>5</v>
      </c>
      <c r="D402">
        <f t="shared" ref="D402:D465" si="115">C402-(1+$B$10)</f>
        <v>3</v>
      </c>
      <c r="E402">
        <f t="shared" ref="E402:E465" si="116">MIN(A402, C402-(1+$B$10+$B$9))</f>
        <v>3</v>
      </c>
      <c r="F402" s="100">
        <f t="shared" ref="F402:F465" ca="1" si="117">IF(A402=3, Set1QA, IF(A402=2, (1-Set1QA)*Set1TA + (1-Set1QA)*(1-Set1TA)*(1-Set1DA)*Set1AM3*Set1AM33, IF(A402=1, (1-Set1QA)*(1-Set1TA)*Set1DA + (1-Set1QA)*(1-Set1TA)*(1-Set1DA)*Set1AM3*Set1AM32, (1-Set1QA)*(1-Set1TA)*(1-Set1DA)*(1-Set1AM3)))) * IF($B$9+$B$10&gt;0, IF(B402=3, Set1QA, IF(B402=2, (1-Set1QA)*Set1TA, IF(B402=1, (1-Set1QA)*(1-Set1TA)*Set1DA, (1-Set1QA)*(1-Set1TA)*(1-Set1DA)))), IF(B402=0, 1, 0))</f>
        <v>0</v>
      </c>
      <c r="G402">
        <v>1</v>
      </c>
      <c r="H402">
        <v>1</v>
      </c>
      <c r="I402">
        <v>7</v>
      </c>
      <c r="J402" s="1">
        <f t="shared" ref="J402:J465" ca="1" si="118">POWER(95%,G402)*POWER(5%, 1-G402) * IF($B$10=0, IF(H402=0, 1, 0), POWER(Set1WSHitRate,H402)*POWER(1-Set1WSHitRate, 1-H402)) * IF(I402&lt;=D402, POWER(Set1WSHitRate, I402)*POWER(1-Set1WSHitRate, D402-I402)*COMBIN(D402,I402), 0)</f>
        <v>0</v>
      </c>
      <c r="K402" s="1">
        <f t="shared" ref="K402:K465" ca="1" si="119">F402*J402</f>
        <v>0</v>
      </c>
      <c r="L402" s="13">
        <f t="shared" ref="L402:L465" ca="1" si="120">MAX((G402+H402)*Set1WSTP + I402*$B$6, Set1SaveTP)</f>
        <v>215</v>
      </c>
      <c r="M402" s="7">
        <f t="shared" ref="M402:M465" ca="1" si="121">MAX(Set1MinTP-(L402+Set1Regain), 0)</f>
        <v>785</v>
      </c>
      <c r="N402" s="44">
        <f t="shared" ref="N402:N465" ca="1" si="122">CEILING(M402/Set1MeleeTP, 1)</f>
        <v>10</v>
      </c>
      <c r="O402" s="94">
        <f t="shared" ref="O402:O465" ca="1" si="123">VLOOKUP(N402,AvgRoundsSet1,2)</f>
        <v>2.5999636871582168</v>
      </c>
      <c r="P402" s="94">
        <f t="shared" ref="P402:P465" ca="1" si="124">VLOOKUP(CEILING(MAX(M402-1, 0)/Set1MeleeTP, 1), AvgRoundsSet1, 2) + VLOOKUP(CEILING(MAX(M402-2, 0)/Set1MeleeTP, 1), AvgRoundsSet1, 2) + VLOOKUP(CEILING(MAX(M402-3, 0)/Set1MeleeTP, 1), AvgRoundsSet1, 2) + VLOOKUP(CEILING(MAX(M402-4, 0)/Set1MeleeTP, 1), AvgRoundsSet1, 2) + VLOOKUP(CEILING(MAX(M402-5, 0)/Set1MeleeTP, 1), AvgRoundsSet1, 2) + VLOOKUP(CEILING(MAX(M402-6, 0)/Set1MeleeTP, 1), AvgRoundsSet1, 2) + VLOOKUP(CEILING(MAX(M402-7, 0)/Set1MeleeTP, 1), AvgRoundsSet1, 2) + VLOOKUP(CEILING(MAX(M402-8, 0)/Set1MeleeTP, 1), AvgRoundsSet1, 2) + VLOOKUP(CEILING(MAX(M402-9, 0)/Set1MeleeTP, 1), AvgRoundsSet1, 2) + VLOOKUP(CEILING(MAX(M402-10, 0)/Set1MeleeTP, 1), AvgRoundsSet1, 2)</f>
        <v>25.999636871582165</v>
      </c>
      <c r="Q402" s="94">
        <f t="shared" ref="Q402:Q465" ca="1" si="125">VLOOKUP(CEILING(MAX(M402-11, 0)/Set1MeleeTP, 1), AvgRoundsSet1, 2) + VLOOKUP(CEILING(MAX(M402-12, 0)/Set1MeleeTP, 1), AvgRoundsSet1, 2) + VLOOKUP(CEILING(MAX(M402-13, 0)/Set1MeleeTP, 1), AvgRoundsSet1, 2) + VLOOKUP(CEILING(MAX(M402-14, 0)/Set1MeleeTP, 1), AvgRoundsSet1, 2) + VLOOKUP(CEILING(MAX(M402-15, 0)/Set1MeleeTP, 1), AvgRoundsSet1, 2) + VLOOKUP(CEILING(MAX(M402-16, 0)/Set1MeleeTP, 1), AvgRoundsSet1, 2) + VLOOKUP(CEILING(MAX(M402-17, 0)/Set1MeleeTP, 1), AvgRoundsSet1, 2) + VLOOKUP(CEILING(MAX(M402-18, 0)/Set1MeleeTP, 1), AvgRoundsSet1, 2) + VLOOKUP(CEILING(MAX(M402-19, 0)/Set1MeleeTP, 1), AvgRoundsSet1, 2) + VLOOKUP(CEILING(MAX(M402-20, 0)/Set1MeleeTP, 1), AvgRoundsSet1, 2)</f>
        <v>25.999636871582165</v>
      </c>
      <c r="R402" s="94">
        <f t="shared" ref="R402:R465" ca="1" si="126">(P402+Q402)/20</f>
        <v>2.5999636871582164</v>
      </c>
      <c r="S402" s="94">
        <f t="shared" ref="S402:S465" ca="1" si="127">R402*Set1ConserveTP + O402*(1-Set1ConserveTP)</f>
        <v>2.5999636871582168</v>
      </c>
      <c r="T402" s="4">
        <f t="shared" ref="T402:T465" ca="1" si="128">K402*S402</f>
        <v>0</v>
      </c>
      <c r="U402" s="46">
        <f t="shared" ref="U402:U465" ca="1" si="129">MIN(L402+(S402+Set1OverTP)*AvgHitsPerRound1*Set1MeleeTP + Set1Regain + 10.5*Set1ConserveTP, 3000)</f>
        <v>1350.360460436222</v>
      </c>
      <c r="V402" s="4">
        <f t="shared" ref="V402:V465" ca="1" si="130">U402*K402</f>
        <v>0</v>
      </c>
      <c r="W402" s="13">
        <f t="shared" ref="W402:W465" ca="1" si="131">G402*$K$10*((1-$L$10)*$L$14 + $L$10*$M$14*$M$10)*Set1WSDmg + H402*$K$13*((1-$L$13)*$L$15 + $L$13*$M$15*$M$11) + I402*$K$11*((1-$L$11)*$L$14 + $L$11*$M$14*$M$11) + E402*$K$12*$L$12*$M$10</f>
        <v>12313.142557895597</v>
      </c>
      <c r="X402" s="4">
        <f t="shared" ref="X402:X465" ca="1" si="132">K402*W402</f>
        <v>0</v>
      </c>
      <c r="AE402" s="4"/>
    </row>
    <row r="403" spans="1:31">
      <c r="A403">
        <v>3</v>
      </c>
      <c r="B403">
        <v>0</v>
      </c>
      <c r="C403">
        <f t="shared" si="114"/>
        <v>5</v>
      </c>
      <c r="D403">
        <f t="shared" si="115"/>
        <v>3</v>
      </c>
      <c r="E403">
        <f t="shared" si="116"/>
        <v>3</v>
      </c>
      <c r="F403" s="100">
        <f t="shared" ca="1" si="117"/>
        <v>0</v>
      </c>
      <c r="G403">
        <v>1</v>
      </c>
      <c r="H403">
        <v>1</v>
      </c>
      <c r="I403">
        <v>6</v>
      </c>
      <c r="J403" s="1">
        <f t="shared" ca="1" si="118"/>
        <v>0</v>
      </c>
      <c r="K403" s="1">
        <f t="shared" ca="1" si="119"/>
        <v>0</v>
      </c>
      <c r="L403" s="13">
        <f t="shared" ca="1" si="120"/>
        <v>202</v>
      </c>
      <c r="M403" s="7">
        <f t="shared" ca="1" si="121"/>
        <v>798</v>
      </c>
      <c r="N403" s="44">
        <f t="shared" ca="1" si="122"/>
        <v>10</v>
      </c>
      <c r="O403" s="94">
        <f t="shared" ca="1" si="123"/>
        <v>2.5999636871582168</v>
      </c>
      <c r="P403" s="94">
        <f t="shared" ca="1" si="124"/>
        <v>25.999636871582165</v>
      </c>
      <c r="Q403" s="94">
        <f t="shared" ca="1" si="125"/>
        <v>25.999636871582165</v>
      </c>
      <c r="R403" s="94">
        <f t="shared" ca="1" si="126"/>
        <v>2.5999636871582164</v>
      </c>
      <c r="S403" s="94">
        <f t="shared" ca="1" si="127"/>
        <v>2.5999636871582168</v>
      </c>
      <c r="T403" s="4">
        <f t="shared" ca="1" si="128"/>
        <v>0</v>
      </c>
      <c r="U403" s="46">
        <f t="shared" ca="1" si="129"/>
        <v>1337.360460436222</v>
      </c>
      <c r="V403" s="4">
        <f t="shared" ca="1" si="130"/>
        <v>0</v>
      </c>
      <c r="W403" s="13">
        <f t="shared" ca="1" si="131"/>
        <v>11478.326063848626</v>
      </c>
      <c r="X403" s="4">
        <f t="shared" ca="1" si="132"/>
        <v>0</v>
      </c>
      <c r="AE403" s="4"/>
    </row>
    <row r="404" spans="1:31">
      <c r="A404">
        <v>3</v>
      </c>
      <c r="B404">
        <v>0</v>
      </c>
      <c r="C404">
        <f t="shared" si="114"/>
        <v>5</v>
      </c>
      <c r="D404">
        <f t="shared" si="115"/>
        <v>3</v>
      </c>
      <c r="E404">
        <f t="shared" si="116"/>
        <v>3</v>
      </c>
      <c r="F404" s="100">
        <f t="shared" ca="1" si="117"/>
        <v>0</v>
      </c>
      <c r="G404">
        <v>1</v>
      </c>
      <c r="H404">
        <v>1</v>
      </c>
      <c r="I404">
        <v>5</v>
      </c>
      <c r="J404" s="1">
        <f t="shared" ca="1" si="118"/>
        <v>0</v>
      </c>
      <c r="K404" s="1">
        <f t="shared" ca="1" si="119"/>
        <v>0</v>
      </c>
      <c r="L404" s="13">
        <f t="shared" ca="1" si="120"/>
        <v>189</v>
      </c>
      <c r="M404" s="7">
        <f t="shared" ca="1" si="121"/>
        <v>811</v>
      </c>
      <c r="N404" s="44">
        <f t="shared" ca="1" si="122"/>
        <v>11</v>
      </c>
      <c r="O404" s="94">
        <f t="shared" ca="1" si="123"/>
        <v>2.8397004155948178</v>
      </c>
      <c r="P404" s="94">
        <f t="shared" ca="1" si="124"/>
        <v>28.397004155948181</v>
      </c>
      <c r="Q404" s="94">
        <f t="shared" ca="1" si="125"/>
        <v>25.999636871582165</v>
      </c>
      <c r="R404" s="94">
        <f t="shared" ca="1" si="126"/>
        <v>2.7198320513765175</v>
      </c>
      <c r="S404" s="94">
        <f t="shared" ca="1" si="127"/>
        <v>2.8397004155948178</v>
      </c>
      <c r="T404" s="4">
        <f t="shared" ca="1" si="128"/>
        <v>0</v>
      </c>
      <c r="U404" s="46">
        <f t="shared" ca="1" si="129"/>
        <v>1412.1639413314356</v>
      </c>
      <c r="V404" s="4">
        <f t="shared" ca="1" si="130"/>
        <v>0</v>
      </c>
      <c r="W404" s="13">
        <f t="shared" ca="1" si="131"/>
        <v>10643.509569801656</v>
      </c>
      <c r="X404" s="4">
        <f t="shared" ca="1" si="132"/>
        <v>0</v>
      </c>
      <c r="AE404" s="4"/>
    </row>
    <row r="405" spans="1:31">
      <c r="A405">
        <v>3</v>
      </c>
      <c r="B405">
        <v>0</v>
      </c>
      <c r="C405">
        <f t="shared" si="114"/>
        <v>5</v>
      </c>
      <c r="D405">
        <f t="shared" si="115"/>
        <v>3</v>
      </c>
      <c r="E405">
        <f t="shared" si="116"/>
        <v>3</v>
      </c>
      <c r="F405" s="100">
        <f t="shared" ca="1" si="117"/>
        <v>0</v>
      </c>
      <c r="G405">
        <v>1</v>
      </c>
      <c r="H405">
        <v>1</v>
      </c>
      <c r="I405">
        <v>4</v>
      </c>
      <c r="J405" s="1">
        <f t="shared" ca="1" si="118"/>
        <v>0</v>
      </c>
      <c r="K405" s="1">
        <f t="shared" ca="1" si="119"/>
        <v>0</v>
      </c>
      <c r="L405" s="13">
        <f t="shared" ca="1" si="120"/>
        <v>176</v>
      </c>
      <c r="M405" s="7">
        <f t="shared" ca="1" si="121"/>
        <v>824</v>
      </c>
      <c r="N405" s="44">
        <f t="shared" ca="1" si="122"/>
        <v>11</v>
      </c>
      <c r="O405" s="94">
        <f t="shared" ca="1" si="123"/>
        <v>2.8397004155948178</v>
      </c>
      <c r="P405" s="94">
        <f t="shared" ca="1" si="124"/>
        <v>28.397004155948181</v>
      </c>
      <c r="Q405" s="94">
        <f t="shared" ca="1" si="125"/>
        <v>28.397004155948181</v>
      </c>
      <c r="R405" s="94">
        <f t="shared" ca="1" si="126"/>
        <v>2.8397004155948182</v>
      </c>
      <c r="S405" s="94">
        <f t="shared" ca="1" si="127"/>
        <v>2.8397004155948178</v>
      </c>
      <c r="T405" s="4">
        <f t="shared" ca="1" si="128"/>
        <v>0</v>
      </c>
      <c r="U405" s="46">
        <f t="shared" ca="1" si="129"/>
        <v>1399.1639413314356</v>
      </c>
      <c r="V405" s="4">
        <f t="shared" ca="1" si="130"/>
        <v>0</v>
      </c>
      <c r="W405" s="13">
        <f t="shared" ca="1" si="131"/>
        <v>9808.693075754687</v>
      </c>
      <c r="X405" s="4">
        <f t="shared" ca="1" si="132"/>
        <v>0</v>
      </c>
      <c r="AE405" s="4"/>
    </row>
    <row r="406" spans="1:31">
      <c r="A406">
        <v>3</v>
      </c>
      <c r="B406">
        <v>0</v>
      </c>
      <c r="C406">
        <f t="shared" si="114"/>
        <v>5</v>
      </c>
      <c r="D406">
        <f t="shared" si="115"/>
        <v>3</v>
      </c>
      <c r="E406">
        <f t="shared" si="116"/>
        <v>3</v>
      </c>
      <c r="F406" s="100">
        <f t="shared" ca="1" si="117"/>
        <v>0</v>
      </c>
      <c r="G406">
        <v>1</v>
      </c>
      <c r="H406">
        <v>1</v>
      </c>
      <c r="I406">
        <v>3</v>
      </c>
      <c r="J406" s="1">
        <f t="shared" ca="1" si="118"/>
        <v>0.91256620949999989</v>
      </c>
      <c r="K406" s="1">
        <f t="shared" ca="1" si="119"/>
        <v>0</v>
      </c>
      <c r="L406" s="13">
        <f t="shared" ca="1" si="120"/>
        <v>163</v>
      </c>
      <c r="M406" s="7">
        <f t="shared" ca="1" si="121"/>
        <v>837</v>
      </c>
      <c r="N406" s="44">
        <f t="shared" ca="1" si="122"/>
        <v>11</v>
      </c>
      <c r="O406" s="94">
        <f t="shared" ca="1" si="123"/>
        <v>2.8397004155948178</v>
      </c>
      <c r="P406" s="94">
        <f t="shared" ca="1" si="124"/>
        <v>28.397004155948181</v>
      </c>
      <c r="Q406" s="94">
        <f t="shared" ca="1" si="125"/>
        <v>28.397004155948181</v>
      </c>
      <c r="R406" s="94">
        <f t="shared" ca="1" si="126"/>
        <v>2.8397004155948182</v>
      </c>
      <c r="S406" s="94">
        <f t="shared" ca="1" si="127"/>
        <v>2.8397004155948178</v>
      </c>
      <c r="T406" s="4">
        <f t="shared" ca="1" si="128"/>
        <v>0</v>
      </c>
      <c r="U406" s="46">
        <f t="shared" ca="1" si="129"/>
        <v>1386.1639413314356</v>
      </c>
      <c r="V406" s="4">
        <f t="shared" ca="1" si="130"/>
        <v>0</v>
      </c>
      <c r="W406" s="13">
        <f t="shared" ca="1" si="131"/>
        <v>8973.8765817077146</v>
      </c>
      <c r="X406" s="4">
        <f t="shared" ca="1" si="132"/>
        <v>0</v>
      </c>
      <c r="AE406" s="4"/>
    </row>
    <row r="407" spans="1:31">
      <c r="A407">
        <v>3</v>
      </c>
      <c r="B407">
        <v>0</v>
      </c>
      <c r="C407">
        <f t="shared" si="114"/>
        <v>5</v>
      </c>
      <c r="D407">
        <f t="shared" si="115"/>
        <v>3</v>
      </c>
      <c r="E407">
        <f t="shared" si="116"/>
        <v>3</v>
      </c>
      <c r="F407" s="100">
        <f t="shared" ca="1" si="117"/>
        <v>0</v>
      </c>
      <c r="G407">
        <v>1</v>
      </c>
      <c r="H407">
        <v>1</v>
      </c>
      <c r="I407">
        <v>2</v>
      </c>
      <c r="J407" s="1">
        <f t="shared" ca="1" si="118"/>
        <v>2.7653521500000021E-2</v>
      </c>
      <c r="K407" s="1">
        <f t="shared" ca="1" si="119"/>
        <v>0</v>
      </c>
      <c r="L407" s="13">
        <f t="shared" ca="1" si="120"/>
        <v>150</v>
      </c>
      <c r="M407" s="7">
        <f t="shared" ca="1" si="121"/>
        <v>850</v>
      </c>
      <c r="N407" s="44">
        <f t="shared" ca="1" si="122"/>
        <v>11</v>
      </c>
      <c r="O407" s="94">
        <f t="shared" ca="1" si="123"/>
        <v>2.8397004155948178</v>
      </c>
      <c r="P407" s="94">
        <f t="shared" ca="1" si="124"/>
        <v>28.397004155948181</v>
      </c>
      <c r="Q407" s="94">
        <f t="shared" ca="1" si="125"/>
        <v>28.397004155948181</v>
      </c>
      <c r="R407" s="94">
        <f t="shared" ca="1" si="126"/>
        <v>2.8397004155948182</v>
      </c>
      <c r="S407" s="94">
        <f t="shared" ca="1" si="127"/>
        <v>2.8397004155948178</v>
      </c>
      <c r="T407" s="4">
        <f t="shared" ca="1" si="128"/>
        <v>0</v>
      </c>
      <c r="U407" s="46">
        <f t="shared" ca="1" si="129"/>
        <v>1373.1639413314356</v>
      </c>
      <c r="V407" s="4">
        <f t="shared" ca="1" si="130"/>
        <v>0</v>
      </c>
      <c r="W407" s="13">
        <f t="shared" ca="1" si="131"/>
        <v>8139.0600876607459</v>
      </c>
      <c r="X407" s="4">
        <f t="shared" ca="1" si="132"/>
        <v>0</v>
      </c>
      <c r="AE407" s="4"/>
    </row>
    <row r="408" spans="1:31">
      <c r="A408">
        <v>3</v>
      </c>
      <c r="B408">
        <v>0</v>
      </c>
      <c r="C408">
        <f t="shared" si="114"/>
        <v>5</v>
      </c>
      <c r="D408">
        <f t="shared" si="115"/>
        <v>3</v>
      </c>
      <c r="E408">
        <f t="shared" si="116"/>
        <v>3</v>
      </c>
      <c r="F408" s="100">
        <f t="shared" ca="1" si="117"/>
        <v>0</v>
      </c>
      <c r="G408">
        <v>1</v>
      </c>
      <c r="H408">
        <v>1</v>
      </c>
      <c r="I408">
        <v>1</v>
      </c>
      <c r="J408" s="1">
        <f t="shared" ca="1" si="118"/>
        <v>2.7932850000000052E-4</v>
      </c>
      <c r="K408" s="1">
        <f t="shared" ca="1" si="119"/>
        <v>0</v>
      </c>
      <c r="L408" s="13">
        <f t="shared" ca="1" si="120"/>
        <v>137</v>
      </c>
      <c r="M408" s="7">
        <f t="shared" ca="1" si="121"/>
        <v>863</v>
      </c>
      <c r="N408" s="44">
        <f t="shared" ca="1" si="122"/>
        <v>11</v>
      </c>
      <c r="O408" s="94">
        <f t="shared" ca="1" si="123"/>
        <v>2.8397004155948178</v>
      </c>
      <c r="P408" s="94">
        <f t="shared" ca="1" si="124"/>
        <v>28.397004155948181</v>
      </c>
      <c r="Q408" s="94">
        <f t="shared" ca="1" si="125"/>
        <v>28.397004155948181</v>
      </c>
      <c r="R408" s="94">
        <f t="shared" ca="1" si="126"/>
        <v>2.8397004155948182</v>
      </c>
      <c r="S408" s="94">
        <f t="shared" ca="1" si="127"/>
        <v>2.8397004155948178</v>
      </c>
      <c r="T408" s="4">
        <f t="shared" ca="1" si="128"/>
        <v>0</v>
      </c>
      <c r="U408" s="46">
        <f t="shared" ca="1" si="129"/>
        <v>1360.1639413314356</v>
      </c>
      <c r="V408" s="4">
        <f t="shared" ca="1" si="130"/>
        <v>0</v>
      </c>
      <c r="W408" s="13">
        <f t="shared" ca="1" si="131"/>
        <v>7304.2435936137754</v>
      </c>
      <c r="X408" s="4">
        <f t="shared" ca="1" si="132"/>
        <v>0</v>
      </c>
      <c r="AE408" s="4"/>
    </row>
    <row r="409" spans="1:31">
      <c r="A409">
        <v>3</v>
      </c>
      <c r="B409">
        <v>0</v>
      </c>
      <c r="C409">
        <f t="shared" si="114"/>
        <v>5</v>
      </c>
      <c r="D409">
        <f t="shared" si="115"/>
        <v>3</v>
      </c>
      <c r="E409">
        <f t="shared" si="116"/>
        <v>3</v>
      </c>
      <c r="F409" s="100">
        <f t="shared" ca="1" si="117"/>
        <v>0</v>
      </c>
      <c r="G409">
        <v>1</v>
      </c>
      <c r="H409">
        <v>1</v>
      </c>
      <c r="I409">
        <v>0</v>
      </c>
      <c r="J409" s="1">
        <f t="shared" ca="1" si="118"/>
        <v>9.4050000000000258E-7</v>
      </c>
      <c r="K409" s="1">
        <f t="shared" ca="1" si="119"/>
        <v>0</v>
      </c>
      <c r="L409" s="13">
        <f t="shared" ca="1" si="120"/>
        <v>124</v>
      </c>
      <c r="M409" s="7">
        <f t="shared" ca="1" si="121"/>
        <v>876</v>
      </c>
      <c r="N409" s="44">
        <f t="shared" ca="1" si="122"/>
        <v>11</v>
      </c>
      <c r="O409" s="94">
        <f t="shared" ca="1" si="123"/>
        <v>2.8397004155948178</v>
      </c>
      <c r="P409" s="94">
        <f t="shared" ca="1" si="124"/>
        <v>28.397004155948181</v>
      </c>
      <c r="Q409" s="94">
        <f t="shared" ca="1" si="125"/>
        <v>28.397004155948181</v>
      </c>
      <c r="R409" s="94">
        <f t="shared" ca="1" si="126"/>
        <v>2.8397004155948182</v>
      </c>
      <c r="S409" s="94">
        <f t="shared" ca="1" si="127"/>
        <v>2.8397004155948178</v>
      </c>
      <c r="T409" s="4">
        <f t="shared" ca="1" si="128"/>
        <v>0</v>
      </c>
      <c r="U409" s="46">
        <f t="shared" ca="1" si="129"/>
        <v>1347.1639413314356</v>
      </c>
      <c r="V409" s="4">
        <f t="shared" ca="1" si="130"/>
        <v>0</v>
      </c>
      <c r="W409" s="13">
        <f t="shared" ca="1" si="131"/>
        <v>6469.4270995668048</v>
      </c>
      <c r="X409" s="4">
        <f t="shared" ca="1" si="132"/>
        <v>0</v>
      </c>
      <c r="AE409" s="4"/>
    </row>
    <row r="410" spans="1:31">
      <c r="A410">
        <v>3</v>
      </c>
      <c r="B410">
        <v>0</v>
      </c>
      <c r="C410">
        <f t="shared" si="114"/>
        <v>5</v>
      </c>
      <c r="D410">
        <f t="shared" si="115"/>
        <v>3</v>
      </c>
      <c r="E410">
        <f t="shared" si="116"/>
        <v>3</v>
      </c>
      <c r="F410" s="100">
        <f t="shared" ca="1" si="117"/>
        <v>0</v>
      </c>
      <c r="G410">
        <v>1</v>
      </c>
      <c r="H410">
        <v>0</v>
      </c>
      <c r="I410">
        <v>7</v>
      </c>
      <c r="J410" s="1">
        <f t="shared" ca="1" si="118"/>
        <v>0</v>
      </c>
      <c r="K410" s="1">
        <f t="shared" ca="1" si="119"/>
        <v>0</v>
      </c>
      <c r="L410" s="13">
        <f t="shared" ca="1" si="120"/>
        <v>153</v>
      </c>
      <c r="M410" s="7">
        <f t="shared" ca="1" si="121"/>
        <v>847</v>
      </c>
      <c r="N410" s="44">
        <f t="shared" ca="1" si="122"/>
        <v>11</v>
      </c>
      <c r="O410" s="94">
        <f t="shared" ca="1" si="123"/>
        <v>2.8397004155948178</v>
      </c>
      <c r="P410" s="94">
        <f t="shared" ca="1" si="124"/>
        <v>28.397004155948181</v>
      </c>
      <c r="Q410" s="94">
        <f t="shared" ca="1" si="125"/>
        <v>28.397004155948181</v>
      </c>
      <c r="R410" s="94">
        <f t="shared" ca="1" si="126"/>
        <v>2.8397004155948182</v>
      </c>
      <c r="S410" s="94">
        <f t="shared" ca="1" si="127"/>
        <v>2.8397004155948178</v>
      </c>
      <c r="T410" s="4">
        <f t="shared" ca="1" si="128"/>
        <v>0</v>
      </c>
      <c r="U410" s="46">
        <f t="shared" ca="1" si="129"/>
        <v>1376.1639413314356</v>
      </c>
      <c r="V410" s="4">
        <f t="shared" ca="1" si="130"/>
        <v>0</v>
      </c>
      <c r="W410" s="13">
        <f t="shared" ca="1" si="131"/>
        <v>11687.430916657584</v>
      </c>
      <c r="X410" s="4">
        <f t="shared" ca="1" si="132"/>
        <v>0</v>
      </c>
      <c r="AE410" s="4"/>
    </row>
    <row r="411" spans="1:31">
      <c r="A411">
        <v>3</v>
      </c>
      <c r="B411">
        <v>0</v>
      </c>
      <c r="C411">
        <f t="shared" si="114"/>
        <v>5</v>
      </c>
      <c r="D411">
        <f t="shared" si="115"/>
        <v>3</v>
      </c>
      <c r="E411">
        <f t="shared" si="116"/>
        <v>3</v>
      </c>
      <c r="F411" s="100">
        <f t="shared" ca="1" si="117"/>
        <v>0</v>
      </c>
      <c r="G411">
        <v>1</v>
      </c>
      <c r="H411">
        <v>0</v>
      </c>
      <c r="I411">
        <v>6</v>
      </c>
      <c r="J411" s="1">
        <f t="shared" ca="1" si="118"/>
        <v>0</v>
      </c>
      <c r="K411" s="1">
        <f t="shared" ca="1" si="119"/>
        <v>0</v>
      </c>
      <c r="L411" s="13">
        <f t="shared" ca="1" si="120"/>
        <v>140</v>
      </c>
      <c r="M411" s="7">
        <f t="shared" ca="1" si="121"/>
        <v>860</v>
      </c>
      <c r="N411" s="44">
        <f t="shared" ca="1" si="122"/>
        <v>11</v>
      </c>
      <c r="O411" s="94">
        <f t="shared" ca="1" si="123"/>
        <v>2.8397004155948178</v>
      </c>
      <c r="P411" s="94">
        <f t="shared" ca="1" si="124"/>
        <v>28.397004155948181</v>
      </c>
      <c r="Q411" s="94">
        <f t="shared" ca="1" si="125"/>
        <v>28.397004155948181</v>
      </c>
      <c r="R411" s="94">
        <f t="shared" ca="1" si="126"/>
        <v>2.8397004155948182</v>
      </c>
      <c r="S411" s="94">
        <f t="shared" ca="1" si="127"/>
        <v>2.8397004155948178</v>
      </c>
      <c r="T411" s="4">
        <f t="shared" ca="1" si="128"/>
        <v>0</v>
      </c>
      <c r="U411" s="46">
        <f t="shared" ca="1" si="129"/>
        <v>1363.1639413314356</v>
      </c>
      <c r="V411" s="4">
        <f t="shared" ca="1" si="130"/>
        <v>0</v>
      </c>
      <c r="W411" s="13">
        <f t="shared" ca="1" si="131"/>
        <v>10852.614422610615</v>
      </c>
      <c r="X411" s="4">
        <f t="shared" ca="1" si="132"/>
        <v>0</v>
      </c>
      <c r="AE411" s="4"/>
    </row>
    <row r="412" spans="1:31">
      <c r="A412">
        <v>3</v>
      </c>
      <c r="B412">
        <v>0</v>
      </c>
      <c r="C412">
        <f t="shared" si="114"/>
        <v>5</v>
      </c>
      <c r="D412">
        <f t="shared" si="115"/>
        <v>3</v>
      </c>
      <c r="E412">
        <f t="shared" si="116"/>
        <v>3</v>
      </c>
      <c r="F412" s="100">
        <f t="shared" ca="1" si="117"/>
        <v>0</v>
      </c>
      <c r="G412">
        <v>1</v>
      </c>
      <c r="H412">
        <v>0</v>
      </c>
      <c r="I412">
        <v>5</v>
      </c>
      <c r="J412" s="1">
        <f t="shared" ca="1" si="118"/>
        <v>0</v>
      </c>
      <c r="K412" s="1">
        <f t="shared" ca="1" si="119"/>
        <v>0</v>
      </c>
      <c r="L412" s="13">
        <f t="shared" ca="1" si="120"/>
        <v>127</v>
      </c>
      <c r="M412" s="7">
        <f t="shared" ca="1" si="121"/>
        <v>873</v>
      </c>
      <c r="N412" s="44">
        <f t="shared" ca="1" si="122"/>
        <v>11</v>
      </c>
      <c r="O412" s="94">
        <f t="shared" ca="1" si="123"/>
        <v>2.8397004155948178</v>
      </c>
      <c r="P412" s="94">
        <f t="shared" ca="1" si="124"/>
        <v>28.397004155948181</v>
      </c>
      <c r="Q412" s="94">
        <f t="shared" ca="1" si="125"/>
        <v>28.397004155948181</v>
      </c>
      <c r="R412" s="94">
        <f t="shared" ca="1" si="126"/>
        <v>2.8397004155948182</v>
      </c>
      <c r="S412" s="94">
        <f t="shared" ca="1" si="127"/>
        <v>2.8397004155948178</v>
      </c>
      <c r="T412" s="4">
        <f t="shared" ca="1" si="128"/>
        <v>0</v>
      </c>
      <c r="U412" s="46">
        <f t="shared" ca="1" si="129"/>
        <v>1350.1639413314356</v>
      </c>
      <c r="V412" s="4">
        <f t="shared" ca="1" si="130"/>
        <v>0</v>
      </c>
      <c r="W412" s="13">
        <f t="shared" ca="1" si="131"/>
        <v>10017.797928563645</v>
      </c>
      <c r="X412" s="4">
        <f t="shared" ca="1" si="132"/>
        <v>0</v>
      </c>
      <c r="AE412" s="4"/>
    </row>
    <row r="413" spans="1:31">
      <c r="A413">
        <v>3</v>
      </c>
      <c r="B413">
        <v>0</v>
      </c>
      <c r="C413">
        <f t="shared" si="114"/>
        <v>5</v>
      </c>
      <c r="D413">
        <f t="shared" si="115"/>
        <v>3</v>
      </c>
      <c r="E413">
        <f t="shared" si="116"/>
        <v>3</v>
      </c>
      <c r="F413" s="100">
        <f t="shared" ca="1" si="117"/>
        <v>0</v>
      </c>
      <c r="G413">
        <v>1</v>
      </c>
      <c r="H413">
        <v>0</v>
      </c>
      <c r="I413">
        <v>4</v>
      </c>
      <c r="J413" s="1">
        <f t="shared" ca="1" si="118"/>
        <v>0</v>
      </c>
      <c r="K413" s="1">
        <f t="shared" ca="1" si="119"/>
        <v>0</v>
      </c>
      <c r="L413" s="13">
        <f t="shared" ca="1" si="120"/>
        <v>114</v>
      </c>
      <c r="M413" s="7">
        <f t="shared" ca="1" si="121"/>
        <v>886</v>
      </c>
      <c r="N413" s="44">
        <f t="shared" ca="1" si="122"/>
        <v>12</v>
      </c>
      <c r="O413" s="94">
        <f t="shared" ca="1" si="123"/>
        <v>3.0624018806381534</v>
      </c>
      <c r="P413" s="94">
        <f t="shared" ca="1" si="124"/>
        <v>29.510511481164862</v>
      </c>
      <c r="Q413" s="94">
        <f t="shared" ca="1" si="125"/>
        <v>28.397004155948181</v>
      </c>
      <c r="R413" s="94">
        <f t="shared" ca="1" si="126"/>
        <v>2.8953757818556523</v>
      </c>
      <c r="S413" s="94">
        <f t="shared" ca="1" si="127"/>
        <v>3.0624018806381534</v>
      </c>
      <c r="T413" s="4">
        <f t="shared" ca="1" si="128"/>
        <v>0</v>
      </c>
      <c r="U413" s="46">
        <f t="shared" ca="1" si="129"/>
        <v>1418.7282638229713</v>
      </c>
      <c r="V413" s="4">
        <f t="shared" ca="1" si="130"/>
        <v>0</v>
      </c>
      <c r="W413" s="13">
        <f t="shared" ca="1" si="131"/>
        <v>9182.9814345166742</v>
      </c>
      <c r="X413" s="4">
        <f t="shared" ca="1" si="132"/>
        <v>0</v>
      </c>
      <c r="AE413" s="4"/>
    </row>
    <row r="414" spans="1:31">
      <c r="A414">
        <v>3</v>
      </c>
      <c r="B414">
        <v>0</v>
      </c>
      <c r="C414">
        <f t="shared" si="114"/>
        <v>5</v>
      </c>
      <c r="D414">
        <f t="shared" si="115"/>
        <v>3</v>
      </c>
      <c r="E414">
        <f t="shared" si="116"/>
        <v>3</v>
      </c>
      <c r="F414" s="100">
        <f t="shared" ca="1" si="117"/>
        <v>0</v>
      </c>
      <c r="G414">
        <v>1</v>
      </c>
      <c r="H414">
        <v>0</v>
      </c>
      <c r="I414">
        <v>3</v>
      </c>
      <c r="J414" s="1">
        <f t="shared" ca="1" si="118"/>
        <v>9.2178405000000081E-3</v>
      </c>
      <c r="K414" s="1">
        <f t="shared" ca="1" si="119"/>
        <v>0</v>
      </c>
      <c r="L414" s="13">
        <f t="shared" ca="1" si="120"/>
        <v>101</v>
      </c>
      <c r="M414" s="7">
        <f t="shared" ca="1" si="121"/>
        <v>899</v>
      </c>
      <c r="N414" s="44">
        <f t="shared" ca="1" si="122"/>
        <v>12</v>
      </c>
      <c r="O414" s="94">
        <f t="shared" ca="1" si="123"/>
        <v>3.0624018806381534</v>
      </c>
      <c r="P414" s="94">
        <f t="shared" ca="1" si="124"/>
        <v>30.624018806381528</v>
      </c>
      <c r="Q414" s="94">
        <f t="shared" ca="1" si="125"/>
        <v>30.178615876294863</v>
      </c>
      <c r="R414" s="94">
        <f t="shared" ca="1" si="126"/>
        <v>3.0401317341338197</v>
      </c>
      <c r="S414" s="94">
        <f t="shared" ca="1" si="127"/>
        <v>3.0624018806381534</v>
      </c>
      <c r="T414" s="4">
        <f t="shared" ca="1" si="128"/>
        <v>0</v>
      </c>
      <c r="U414" s="46">
        <f t="shared" ca="1" si="129"/>
        <v>1405.7282638229713</v>
      </c>
      <c r="V414" s="4">
        <f t="shared" ca="1" si="130"/>
        <v>0</v>
      </c>
      <c r="W414" s="13">
        <f t="shared" ca="1" si="131"/>
        <v>8348.1649404697037</v>
      </c>
      <c r="X414" s="4">
        <f t="shared" ca="1" si="132"/>
        <v>0</v>
      </c>
      <c r="AE414" s="4"/>
    </row>
    <row r="415" spans="1:31">
      <c r="A415">
        <v>3</v>
      </c>
      <c r="B415">
        <v>0</v>
      </c>
      <c r="C415">
        <f t="shared" si="114"/>
        <v>5</v>
      </c>
      <c r="D415">
        <f t="shared" si="115"/>
        <v>3</v>
      </c>
      <c r="E415">
        <f t="shared" si="116"/>
        <v>3</v>
      </c>
      <c r="F415" s="100">
        <f t="shared" ca="1" si="117"/>
        <v>0</v>
      </c>
      <c r="G415">
        <v>1</v>
      </c>
      <c r="H415">
        <v>0</v>
      </c>
      <c r="I415">
        <v>2</v>
      </c>
      <c r="J415" s="1">
        <f t="shared" ca="1" si="118"/>
        <v>2.7932850000000046E-4</v>
      </c>
      <c r="K415" s="1">
        <f t="shared" ca="1" si="119"/>
        <v>0</v>
      </c>
      <c r="L415" s="13">
        <f t="shared" ca="1" si="120"/>
        <v>88</v>
      </c>
      <c r="M415" s="7">
        <f t="shared" ca="1" si="121"/>
        <v>912</v>
      </c>
      <c r="N415" s="44">
        <f t="shared" ca="1" si="122"/>
        <v>12</v>
      </c>
      <c r="O415" s="94">
        <f t="shared" ca="1" si="123"/>
        <v>3.0624018806381534</v>
      </c>
      <c r="P415" s="94">
        <f t="shared" ca="1" si="124"/>
        <v>30.624018806381528</v>
      </c>
      <c r="Q415" s="94">
        <f t="shared" ca="1" si="125"/>
        <v>30.624018806381528</v>
      </c>
      <c r="R415" s="94">
        <f t="shared" ca="1" si="126"/>
        <v>3.062401880638153</v>
      </c>
      <c r="S415" s="94">
        <f t="shared" ca="1" si="127"/>
        <v>3.0624018806381534</v>
      </c>
      <c r="T415" s="4">
        <f t="shared" ca="1" si="128"/>
        <v>0</v>
      </c>
      <c r="U415" s="46">
        <f t="shared" ca="1" si="129"/>
        <v>1392.7282638229713</v>
      </c>
      <c r="V415" s="4">
        <f t="shared" ca="1" si="130"/>
        <v>0</v>
      </c>
      <c r="W415" s="13">
        <f t="shared" ca="1" si="131"/>
        <v>7513.3484464227331</v>
      </c>
      <c r="X415" s="4">
        <f t="shared" ca="1" si="132"/>
        <v>0</v>
      </c>
      <c r="AE415" s="4"/>
    </row>
    <row r="416" spans="1:31">
      <c r="A416">
        <v>3</v>
      </c>
      <c r="B416">
        <v>0</v>
      </c>
      <c r="C416">
        <f t="shared" si="114"/>
        <v>5</v>
      </c>
      <c r="D416">
        <f t="shared" si="115"/>
        <v>3</v>
      </c>
      <c r="E416">
        <f t="shared" si="116"/>
        <v>3</v>
      </c>
      <c r="F416" s="100">
        <f t="shared" ca="1" si="117"/>
        <v>0</v>
      </c>
      <c r="G416">
        <v>1</v>
      </c>
      <c r="H416">
        <v>0</v>
      </c>
      <c r="I416">
        <v>1</v>
      </c>
      <c r="J416" s="1">
        <f t="shared" ca="1" si="118"/>
        <v>2.8215000000000076E-6</v>
      </c>
      <c r="K416" s="1">
        <f t="shared" ca="1" si="119"/>
        <v>0</v>
      </c>
      <c r="L416" s="13">
        <f t="shared" ca="1" si="120"/>
        <v>75</v>
      </c>
      <c r="M416" s="7">
        <f t="shared" ca="1" si="121"/>
        <v>925</v>
      </c>
      <c r="N416" s="44">
        <f t="shared" ca="1" si="122"/>
        <v>12</v>
      </c>
      <c r="O416" s="94">
        <f t="shared" ca="1" si="123"/>
        <v>3.0624018806381534</v>
      </c>
      <c r="P416" s="94">
        <f t="shared" ca="1" si="124"/>
        <v>30.624018806381528</v>
      </c>
      <c r="Q416" s="94">
        <f t="shared" ca="1" si="125"/>
        <v>30.624018806381528</v>
      </c>
      <c r="R416" s="94">
        <f t="shared" ca="1" si="126"/>
        <v>3.062401880638153</v>
      </c>
      <c r="S416" s="94">
        <f t="shared" ca="1" si="127"/>
        <v>3.0624018806381534</v>
      </c>
      <c r="T416" s="4">
        <f t="shared" ca="1" si="128"/>
        <v>0</v>
      </c>
      <c r="U416" s="46">
        <f t="shared" ca="1" si="129"/>
        <v>1379.7282638229713</v>
      </c>
      <c r="V416" s="4">
        <f t="shared" ca="1" si="130"/>
        <v>0</v>
      </c>
      <c r="W416" s="13">
        <f t="shared" ca="1" si="131"/>
        <v>6678.5319523757635</v>
      </c>
      <c r="X416" s="4">
        <f t="shared" ca="1" si="132"/>
        <v>0</v>
      </c>
      <c r="AE416" s="4"/>
    </row>
    <row r="417" spans="1:31">
      <c r="A417">
        <v>3</v>
      </c>
      <c r="B417">
        <v>0</v>
      </c>
      <c r="C417">
        <f t="shared" si="114"/>
        <v>5</v>
      </c>
      <c r="D417">
        <f t="shared" si="115"/>
        <v>3</v>
      </c>
      <c r="E417">
        <f t="shared" si="116"/>
        <v>3</v>
      </c>
      <c r="F417" s="100">
        <f t="shared" ca="1" si="117"/>
        <v>0</v>
      </c>
      <c r="G417">
        <v>1</v>
      </c>
      <c r="H417">
        <v>0</v>
      </c>
      <c r="I417">
        <v>0</v>
      </c>
      <c r="J417" s="1">
        <f t="shared" ca="1" si="118"/>
        <v>9.5000000000000338E-9</v>
      </c>
      <c r="K417" s="1">
        <f t="shared" ca="1" si="119"/>
        <v>0</v>
      </c>
      <c r="L417" s="13">
        <f t="shared" ca="1" si="120"/>
        <v>62</v>
      </c>
      <c r="M417" s="7">
        <f t="shared" ca="1" si="121"/>
        <v>938</v>
      </c>
      <c r="N417" s="44">
        <f t="shared" ca="1" si="122"/>
        <v>12</v>
      </c>
      <c r="O417" s="94">
        <f t="shared" ca="1" si="123"/>
        <v>3.0624018806381534</v>
      </c>
      <c r="P417" s="94">
        <f t="shared" ca="1" si="124"/>
        <v>30.624018806381528</v>
      </c>
      <c r="Q417" s="94">
        <f t="shared" ca="1" si="125"/>
        <v>30.624018806381528</v>
      </c>
      <c r="R417" s="94">
        <f t="shared" ca="1" si="126"/>
        <v>3.062401880638153</v>
      </c>
      <c r="S417" s="94">
        <f t="shared" ca="1" si="127"/>
        <v>3.0624018806381534</v>
      </c>
      <c r="T417" s="4">
        <f t="shared" ca="1" si="128"/>
        <v>0</v>
      </c>
      <c r="U417" s="46">
        <f t="shared" ca="1" si="129"/>
        <v>1366.7282638229713</v>
      </c>
      <c r="V417" s="4">
        <f t="shared" ca="1" si="130"/>
        <v>0</v>
      </c>
      <c r="W417" s="13">
        <f t="shared" ca="1" si="131"/>
        <v>5843.7154583287929</v>
      </c>
      <c r="X417" s="4">
        <f t="shared" ca="1" si="132"/>
        <v>0</v>
      </c>
      <c r="AE417" s="4"/>
    </row>
    <row r="418" spans="1:31">
      <c r="A418">
        <v>3</v>
      </c>
      <c r="B418">
        <v>0</v>
      </c>
      <c r="C418">
        <f t="shared" si="114"/>
        <v>5</v>
      </c>
      <c r="D418">
        <f t="shared" si="115"/>
        <v>3</v>
      </c>
      <c r="E418">
        <f t="shared" si="116"/>
        <v>3</v>
      </c>
      <c r="F418" s="100">
        <f t="shared" ca="1" si="117"/>
        <v>0</v>
      </c>
      <c r="G418">
        <v>0</v>
      </c>
      <c r="H418">
        <v>1</v>
      </c>
      <c r="I418">
        <v>7</v>
      </c>
      <c r="J418" s="1">
        <f t="shared" ca="1" si="118"/>
        <v>0</v>
      </c>
      <c r="K418" s="1">
        <f t="shared" ca="1" si="119"/>
        <v>0</v>
      </c>
      <c r="L418" s="13">
        <f t="shared" ca="1" si="120"/>
        <v>153</v>
      </c>
      <c r="M418" s="7">
        <f t="shared" ca="1" si="121"/>
        <v>847</v>
      </c>
      <c r="N418" s="44">
        <f t="shared" ca="1" si="122"/>
        <v>11</v>
      </c>
      <c r="O418" s="94">
        <f t="shared" ca="1" si="123"/>
        <v>2.8397004155948178</v>
      </c>
      <c r="P418" s="94">
        <f t="shared" ca="1" si="124"/>
        <v>28.397004155948181</v>
      </c>
      <c r="Q418" s="94">
        <f t="shared" ca="1" si="125"/>
        <v>28.397004155948181</v>
      </c>
      <c r="R418" s="94">
        <f t="shared" ca="1" si="126"/>
        <v>2.8397004155948182</v>
      </c>
      <c r="S418" s="94">
        <f t="shared" ca="1" si="127"/>
        <v>2.8397004155948178</v>
      </c>
      <c r="T418" s="4">
        <f t="shared" ca="1" si="128"/>
        <v>0</v>
      </c>
      <c r="U418" s="46">
        <f t="shared" ca="1" si="129"/>
        <v>1376.1639413314356</v>
      </c>
      <c r="V418" s="4">
        <f t="shared" ca="1" si="130"/>
        <v>0</v>
      </c>
      <c r="W418" s="13">
        <f t="shared" ca="1" si="131"/>
        <v>6469.4270995668039</v>
      </c>
      <c r="X418" s="4">
        <f t="shared" ca="1" si="132"/>
        <v>0</v>
      </c>
      <c r="AE418" s="4"/>
    </row>
    <row r="419" spans="1:31">
      <c r="A419">
        <v>3</v>
      </c>
      <c r="B419">
        <v>0</v>
      </c>
      <c r="C419">
        <f t="shared" si="114"/>
        <v>5</v>
      </c>
      <c r="D419">
        <f t="shared" si="115"/>
        <v>3</v>
      </c>
      <c r="E419">
        <f t="shared" si="116"/>
        <v>3</v>
      </c>
      <c r="F419" s="100">
        <f t="shared" ca="1" si="117"/>
        <v>0</v>
      </c>
      <c r="G419">
        <v>0</v>
      </c>
      <c r="H419">
        <v>1</v>
      </c>
      <c r="I419">
        <v>6</v>
      </c>
      <c r="J419" s="1">
        <f t="shared" ca="1" si="118"/>
        <v>0</v>
      </c>
      <c r="K419" s="1">
        <f t="shared" ca="1" si="119"/>
        <v>0</v>
      </c>
      <c r="L419" s="13">
        <f t="shared" ca="1" si="120"/>
        <v>140</v>
      </c>
      <c r="M419" s="7">
        <f t="shared" ca="1" si="121"/>
        <v>860</v>
      </c>
      <c r="N419" s="44">
        <f t="shared" ca="1" si="122"/>
        <v>11</v>
      </c>
      <c r="O419" s="94">
        <f t="shared" ca="1" si="123"/>
        <v>2.8397004155948178</v>
      </c>
      <c r="P419" s="94">
        <f t="shared" ca="1" si="124"/>
        <v>28.397004155948181</v>
      </c>
      <c r="Q419" s="94">
        <f t="shared" ca="1" si="125"/>
        <v>28.397004155948181</v>
      </c>
      <c r="R419" s="94">
        <f t="shared" ca="1" si="126"/>
        <v>2.8397004155948182</v>
      </c>
      <c r="S419" s="94">
        <f t="shared" ca="1" si="127"/>
        <v>2.8397004155948178</v>
      </c>
      <c r="T419" s="4">
        <f t="shared" ca="1" si="128"/>
        <v>0</v>
      </c>
      <c r="U419" s="46">
        <f t="shared" ca="1" si="129"/>
        <v>1363.1639413314356</v>
      </c>
      <c r="V419" s="4">
        <f t="shared" ca="1" si="130"/>
        <v>0</v>
      </c>
      <c r="W419" s="13">
        <f t="shared" ca="1" si="131"/>
        <v>5634.6106055198334</v>
      </c>
      <c r="X419" s="4">
        <f t="shared" ca="1" si="132"/>
        <v>0</v>
      </c>
      <c r="AE419" s="4"/>
    </row>
    <row r="420" spans="1:31">
      <c r="A420">
        <v>3</v>
      </c>
      <c r="B420">
        <v>0</v>
      </c>
      <c r="C420">
        <f t="shared" si="114"/>
        <v>5</v>
      </c>
      <c r="D420">
        <f t="shared" si="115"/>
        <v>3</v>
      </c>
      <c r="E420">
        <f t="shared" si="116"/>
        <v>3</v>
      </c>
      <c r="F420" s="100">
        <f t="shared" ca="1" si="117"/>
        <v>0</v>
      </c>
      <c r="G420">
        <v>0</v>
      </c>
      <c r="H420">
        <v>1</v>
      </c>
      <c r="I420">
        <v>5</v>
      </c>
      <c r="J420" s="1">
        <f t="shared" ca="1" si="118"/>
        <v>0</v>
      </c>
      <c r="K420" s="1">
        <f t="shared" ca="1" si="119"/>
        <v>0</v>
      </c>
      <c r="L420" s="13">
        <f t="shared" ca="1" si="120"/>
        <v>127</v>
      </c>
      <c r="M420" s="7">
        <f t="shared" ca="1" si="121"/>
        <v>873</v>
      </c>
      <c r="N420" s="44">
        <f t="shared" ca="1" si="122"/>
        <v>11</v>
      </c>
      <c r="O420" s="94">
        <f t="shared" ca="1" si="123"/>
        <v>2.8397004155948178</v>
      </c>
      <c r="P420" s="94">
        <f t="shared" ca="1" si="124"/>
        <v>28.397004155948181</v>
      </c>
      <c r="Q420" s="94">
        <f t="shared" ca="1" si="125"/>
        <v>28.397004155948181</v>
      </c>
      <c r="R420" s="94">
        <f t="shared" ca="1" si="126"/>
        <v>2.8397004155948182</v>
      </c>
      <c r="S420" s="94">
        <f t="shared" ca="1" si="127"/>
        <v>2.8397004155948178</v>
      </c>
      <c r="T420" s="4">
        <f t="shared" ca="1" si="128"/>
        <v>0</v>
      </c>
      <c r="U420" s="46">
        <f t="shared" ca="1" si="129"/>
        <v>1350.1639413314356</v>
      </c>
      <c r="V420" s="4">
        <f t="shared" ca="1" si="130"/>
        <v>0</v>
      </c>
      <c r="W420" s="13">
        <f t="shared" ca="1" si="131"/>
        <v>4799.7941114728637</v>
      </c>
      <c r="X420" s="4">
        <f t="shared" ca="1" si="132"/>
        <v>0</v>
      </c>
      <c r="AE420" s="4"/>
    </row>
    <row r="421" spans="1:31">
      <c r="A421">
        <v>3</v>
      </c>
      <c r="B421">
        <v>0</v>
      </c>
      <c r="C421">
        <f t="shared" si="114"/>
        <v>5</v>
      </c>
      <c r="D421">
        <f t="shared" si="115"/>
        <v>3</v>
      </c>
      <c r="E421">
        <f t="shared" si="116"/>
        <v>3</v>
      </c>
      <c r="F421" s="100">
        <f t="shared" ca="1" si="117"/>
        <v>0</v>
      </c>
      <c r="G421">
        <v>0</v>
      </c>
      <c r="H421">
        <v>1</v>
      </c>
      <c r="I421">
        <v>4</v>
      </c>
      <c r="J421" s="1">
        <f t="shared" ca="1" si="118"/>
        <v>0</v>
      </c>
      <c r="K421" s="1">
        <f t="shared" ca="1" si="119"/>
        <v>0</v>
      </c>
      <c r="L421" s="13">
        <f t="shared" ca="1" si="120"/>
        <v>114</v>
      </c>
      <c r="M421" s="7">
        <f t="shared" ca="1" si="121"/>
        <v>886</v>
      </c>
      <c r="N421" s="44">
        <f t="shared" ca="1" si="122"/>
        <v>12</v>
      </c>
      <c r="O421" s="94">
        <f t="shared" ca="1" si="123"/>
        <v>3.0624018806381534</v>
      </c>
      <c r="P421" s="94">
        <f t="shared" ca="1" si="124"/>
        <v>29.510511481164862</v>
      </c>
      <c r="Q421" s="94">
        <f t="shared" ca="1" si="125"/>
        <v>28.397004155948181</v>
      </c>
      <c r="R421" s="94">
        <f t="shared" ca="1" si="126"/>
        <v>2.8953757818556523</v>
      </c>
      <c r="S421" s="94">
        <f t="shared" ca="1" si="127"/>
        <v>3.0624018806381534</v>
      </c>
      <c r="T421" s="4">
        <f t="shared" ca="1" si="128"/>
        <v>0</v>
      </c>
      <c r="U421" s="46">
        <f t="shared" ca="1" si="129"/>
        <v>1418.7282638229713</v>
      </c>
      <c r="V421" s="4">
        <f t="shared" ca="1" si="130"/>
        <v>0</v>
      </c>
      <c r="W421" s="13">
        <f t="shared" ca="1" si="131"/>
        <v>3964.9776174258936</v>
      </c>
      <c r="X421" s="4">
        <f t="shared" ca="1" si="132"/>
        <v>0</v>
      </c>
      <c r="AE421" s="4"/>
    </row>
    <row r="422" spans="1:31">
      <c r="A422">
        <v>3</v>
      </c>
      <c r="B422">
        <v>0</v>
      </c>
      <c r="C422">
        <f t="shared" si="114"/>
        <v>5</v>
      </c>
      <c r="D422">
        <f t="shared" si="115"/>
        <v>3</v>
      </c>
      <c r="E422">
        <f t="shared" si="116"/>
        <v>3</v>
      </c>
      <c r="F422" s="100">
        <f t="shared" ca="1" si="117"/>
        <v>0</v>
      </c>
      <c r="G422">
        <v>0</v>
      </c>
      <c r="H422">
        <v>1</v>
      </c>
      <c r="I422">
        <v>3</v>
      </c>
      <c r="J422" s="1">
        <f t="shared" ca="1" si="118"/>
        <v>4.8029800499999997E-2</v>
      </c>
      <c r="K422" s="1">
        <f t="shared" ca="1" si="119"/>
        <v>0</v>
      </c>
      <c r="L422" s="13">
        <f t="shared" ca="1" si="120"/>
        <v>101</v>
      </c>
      <c r="M422" s="7">
        <f t="shared" ca="1" si="121"/>
        <v>899</v>
      </c>
      <c r="N422" s="44">
        <f t="shared" ca="1" si="122"/>
        <v>12</v>
      </c>
      <c r="O422" s="94">
        <f t="shared" ca="1" si="123"/>
        <v>3.0624018806381534</v>
      </c>
      <c r="P422" s="94">
        <f t="shared" ca="1" si="124"/>
        <v>30.624018806381528</v>
      </c>
      <c r="Q422" s="94">
        <f t="shared" ca="1" si="125"/>
        <v>30.178615876294863</v>
      </c>
      <c r="R422" s="94">
        <f t="shared" ca="1" si="126"/>
        <v>3.0401317341338197</v>
      </c>
      <c r="S422" s="94">
        <f t="shared" ca="1" si="127"/>
        <v>3.0624018806381534</v>
      </c>
      <c r="T422" s="4">
        <f t="shared" ca="1" si="128"/>
        <v>0</v>
      </c>
      <c r="U422" s="46">
        <f t="shared" ca="1" si="129"/>
        <v>1405.7282638229713</v>
      </c>
      <c r="V422" s="4">
        <f t="shared" ca="1" si="130"/>
        <v>0</v>
      </c>
      <c r="W422" s="13">
        <f t="shared" ca="1" si="131"/>
        <v>3130.1611233789231</v>
      </c>
      <c r="X422" s="4">
        <f t="shared" ca="1" si="132"/>
        <v>0</v>
      </c>
      <c r="AE422" s="4"/>
    </row>
    <row r="423" spans="1:31">
      <c r="A423">
        <v>3</v>
      </c>
      <c r="B423">
        <v>0</v>
      </c>
      <c r="C423">
        <f t="shared" si="114"/>
        <v>5</v>
      </c>
      <c r="D423">
        <f t="shared" si="115"/>
        <v>3</v>
      </c>
      <c r="E423">
        <f t="shared" si="116"/>
        <v>3</v>
      </c>
      <c r="F423" s="100">
        <f t="shared" ca="1" si="117"/>
        <v>0</v>
      </c>
      <c r="G423">
        <v>0</v>
      </c>
      <c r="H423">
        <v>1</v>
      </c>
      <c r="I423">
        <v>2</v>
      </c>
      <c r="J423" s="1">
        <f t="shared" ca="1" si="118"/>
        <v>1.4554485000000013E-3</v>
      </c>
      <c r="K423" s="1">
        <f t="shared" ca="1" si="119"/>
        <v>0</v>
      </c>
      <c r="L423" s="13">
        <f t="shared" ca="1" si="120"/>
        <v>88</v>
      </c>
      <c r="M423" s="7">
        <f t="shared" ca="1" si="121"/>
        <v>912</v>
      </c>
      <c r="N423" s="44">
        <f t="shared" ca="1" si="122"/>
        <v>12</v>
      </c>
      <c r="O423" s="94">
        <f t="shared" ca="1" si="123"/>
        <v>3.0624018806381534</v>
      </c>
      <c r="P423" s="94">
        <f t="shared" ca="1" si="124"/>
        <v>30.624018806381528</v>
      </c>
      <c r="Q423" s="94">
        <f t="shared" ca="1" si="125"/>
        <v>30.624018806381528</v>
      </c>
      <c r="R423" s="94">
        <f t="shared" ca="1" si="126"/>
        <v>3.062401880638153</v>
      </c>
      <c r="S423" s="94">
        <f t="shared" ca="1" si="127"/>
        <v>3.0624018806381534</v>
      </c>
      <c r="T423" s="4">
        <f t="shared" ca="1" si="128"/>
        <v>0</v>
      </c>
      <c r="U423" s="46">
        <f t="shared" ca="1" si="129"/>
        <v>1392.7282638229713</v>
      </c>
      <c r="V423" s="4">
        <f t="shared" ca="1" si="130"/>
        <v>0</v>
      </c>
      <c r="W423" s="13">
        <f t="shared" ca="1" si="131"/>
        <v>2295.344629331953</v>
      </c>
      <c r="X423" s="4">
        <f t="shared" ca="1" si="132"/>
        <v>0</v>
      </c>
      <c r="AE423" s="4"/>
    </row>
    <row r="424" spans="1:31">
      <c r="A424">
        <v>3</v>
      </c>
      <c r="B424">
        <v>0</v>
      </c>
      <c r="C424">
        <f t="shared" si="114"/>
        <v>5</v>
      </c>
      <c r="D424">
        <f t="shared" si="115"/>
        <v>3</v>
      </c>
      <c r="E424">
        <f t="shared" si="116"/>
        <v>3</v>
      </c>
      <c r="F424" s="100">
        <f t="shared" ca="1" si="117"/>
        <v>0</v>
      </c>
      <c r="G424">
        <v>0</v>
      </c>
      <c r="H424">
        <v>1</v>
      </c>
      <c r="I424">
        <v>1</v>
      </c>
      <c r="J424" s="1">
        <f t="shared" ca="1" si="118"/>
        <v>1.4701500000000029E-5</v>
      </c>
      <c r="K424" s="1">
        <f t="shared" ca="1" si="119"/>
        <v>0</v>
      </c>
      <c r="L424" s="13">
        <f t="shared" ca="1" si="120"/>
        <v>75</v>
      </c>
      <c r="M424" s="7">
        <f t="shared" ca="1" si="121"/>
        <v>925</v>
      </c>
      <c r="N424" s="44">
        <f t="shared" ca="1" si="122"/>
        <v>12</v>
      </c>
      <c r="O424" s="94">
        <f t="shared" ca="1" si="123"/>
        <v>3.0624018806381534</v>
      </c>
      <c r="P424" s="94">
        <f t="shared" ca="1" si="124"/>
        <v>30.624018806381528</v>
      </c>
      <c r="Q424" s="94">
        <f t="shared" ca="1" si="125"/>
        <v>30.624018806381528</v>
      </c>
      <c r="R424" s="94">
        <f t="shared" ca="1" si="126"/>
        <v>3.062401880638153</v>
      </c>
      <c r="S424" s="94">
        <f t="shared" ca="1" si="127"/>
        <v>3.0624018806381534</v>
      </c>
      <c r="T424" s="4">
        <f t="shared" ca="1" si="128"/>
        <v>0</v>
      </c>
      <c r="U424" s="46">
        <f t="shared" ca="1" si="129"/>
        <v>1379.7282638229713</v>
      </c>
      <c r="V424" s="4">
        <f t="shared" ca="1" si="130"/>
        <v>0</v>
      </c>
      <c r="W424" s="13">
        <f t="shared" ca="1" si="131"/>
        <v>1460.5281352849825</v>
      </c>
      <c r="X424" s="4">
        <f t="shared" ca="1" si="132"/>
        <v>0</v>
      </c>
      <c r="AE424" s="4"/>
    </row>
    <row r="425" spans="1:31">
      <c r="A425">
        <v>3</v>
      </c>
      <c r="B425">
        <v>0</v>
      </c>
      <c r="C425">
        <f t="shared" si="114"/>
        <v>5</v>
      </c>
      <c r="D425">
        <f t="shared" si="115"/>
        <v>3</v>
      </c>
      <c r="E425">
        <f t="shared" si="116"/>
        <v>3</v>
      </c>
      <c r="F425" s="100">
        <f t="shared" ca="1" si="117"/>
        <v>0</v>
      </c>
      <c r="G425">
        <v>0</v>
      </c>
      <c r="H425">
        <v>1</v>
      </c>
      <c r="I425">
        <v>0</v>
      </c>
      <c r="J425" s="1">
        <f t="shared" ca="1" si="118"/>
        <v>4.9500000000000139E-8</v>
      </c>
      <c r="K425" s="1">
        <f t="shared" ca="1" si="119"/>
        <v>0</v>
      </c>
      <c r="L425" s="13">
        <f t="shared" ca="1" si="120"/>
        <v>62</v>
      </c>
      <c r="M425" s="7">
        <f t="shared" ca="1" si="121"/>
        <v>938</v>
      </c>
      <c r="N425" s="44">
        <f t="shared" ca="1" si="122"/>
        <v>12</v>
      </c>
      <c r="O425" s="94">
        <f t="shared" ca="1" si="123"/>
        <v>3.0624018806381534</v>
      </c>
      <c r="P425" s="94">
        <f t="shared" ca="1" si="124"/>
        <v>30.624018806381528</v>
      </c>
      <c r="Q425" s="94">
        <f t="shared" ca="1" si="125"/>
        <v>30.624018806381528</v>
      </c>
      <c r="R425" s="94">
        <f t="shared" ca="1" si="126"/>
        <v>3.062401880638153</v>
      </c>
      <c r="S425" s="94">
        <f t="shared" ca="1" si="127"/>
        <v>3.0624018806381534</v>
      </c>
      <c r="T425" s="4">
        <f t="shared" ca="1" si="128"/>
        <v>0</v>
      </c>
      <c r="U425" s="46">
        <f t="shared" ca="1" si="129"/>
        <v>1366.7282638229713</v>
      </c>
      <c r="V425" s="4">
        <f t="shared" ca="1" si="130"/>
        <v>0</v>
      </c>
      <c r="W425" s="13">
        <f t="shared" ca="1" si="131"/>
        <v>625.71164123801225</v>
      </c>
      <c r="X425" s="4">
        <f t="shared" ca="1" si="132"/>
        <v>0</v>
      </c>
      <c r="AE425" s="4"/>
    </row>
    <row r="426" spans="1:31">
      <c r="A426">
        <v>3</v>
      </c>
      <c r="B426">
        <v>0</v>
      </c>
      <c r="C426">
        <f t="shared" si="114"/>
        <v>5</v>
      </c>
      <c r="D426">
        <f t="shared" si="115"/>
        <v>3</v>
      </c>
      <c r="E426">
        <f t="shared" si="116"/>
        <v>3</v>
      </c>
      <c r="F426" s="100">
        <f t="shared" ca="1" si="117"/>
        <v>0</v>
      </c>
      <c r="G426">
        <v>0</v>
      </c>
      <c r="H426">
        <v>0</v>
      </c>
      <c r="I426">
        <v>7</v>
      </c>
      <c r="J426" s="1">
        <f t="shared" ca="1" si="118"/>
        <v>0</v>
      </c>
      <c r="K426" s="1">
        <f t="shared" ca="1" si="119"/>
        <v>0</v>
      </c>
      <c r="L426" s="13">
        <f t="shared" ca="1" si="120"/>
        <v>91</v>
      </c>
      <c r="M426" s="7">
        <f t="shared" ca="1" si="121"/>
        <v>909</v>
      </c>
      <c r="N426" s="44">
        <f t="shared" ca="1" si="122"/>
        <v>12</v>
      </c>
      <c r="O426" s="94">
        <f t="shared" ca="1" si="123"/>
        <v>3.0624018806381534</v>
      </c>
      <c r="P426" s="94">
        <f t="shared" ca="1" si="124"/>
        <v>30.624018806381528</v>
      </c>
      <c r="Q426" s="94">
        <f t="shared" ca="1" si="125"/>
        <v>30.624018806381528</v>
      </c>
      <c r="R426" s="94">
        <f t="shared" ca="1" si="126"/>
        <v>3.062401880638153</v>
      </c>
      <c r="S426" s="94">
        <f t="shared" ca="1" si="127"/>
        <v>3.0624018806381534</v>
      </c>
      <c r="T426" s="4">
        <f t="shared" ca="1" si="128"/>
        <v>0</v>
      </c>
      <c r="U426" s="46">
        <f t="shared" ca="1" si="129"/>
        <v>1395.7282638229713</v>
      </c>
      <c r="V426" s="4">
        <f t="shared" ca="1" si="130"/>
        <v>0</v>
      </c>
      <c r="W426" s="13">
        <f t="shared" ca="1" si="131"/>
        <v>5843.715458328792</v>
      </c>
      <c r="X426" s="4">
        <f t="shared" ca="1" si="132"/>
        <v>0</v>
      </c>
      <c r="AE426" s="4"/>
    </row>
    <row r="427" spans="1:31">
      <c r="A427">
        <v>3</v>
      </c>
      <c r="B427">
        <v>0</v>
      </c>
      <c r="C427">
        <f t="shared" si="114"/>
        <v>5</v>
      </c>
      <c r="D427">
        <f t="shared" si="115"/>
        <v>3</v>
      </c>
      <c r="E427">
        <f t="shared" si="116"/>
        <v>3</v>
      </c>
      <c r="F427" s="100">
        <f t="shared" ca="1" si="117"/>
        <v>0</v>
      </c>
      <c r="G427">
        <v>0</v>
      </c>
      <c r="H427">
        <v>0</v>
      </c>
      <c r="I427">
        <v>6</v>
      </c>
      <c r="J427" s="1">
        <f t="shared" ca="1" si="118"/>
        <v>0</v>
      </c>
      <c r="K427" s="1">
        <f t="shared" ca="1" si="119"/>
        <v>0</v>
      </c>
      <c r="L427" s="13">
        <f t="shared" ca="1" si="120"/>
        <v>78</v>
      </c>
      <c r="M427" s="7">
        <f t="shared" ca="1" si="121"/>
        <v>922</v>
      </c>
      <c r="N427" s="44">
        <f t="shared" ca="1" si="122"/>
        <v>12</v>
      </c>
      <c r="O427" s="94">
        <f t="shared" ca="1" si="123"/>
        <v>3.0624018806381534</v>
      </c>
      <c r="P427" s="94">
        <f t="shared" ca="1" si="124"/>
        <v>30.624018806381528</v>
      </c>
      <c r="Q427" s="94">
        <f t="shared" ca="1" si="125"/>
        <v>30.624018806381528</v>
      </c>
      <c r="R427" s="94">
        <f t="shared" ca="1" si="126"/>
        <v>3.062401880638153</v>
      </c>
      <c r="S427" s="94">
        <f t="shared" ca="1" si="127"/>
        <v>3.0624018806381534</v>
      </c>
      <c r="T427" s="4">
        <f t="shared" ca="1" si="128"/>
        <v>0</v>
      </c>
      <c r="U427" s="46">
        <f t="shared" ca="1" si="129"/>
        <v>1382.7282638229713</v>
      </c>
      <c r="V427" s="4">
        <f t="shared" ca="1" si="130"/>
        <v>0</v>
      </c>
      <c r="W427" s="13">
        <f t="shared" ca="1" si="131"/>
        <v>5008.8989642818215</v>
      </c>
      <c r="X427" s="4">
        <f t="shared" ca="1" si="132"/>
        <v>0</v>
      </c>
      <c r="AE427" s="4"/>
    </row>
    <row r="428" spans="1:31">
      <c r="A428">
        <v>3</v>
      </c>
      <c r="B428">
        <v>0</v>
      </c>
      <c r="C428">
        <f t="shared" si="114"/>
        <v>5</v>
      </c>
      <c r="D428">
        <f t="shared" si="115"/>
        <v>3</v>
      </c>
      <c r="E428">
        <f t="shared" si="116"/>
        <v>3</v>
      </c>
      <c r="F428" s="100">
        <f t="shared" ca="1" si="117"/>
        <v>0</v>
      </c>
      <c r="G428">
        <v>0</v>
      </c>
      <c r="H428">
        <v>0</v>
      </c>
      <c r="I428">
        <v>5</v>
      </c>
      <c r="J428" s="1">
        <f t="shared" ca="1" si="118"/>
        <v>0</v>
      </c>
      <c r="K428" s="1">
        <f t="shared" ca="1" si="119"/>
        <v>0</v>
      </c>
      <c r="L428" s="13">
        <f t="shared" ca="1" si="120"/>
        <v>65</v>
      </c>
      <c r="M428" s="7">
        <f t="shared" ca="1" si="121"/>
        <v>935</v>
      </c>
      <c r="N428" s="44">
        <f t="shared" ca="1" si="122"/>
        <v>12</v>
      </c>
      <c r="O428" s="94">
        <f t="shared" ca="1" si="123"/>
        <v>3.0624018806381534</v>
      </c>
      <c r="P428" s="94">
        <f t="shared" ca="1" si="124"/>
        <v>30.624018806381528</v>
      </c>
      <c r="Q428" s="94">
        <f t="shared" ca="1" si="125"/>
        <v>30.624018806381528</v>
      </c>
      <c r="R428" s="94">
        <f t="shared" ca="1" si="126"/>
        <v>3.062401880638153</v>
      </c>
      <c r="S428" s="94">
        <f t="shared" ca="1" si="127"/>
        <v>3.0624018806381534</v>
      </c>
      <c r="T428" s="4">
        <f t="shared" ca="1" si="128"/>
        <v>0</v>
      </c>
      <c r="U428" s="46">
        <f t="shared" ca="1" si="129"/>
        <v>1369.7282638229713</v>
      </c>
      <c r="V428" s="4">
        <f t="shared" ca="1" si="130"/>
        <v>0</v>
      </c>
      <c r="W428" s="13">
        <f t="shared" ca="1" si="131"/>
        <v>4174.0824702348518</v>
      </c>
      <c r="X428" s="4">
        <f t="shared" ca="1" si="132"/>
        <v>0</v>
      </c>
      <c r="AE428" s="4"/>
    </row>
    <row r="429" spans="1:31">
      <c r="A429">
        <v>3</v>
      </c>
      <c r="B429">
        <v>0</v>
      </c>
      <c r="C429">
        <f t="shared" si="114"/>
        <v>5</v>
      </c>
      <c r="D429">
        <f t="shared" si="115"/>
        <v>3</v>
      </c>
      <c r="E429">
        <f t="shared" si="116"/>
        <v>3</v>
      </c>
      <c r="F429" s="100">
        <f t="shared" ca="1" si="117"/>
        <v>0</v>
      </c>
      <c r="G429">
        <v>0</v>
      </c>
      <c r="H429">
        <v>0</v>
      </c>
      <c r="I429">
        <v>4</v>
      </c>
      <c r="J429" s="1">
        <f t="shared" ca="1" si="118"/>
        <v>0</v>
      </c>
      <c r="K429" s="1">
        <f t="shared" ca="1" si="119"/>
        <v>0</v>
      </c>
      <c r="L429" s="13">
        <f t="shared" ca="1" si="120"/>
        <v>52</v>
      </c>
      <c r="M429" s="7">
        <f t="shared" ca="1" si="121"/>
        <v>948</v>
      </c>
      <c r="N429" s="44">
        <f t="shared" ca="1" si="122"/>
        <v>12</v>
      </c>
      <c r="O429" s="94">
        <f t="shared" ca="1" si="123"/>
        <v>3.0624018806381534</v>
      </c>
      <c r="P429" s="94">
        <f t="shared" ca="1" si="124"/>
        <v>30.624018806381528</v>
      </c>
      <c r="Q429" s="94">
        <f t="shared" ca="1" si="125"/>
        <v>30.624018806381528</v>
      </c>
      <c r="R429" s="94">
        <f t="shared" ca="1" si="126"/>
        <v>3.062401880638153</v>
      </c>
      <c r="S429" s="94">
        <f t="shared" ca="1" si="127"/>
        <v>3.0624018806381534</v>
      </c>
      <c r="T429" s="4">
        <f t="shared" ca="1" si="128"/>
        <v>0</v>
      </c>
      <c r="U429" s="46">
        <f t="shared" ca="1" si="129"/>
        <v>1356.7282638229713</v>
      </c>
      <c r="V429" s="4">
        <f t="shared" ca="1" si="130"/>
        <v>0</v>
      </c>
      <c r="W429" s="13">
        <f t="shared" ca="1" si="131"/>
        <v>3339.2659761878813</v>
      </c>
      <c r="X429" s="4">
        <f t="shared" ca="1" si="132"/>
        <v>0</v>
      </c>
      <c r="AE429" s="4"/>
    </row>
    <row r="430" spans="1:31">
      <c r="A430">
        <v>3</v>
      </c>
      <c r="B430">
        <v>0</v>
      </c>
      <c r="C430">
        <f t="shared" si="114"/>
        <v>5</v>
      </c>
      <c r="D430">
        <f t="shared" si="115"/>
        <v>3</v>
      </c>
      <c r="E430">
        <f t="shared" si="116"/>
        <v>3</v>
      </c>
      <c r="F430" s="100">
        <f t="shared" ca="1" si="117"/>
        <v>0</v>
      </c>
      <c r="G430">
        <v>0</v>
      </c>
      <c r="H430">
        <v>0</v>
      </c>
      <c r="I430">
        <v>3</v>
      </c>
      <c r="J430" s="1">
        <f t="shared" ca="1" si="118"/>
        <v>4.8514950000000037E-4</v>
      </c>
      <c r="K430" s="1">
        <f t="shared" ca="1" si="119"/>
        <v>0</v>
      </c>
      <c r="L430" s="13">
        <f t="shared" ca="1" si="120"/>
        <v>39</v>
      </c>
      <c r="M430" s="7">
        <f t="shared" ca="1" si="121"/>
        <v>961</v>
      </c>
      <c r="N430" s="44">
        <f t="shared" ca="1" si="122"/>
        <v>13</v>
      </c>
      <c r="O430" s="94">
        <f t="shared" ca="1" si="123"/>
        <v>3.2733204919050856</v>
      </c>
      <c r="P430" s="94">
        <f t="shared" ca="1" si="124"/>
        <v>30.624018806381528</v>
      </c>
      <c r="Q430" s="94">
        <f t="shared" ca="1" si="125"/>
        <v>30.624018806381528</v>
      </c>
      <c r="R430" s="94">
        <f t="shared" ca="1" si="126"/>
        <v>3.062401880638153</v>
      </c>
      <c r="S430" s="94">
        <f t="shared" ca="1" si="127"/>
        <v>3.2733204919050856</v>
      </c>
      <c r="T430" s="4">
        <f t="shared" ca="1" si="128"/>
        <v>0</v>
      </c>
      <c r="U430" s="46">
        <f t="shared" ca="1" si="129"/>
        <v>1420.9771208320408</v>
      </c>
      <c r="V430" s="4">
        <f t="shared" ca="1" si="130"/>
        <v>0</v>
      </c>
      <c r="W430" s="13">
        <f t="shared" ca="1" si="131"/>
        <v>2504.4494821409107</v>
      </c>
      <c r="X430" s="4">
        <f t="shared" ca="1" si="132"/>
        <v>0</v>
      </c>
      <c r="AE430" s="4"/>
    </row>
    <row r="431" spans="1:31">
      <c r="A431">
        <v>3</v>
      </c>
      <c r="B431">
        <v>0</v>
      </c>
      <c r="C431">
        <f t="shared" si="114"/>
        <v>5</v>
      </c>
      <c r="D431">
        <f t="shared" si="115"/>
        <v>3</v>
      </c>
      <c r="E431">
        <f t="shared" si="116"/>
        <v>3</v>
      </c>
      <c r="F431" s="100">
        <f t="shared" ca="1" si="117"/>
        <v>0</v>
      </c>
      <c r="G431">
        <v>0</v>
      </c>
      <c r="H431">
        <v>0</v>
      </c>
      <c r="I431">
        <v>2</v>
      </c>
      <c r="J431" s="1">
        <f t="shared" ca="1" si="118"/>
        <v>1.4701500000000025E-5</v>
      </c>
      <c r="K431" s="1">
        <f t="shared" ca="1" si="119"/>
        <v>0</v>
      </c>
      <c r="L431" s="13">
        <f t="shared" ca="1" si="120"/>
        <v>26</v>
      </c>
      <c r="M431" s="7">
        <f t="shared" ca="1" si="121"/>
        <v>974</v>
      </c>
      <c r="N431" s="44">
        <f t="shared" ca="1" si="122"/>
        <v>13</v>
      </c>
      <c r="O431" s="94">
        <f t="shared" ca="1" si="123"/>
        <v>3.2733204919050856</v>
      </c>
      <c r="P431" s="94">
        <f t="shared" ca="1" si="124"/>
        <v>32.733204919050856</v>
      </c>
      <c r="Q431" s="94">
        <f t="shared" ca="1" si="125"/>
        <v>31.256774640182325</v>
      </c>
      <c r="R431" s="94">
        <f t="shared" ca="1" si="126"/>
        <v>3.1994989779616589</v>
      </c>
      <c r="S431" s="94">
        <f t="shared" ca="1" si="127"/>
        <v>3.2733204919050856</v>
      </c>
      <c r="T431" s="4">
        <f t="shared" ca="1" si="128"/>
        <v>0</v>
      </c>
      <c r="U431" s="46">
        <f t="shared" ca="1" si="129"/>
        <v>1407.9771208320408</v>
      </c>
      <c r="V431" s="4">
        <f t="shared" ca="1" si="130"/>
        <v>0</v>
      </c>
      <c r="W431" s="13">
        <f t="shared" ca="1" si="131"/>
        <v>1669.6329880939406</v>
      </c>
      <c r="X431" s="4">
        <f t="shared" ca="1" si="132"/>
        <v>0</v>
      </c>
      <c r="AE431" s="4"/>
    </row>
    <row r="432" spans="1:31">
      <c r="A432">
        <v>3</v>
      </c>
      <c r="B432">
        <v>0</v>
      </c>
      <c r="C432">
        <f t="shared" si="114"/>
        <v>5</v>
      </c>
      <c r="D432">
        <f t="shared" si="115"/>
        <v>3</v>
      </c>
      <c r="E432">
        <f t="shared" si="116"/>
        <v>3</v>
      </c>
      <c r="F432" s="100">
        <f t="shared" ca="1" si="117"/>
        <v>0</v>
      </c>
      <c r="G432">
        <v>0</v>
      </c>
      <c r="H432">
        <v>0</v>
      </c>
      <c r="I432">
        <v>1</v>
      </c>
      <c r="J432" s="1">
        <f t="shared" ca="1" si="118"/>
        <v>1.4850000000000041E-7</v>
      </c>
      <c r="K432" s="1">
        <f t="shared" ca="1" si="119"/>
        <v>0</v>
      </c>
      <c r="L432" s="13">
        <f t="shared" ca="1" si="120"/>
        <v>13</v>
      </c>
      <c r="M432" s="7">
        <f t="shared" ca="1" si="121"/>
        <v>987</v>
      </c>
      <c r="N432" s="44">
        <f t="shared" ca="1" si="122"/>
        <v>13</v>
      </c>
      <c r="O432" s="94">
        <f t="shared" ca="1" si="123"/>
        <v>3.2733204919050856</v>
      </c>
      <c r="P432" s="94">
        <f t="shared" ca="1" si="124"/>
        <v>32.733204919050856</v>
      </c>
      <c r="Q432" s="94">
        <f t="shared" ca="1" si="125"/>
        <v>32.733204919050856</v>
      </c>
      <c r="R432" s="94">
        <f t="shared" ca="1" si="126"/>
        <v>3.2733204919050856</v>
      </c>
      <c r="S432" s="94">
        <f t="shared" ca="1" si="127"/>
        <v>3.2733204919050856</v>
      </c>
      <c r="T432" s="4">
        <f t="shared" ca="1" si="128"/>
        <v>0</v>
      </c>
      <c r="U432" s="46">
        <f t="shared" ca="1" si="129"/>
        <v>1394.9771208320408</v>
      </c>
      <c r="V432" s="4">
        <f t="shared" ca="1" si="130"/>
        <v>0</v>
      </c>
      <c r="W432" s="13">
        <f t="shared" ca="1" si="131"/>
        <v>834.81649404697032</v>
      </c>
      <c r="X432" s="4">
        <f t="shared" ca="1" si="132"/>
        <v>0</v>
      </c>
      <c r="AE432" s="4"/>
    </row>
    <row r="433" spans="1:31">
      <c r="A433">
        <v>3</v>
      </c>
      <c r="B433">
        <v>0</v>
      </c>
      <c r="C433">
        <f t="shared" si="114"/>
        <v>5</v>
      </c>
      <c r="D433">
        <f t="shared" si="115"/>
        <v>3</v>
      </c>
      <c r="E433">
        <f t="shared" si="116"/>
        <v>3</v>
      </c>
      <c r="F433" s="100">
        <f t="shared" ca="1" si="117"/>
        <v>0</v>
      </c>
      <c r="G433">
        <v>0</v>
      </c>
      <c r="H433">
        <v>0</v>
      </c>
      <c r="I433">
        <v>0</v>
      </c>
      <c r="J433" s="1">
        <f t="shared" ca="1" si="118"/>
        <v>5.0000000000000179E-10</v>
      </c>
      <c r="K433" s="1">
        <f t="shared" ca="1" si="119"/>
        <v>0</v>
      </c>
      <c r="L433" s="13">
        <f t="shared" ca="1" si="120"/>
        <v>0</v>
      </c>
      <c r="M433" s="7">
        <f t="shared" ca="1" si="121"/>
        <v>1000</v>
      </c>
      <c r="N433" s="44">
        <f t="shared" ca="1" si="122"/>
        <v>13</v>
      </c>
      <c r="O433" s="94">
        <f t="shared" ca="1" si="123"/>
        <v>3.2733204919050856</v>
      </c>
      <c r="P433" s="94">
        <f t="shared" ca="1" si="124"/>
        <v>32.733204919050856</v>
      </c>
      <c r="Q433" s="94">
        <f t="shared" ca="1" si="125"/>
        <v>32.733204919050856</v>
      </c>
      <c r="R433" s="94">
        <f t="shared" ca="1" si="126"/>
        <v>3.2733204919050856</v>
      </c>
      <c r="S433" s="94">
        <f t="shared" ca="1" si="127"/>
        <v>3.2733204919050856</v>
      </c>
      <c r="T433" s="4">
        <f t="shared" ca="1" si="128"/>
        <v>0</v>
      </c>
      <c r="U433" s="46">
        <f t="shared" ca="1" si="129"/>
        <v>1381.9771208320408</v>
      </c>
      <c r="V433" s="4">
        <f t="shared" ca="1" si="130"/>
        <v>0</v>
      </c>
      <c r="W433" s="13">
        <f t="shared" ca="1" si="131"/>
        <v>0</v>
      </c>
      <c r="X433" s="4">
        <f t="shared" ca="1" si="132"/>
        <v>0</v>
      </c>
      <c r="AE433" s="4"/>
    </row>
    <row r="434" spans="1:31">
      <c r="A434">
        <v>3</v>
      </c>
      <c r="B434">
        <v>1</v>
      </c>
      <c r="C434">
        <f t="shared" si="114"/>
        <v>6</v>
      </c>
      <c r="D434">
        <f t="shared" si="115"/>
        <v>4</v>
      </c>
      <c r="E434">
        <f t="shared" si="116"/>
        <v>3</v>
      </c>
      <c r="F434" s="100">
        <f t="shared" ca="1" si="117"/>
        <v>0</v>
      </c>
      <c r="G434">
        <v>1</v>
      </c>
      <c r="H434">
        <v>1</v>
      </c>
      <c r="I434">
        <v>7</v>
      </c>
      <c r="J434" s="1">
        <f t="shared" ca="1" si="118"/>
        <v>0</v>
      </c>
      <c r="K434" s="1">
        <f t="shared" ca="1" si="119"/>
        <v>0</v>
      </c>
      <c r="L434" s="13">
        <f t="shared" ca="1" si="120"/>
        <v>215</v>
      </c>
      <c r="M434" s="7">
        <f t="shared" ca="1" si="121"/>
        <v>785</v>
      </c>
      <c r="N434" s="44">
        <f t="shared" ca="1" si="122"/>
        <v>10</v>
      </c>
      <c r="O434" s="94">
        <f t="shared" ca="1" si="123"/>
        <v>2.5999636871582168</v>
      </c>
      <c r="P434" s="94">
        <f t="shared" ca="1" si="124"/>
        <v>25.999636871582165</v>
      </c>
      <c r="Q434" s="94">
        <f t="shared" ca="1" si="125"/>
        <v>25.999636871582165</v>
      </c>
      <c r="R434" s="94">
        <f t="shared" ca="1" si="126"/>
        <v>2.5999636871582164</v>
      </c>
      <c r="S434" s="94">
        <f t="shared" ca="1" si="127"/>
        <v>2.5999636871582168</v>
      </c>
      <c r="T434" s="4">
        <f t="shared" ca="1" si="128"/>
        <v>0</v>
      </c>
      <c r="U434" s="46">
        <f t="shared" ca="1" si="129"/>
        <v>1350.360460436222</v>
      </c>
      <c r="V434" s="4">
        <f t="shared" ca="1" si="130"/>
        <v>0</v>
      </c>
      <c r="W434" s="13">
        <f t="shared" ca="1" si="131"/>
        <v>12313.142557895597</v>
      </c>
      <c r="X434" s="4">
        <f t="shared" ca="1" si="132"/>
        <v>0</v>
      </c>
      <c r="AE434" s="4"/>
    </row>
    <row r="435" spans="1:31">
      <c r="A435">
        <v>3</v>
      </c>
      <c r="B435">
        <v>1</v>
      </c>
      <c r="C435">
        <f t="shared" si="114"/>
        <v>6</v>
      </c>
      <c r="D435">
        <f t="shared" si="115"/>
        <v>4</v>
      </c>
      <c r="E435">
        <f t="shared" si="116"/>
        <v>3</v>
      </c>
      <c r="F435" s="100">
        <f t="shared" ca="1" si="117"/>
        <v>0</v>
      </c>
      <c r="G435">
        <v>1</v>
      </c>
      <c r="H435">
        <v>1</v>
      </c>
      <c r="I435">
        <v>6</v>
      </c>
      <c r="J435" s="1">
        <f t="shared" ca="1" si="118"/>
        <v>0</v>
      </c>
      <c r="K435" s="1">
        <f t="shared" ca="1" si="119"/>
        <v>0</v>
      </c>
      <c r="L435" s="13">
        <f t="shared" ca="1" si="120"/>
        <v>202</v>
      </c>
      <c r="M435" s="7">
        <f t="shared" ca="1" si="121"/>
        <v>798</v>
      </c>
      <c r="N435" s="44">
        <f t="shared" ca="1" si="122"/>
        <v>10</v>
      </c>
      <c r="O435" s="94">
        <f t="shared" ca="1" si="123"/>
        <v>2.5999636871582168</v>
      </c>
      <c r="P435" s="94">
        <f t="shared" ca="1" si="124"/>
        <v>25.999636871582165</v>
      </c>
      <c r="Q435" s="94">
        <f t="shared" ca="1" si="125"/>
        <v>25.999636871582165</v>
      </c>
      <c r="R435" s="94">
        <f t="shared" ca="1" si="126"/>
        <v>2.5999636871582164</v>
      </c>
      <c r="S435" s="94">
        <f t="shared" ca="1" si="127"/>
        <v>2.5999636871582168</v>
      </c>
      <c r="T435" s="4">
        <f t="shared" ca="1" si="128"/>
        <v>0</v>
      </c>
      <c r="U435" s="46">
        <f t="shared" ca="1" si="129"/>
        <v>1337.360460436222</v>
      </c>
      <c r="V435" s="4">
        <f t="shared" ca="1" si="130"/>
        <v>0</v>
      </c>
      <c r="W435" s="13">
        <f t="shared" ca="1" si="131"/>
        <v>11478.326063848626</v>
      </c>
      <c r="X435" s="4">
        <f t="shared" ca="1" si="132"/>
        <v>0</v>
      </c>
      <c r="AE435" s="4"/>
    </row>
    <row r="436" spans="1:31">
      <c r="A436">
        <v>3</v>
      </c>
      <c r="B436">
        <v>1</v>
      </c>
      <c r="C436">
        <f t="shared" si="114"/>
        <v>6</v>
      </c>
      <c r="D436">
        <f t="shared" si="115"/>
        <v>4</v>
      </c>
      <c r="E436">
        <f t="shared" si="116"/>
        <v>3</v>
      </c>
      <c r="F436" s="100">
        <f t="shared" ca="1" si="117"/>
        <v>0</v>
      </c>
      <c r="G436">
        <v>1</v>
      </c>
      <c r="H436">
        <v>1</v>
      </c>
      <c r="I436">
        <v>5</v>
      </c>
      <c r="J436" s="1">
        <f t="shared" ca="1" si="118"/>
        <v>0</v>
      </c>
      <c r="K436" s="1">
        <f t="shared" ca="1" si="119"/>
        <v>0</v>
      </c>
      <c r="L436" s="13">
        <f t="shared" ca="1" si="120"/>
        <v>189</v>
      </c>
      <c r="M436" s="7">
        <f t="shared" ca="1" si="121"/>
        <v>811</v>
      </c>
      <c r="N436" s="44">
        <f t="shared" ca="1" si="122"/>
        <v>11</v>
      </c>
      <c r="O436" s="94">
        <f t="shared" ca="1" si="123"/>
        <v>2.8397004155948178</v>
      </c>
      <c r="P436" s="94">
        <f t="shared" ca="1" si="124"/>
        <v>28.397004155948181</v>
      </c>
      <c r="Q436" s="94">
        <f t="shared" ca="1" si="125"/>
        <v>25.999636871582165</v>
      </c>
      <c r="R436" s="94">
        <f t="shared" ca="1" si="126"/>
        <v>2.7198320513765175</v>
      </c>
      <c r="S436" s="94">
        <f t="shared" ca="1" si="127"/>
        <v>2.8397004155948178</v>
      </c>
      <c r="T436" s="4">
        <f t="shared" ca="1" si="128"/>
        <v>0</v>
      </c>
      <c r="U436" s="46">
        <f t="shared" ca="1" si="129"/>
        <v>1412.1639413314356</v>
      </c>
      <c r="V436" s="4">
        <f t="shared" ca="1" si="130"/>
        <v>0</v>
      </c>
      <c r="W436" s="13">
        <f t="shared" ca="1" si="131"/>
        <v>10643.509569801656</v>
      </c>
      <c r="X436" s="4">
        <f t="shared" ca="1" si="132"/>
        <v>0</v>
      </c>
      <c r="AE436" s="4"/>
    </row>
    <row r="437" spans="1:31">
      <c r="A437">
        <v>3</v>
      </c>
      <c r="B437">
        <v>1</v>
      </c>
      <c r="C437">
        <f t="shared" si="114"/>
        <v>6</v>
      </c>
      <c r="D437">
        <f t="shared" si="115"/>
        <v>4</v>
      </c>
      <c r="E437">
        <f t="shared" si="116"/>
        <v>3</v>
      </c>
      <c r="F437" s="100">
        <f t="shared" ca="1" si="117"/>
        <v>0</v>
      </c>
      <c r="G437">
        <v>1</v>
      </c>
      <c r="H437">
        <v>1</v>
      </c>
      <c r="I437">
        <v>4</v>
      </c>
      <c r="J437" s="1">
        <f t="shared" ca="1" si="118"/>
        <v>0.90344054740499991</v>
      </c>
      <c r="K437" s="1">
        <f t="shared" ca="1" si="119"/>
        <v>0</v>
      </c>
      <c r="L437" s="13">
        <f t="shared" ca="1" si="120"/>
        <v>176</v>
      </c>
      <c r="M437" s="7">
        <f t="shared" ca="1" si="121"/>
        <v>824</v>
      </c>
      <c r="N437" s="44">
        <f t="shared" ca="1" si="122"/>
        <v>11</v>
      </c>
      <c r="O437" s="94">
        <f t="shared" ca="1" si="123"/>
        <v>2.8397004155948178</v>
      </c>
      <c r="P437" s="94">
        <f t="shared" ca="1" si="124"/>
        <v>28.397004155948181</v>
      </c>
      <c r="Q437" s="94">
        <f t="shared" ca="1" si="125"/>
        <v>28.397004155948181</v>
      </c>
      <c r="R437" s="94">
        <f t="shared" ca="1" si="126"/>
        <v>2.8397004155948182</v>
      </c>
      <c r="S437" s="94">
        <f t="shared" ca="1" si="127"/>
        <v>2.8397004155948178</v>
      </c>
      <c r="T437" s="4">
        <f t="shared" ca="1" si="128"/>
        <v>0</v>
      </c>
      <c r="U437" s="46">
        <f t="shared" ca="1" si="129"/>
        <v>1399.1639413314356</v>
      </c>
      <c r="V437" s="4">
        <f t="shared" ca="1" si="130"/>
        <v>0</v>
      </c>
      <c r="W437" s="13">
        <f t="shared" ca="1" si="131"/>
        <v>9808.693075754687</v>
      </c>
      <c r="X437" s="4">
        <f t="shared" ca="1" si="132"/>
        <v>0</v>
      </c>
      <c r="AE437" s="4"/>
    </row>
    <row r="438" spans="1:31">
      <c r="A438">
        <v>3</v>
      </c>
      <c r="B438">
        <v>1</v>
      </c>
      <c r="C438">
        <f t="shared" si="114"/>
        <v>6</v>
      </c>
      <c r="D438">
        <f t="shared" si="115"/>
        <v>4</v>
      </c>
      <c r="E438">
        <f t="shared" si="116"/>
        <v>3</v>
      </c>
      <c r="F438" s="100">
        <f t="shared" ca="1" si="117"/>
        <v>0</v>
      </c>
      <c r="G438">
        <v>1</v>
      </c>
      <c r="H438">
        <v>1</v>
      </c>
      <c r="I438">
        <v>3</v>
      </c>
      <c r="J438" s="1">
        <f t="shared" ca="1" si="118"/>
        <v>3.650264838000003E-2</v>
      </c>
      <c r="K438" s="1">
        <f t="shared" ca="1" si="119"/>
        <v>0</v>
      </c>
      <c r="L438" s="13">
        <f t="shared" ca="1" si="120"/>
        <v>163</v>
      </c>
      <c r="M438" s="7">
        <f t="shared" ca="1" si="121"/>
        <v>837</v>
      </c>
      <c r="N438" s="44">
        <f t="shared" ca="1" si="122"/>
        <v>11</v>
      </c>
      <c r="O438" s="94">
        <f t="shared" ca="1" si="123"/>
        <v>2.8397004155948178</v>
      </c>
      <c r="P438" s="94">
        <f t="shared" ca="1" si="124"/>
        <v>28.397004155948181</v>
      </c>
      <c r="Q438" s="94">
        <f t="shared" ca="1" si="125"/>
        <v>28.397004155948181</v>
      </c>
      <c r="R438" s="94">
        <f t="shared" ca="1" si="126"/>
        <v>2.8397004155948182</v>
      </c>
      <c r="S438" s="94">
        <f t="shared" ca="1" si="127"/>
        <v>2.8397004155948178</v>
      </c>
      <c r="T438" s="4">
        <f t="shared" ca="1" si="128"/>
        <v>0</v>
      </c>
      <c r="U438" s="46">
        <f t="shared" ca="1" si="129"/>
        <v>1386.1639413314356</v>
      </c>
      <c r="V438" s="4">
        <f t="shared" ca="1" si="130"/>
        <v>0</v>
      </c>
      <c r="W438" s="13">
        <f t="shared" ca="1" si="131"/>
        <v>8973.8765817077146</v>
      </c>
      <c r="X438" s="4">
        <f t="shared" ca="1" si="132"/>
        <v>0</v>
      </c>
      <c r="AE438" s="4"/>
    </row>
    <row r="439" spans="1:31">
      <c r="A439">
        <v>3</v>
      </c>
      <c r="B439">
        <v>1</v>
      </c>
      <c r="C439">
        <f t="shared" si="114"/>
        <v>6</v>
      </c>
      <c r="D439">
        <f t="shared" si="115"/>
        <v>4</v>
      </c>
      <c r="E439">
        <f t="shared" si="116"/>
        <v>3</v>
      </c>
      <c r="F439" s="100">
        <f t="shared" ca="1" si="117"/>
        <v>0</v>
      </c>
      <c r="G439">
        <v>1</v>
      </c>
      <c r="H439">
        <v>1</v>
      </c>
      <c r="I439">
        <v>2</v>
      </c>
      <c r="J439" s="1">
        <f t="shared" ca="1" si="118"/>
        <v>5.5307043000000101E-4</v>
      </c>
      <c r="K439" s="1">
        <f t="shared" ca="1" si="119"/>
        <v>0</v>
      </c>
      <c r="L439" s="13">
        <f t="shared" ca="1" si="120"/>
        <v>150</v>
      </c>
      <c r="M439" s="7">
        <f t="shared" ca="1" si="121"/>
        <v>850</v>
      </c>
      <c r="N439" s="44">
        <f t="shared" ca="1" si="122"/>
        <v>11</v>
      </c>
      <c r="O439" s="94">
        <f t="shared" ca="1" si="123"/>
        <v>2.8397004155948178</v>
      </c>
      <c r="P439" s="94">
        <f t="shared" ca="1" si="124"/>
        <v>28.397004155948181</v>
      </c>
      <c r="Q439" s="94">
        <f t="shared" ca="1" si="125"/>
        <v>28.397004155948181</v>
      </c>
      <c r="R439" s="94">
        <f t="shared" ca="1" si="126"/>
        <v>2.8397004155948182</v>
      </c>
      <c r="S439" s="94">
        <f t="shared" ca="1" si="127"/>
        <v>2.8397004155948178</v>
      </c>
      <c r="T439" s="4">
        <f t="shared" ca="1" si="128"/>
        <v>0</v>
      </c>
      <c r="U439" s="46">
        <f t="shared" ca="1" si="129"/>
        <v>1373.1639413314356</v>
      </c>
      <c r="V439" s="4">
        <f t="shared" ca="1" si="130"/>
        <v>0</v>
      </c>
      <c r="W439" s="13">
        <f t="shared" ca="1" si="131"/>
        <v>8139.0600876607459</v>
      </c>
      <c r="X439" s="4">
        <f t="shared" ca="1" si="132"/>
        <v>0</v>
      </c>
      <c r="AE439" s="4"/>
    </row>
    <row r="440" spans="1:31">
      <c r="A440">
        <v>3</v>
      </c>
      <c r="B440">
        <v>1</v>
      </c>
      <c r="C440">
        <f t="shared" si="114"/>
        <v>6</v>
      </c>
      <c r="D440">
        <f t="shared" si="115"/>
        <v>4</v>
      </c>
      <c r="E440">
        <f t="shared" si="116"/>
        <v>3</v>
      </c>
      <c r="F440" s="100">
        <f t="shared" ca="1" si="117"/>
        <v>0</v>
      </c>
      <c r="G440">
        <v>1</v>
      </c>
      <c r="H440">
        <v>1</v>
      </c>
      <c r="I440">
        <v>1</v>
      </c>
      <c r="J440" s="1">
        <f t="shared" ca="1" si="118"/>
        <v>3.7243800000000099E-6</v>
      </c>
      <c r="K440" s="1">
        <f t="shared" ca="1" si="119"/>
        <v>0</v>
      </c>
      <c r="L440" s="13">
        <f t="shared" ca="1" si="120"/>
        <v>137</v>
      </c>
      <c r="M440" s="7">
        <f t="shared" ca="1" si="121"/>
        <v>863</v>
      </c>
      <c r="N440" s="44">
        <f t="shared" ca="1" si="122"/>
        <v>11</v>
      </c>
      <c r="O440" s="94">
        <f t="shared" ca="1" si="123"/>
        <v>2.8397004155948178</v>
      </c>
      <c r="P440" s="94">
        <f t="shared" ca="1" si="124"/>
        <v>28.397004155948181</v>
      </c>
      <c r="Q440" s="94">
        <f t="shared" ca="1" si="125"/>
        <v>28.397004155948181</v>
      </c>
      <c r="R440" s="94">
        <f t="shared" ca="1" si="126"/>
        <v>2.8397004155948182</v>
      </c>
      <c r="S440" s="94">
        <f t="shared" ca="1" si="127"/>
        <v>2.8397004155948178</v>
      </c>
      <c r="T440" s="4">
        <f t="shared" ca="1" si="128"/>
        <v>0</v>
      </c>
      <c r="U440" s="46">
        <f t="shared" ca="1" si="129"/>
        <v>1360.1639413314356</v>
      </c>
      <c r="V440" s="4">
        <f t="shared" ca="1" si="130"/>
        <v>0</v>
      </c>
      <c r="W440" s="13">
        <f t="shared" ca="1" si="131"/>
        <v>7304.2435936137754</v>
      </c>
      <c r="X440" s="4">
        <f t="shared" ca="1" si="132"/>
        <v>0</v>
      </c>
      <c r="AE440" s="4"/>
    </row>
    <row r="441" spans="1:31">
      <c r="A441">
        <v>3</v>
      </c>
      <c r="B441">
        <v>1</v>
      </c>
      <c r="C441">
        <f t="shared" si="114"/>
        <v>6</v>
      </c>
      <c r="D441">
        <f t="shared" si="115"/>
        <v>4</v>
      </c>
      <c r="E441">
        <f t="shared" si="116"/>
        <v>3</v>
      </c>
      <c r="F441" s="100">
        <f t="shared" ca="1" si="117"/>
        <v>0</v>
      </c>
      <c r="G441">
        <v>1</v>
      </c>
      <c r="H441">
        <v>1</v>
      </c>
      <c r="I441">
        <v>0</v>
      </c>
      <c r="J441" s="1">
        <f t="shared" ca="1" si="118"/>
        <v>9.4050000000000352E-9</v>
      </c>
      <c r="K441" s="1">
        <f t="shared" ca="1" si="119"/>
        <v>0</v>
      </c>
      <c r="L441" s="13">
        <f t="shared" ca="1" si="120"/>
        <v>124</v>
      </c>
      <c r="M441" s="7">
        <f t="shared" ca="1" si="121"/>
        <v>876</v>
      </c>
      <c r="N441" s="44">
        <f t="shared" ca="1" si="122"/>
        <v>11</v>
      </c>
      <c r="O441" s="94">
        <f t="shared" ca="1" si="123"/>
        <v>2.8397004155948178</v>
      </c>
      <c r="P441" s="94">
        <f t="shared" ca="1" si="124"/>
        <v>28.397004155948181</v>
      </c>
      <c r="Q441" s="94">
        <f t="shared" ca="1" si="125"/>
        <v>28.397004155948181</v>
      </c>
      <c r="R441" s="94">
        <f t="shared" ca="1" si="126"/>
        <v>2.8397004155948182</v>
      </c>
      <c r="S441" s="94">
        <f t="shared" ca="1" si="127"/>
        <v>2.8397004155948178</v>
      </c>
      <c r="T441" s="4">
        <f t="shared" ca="1" si="128"/>
        <v>0</v>
      </c>
      <c r="U441" s="46">
        <f t="shared" ca="1" si="129"/>
        <v>1347.1639413314356</v>
      </c>
      <c r="V441" s="4">
        <f t="shared" ca="1" si="130"/>
        <v>0</v>
      </c>
      <c r="W441" s="13">
        <f t="shared" ca="1" si="131"/>
        <v>6469.4270995668048</v>
      </c>
      <c r="X441" s="4">
        <f t="shared" ca="1" si="132"/>
        <v>0</v>
      </c>
      <c r="AE441" s="4"/>
    </row>
    <row r="442" spans="1:31">
      <c r="A442">
        <v>3</v>
      </c>
      <c r="B442">
        <v>1</v>
      </c>
      <c r="C442">
        <f t="shared" si="114"/>
        <v>6</v>
      </c>
      <c r="D442">
        <f t="shared" si="115"/>
        <v>4</v>
      </c>
      <c r="E442">
        <f t="shared" si="116"/>
        <v>3</v>
      </c>
      <c r="F442" s="100">
        <f t="shared" ca="1" si="117"/>
        <v>0</v>
      </c>
      <c r="G442">
        <v>1</v>
      </c>
      <c r="H442">
        <v>0</v>
      </c>
      <c r="I442">
        <v>7</v>
      </c>
      <c r="J442" s="1">
        <f t="shared" ca="1" si="118"/>
        <v>0</v>
      </c>
      <c r="K442" s="1">
        <f t="shared" ca="1" si="119"/>
        <v>0</v>
      </c>
      <c r="L442" s="13">
        <f t="shared" ca="1" si="120"/>
        <v>153</v>
      </c>
      <c r="M442" s="7">
        <f t="shared" ca="1" si="121"/>
        <v>847</v>
      </c>
      <c r="N442" s="44">
        <f t="shared" ca="1" si="122"/>
        <v>11</v>
      </c>
      <c r="O442" s="94">
        <f t="shared" ca="1" si="123"/>
        <v>2.8397004155948178</v>
      </c>
      <c r="P442" s="94">
        <f t="shared" ca="1" si="124"/>
        <v>28.397004155948181</v>
      </c>
      <c r="Q442" s="94">
        <f t="shared" ca="1" si="125"/>
        <v>28.397004155948181</v>
      </c>
      <c r="R442" s="94">
        <f t="shared" ca="1" si="126"/>
        <v>2.8397004155948182</v>
      </c>
      <c r="S442" s="94">
        <f t="shared" ca="1" si="127"/>
        <v>2.8397004155948178</v>
      </c>
      <c r="T442" s="4">
        <f t="shared" ca="1" si="128"/>
        <v>0</v>
      </c>
      <c r="U442" s="46">
        <f t="shared" ca="1" si="129"/>
        <v>1376.1639413314356</v>
      </c>
      <c r="V442" s="4">
        <f t="shared" ca="1" si="130"/>
        <v>0</v>
      </c>
      <c r="W442" s="13">
        <f t="shared" ca="1" si="131"/>
        <v>11687.430916657584</v>
      </c>
      <c r="X442" s="4">
        <f t="shared" ca="1" si="132"/>
        <v>0</v>
      </c>
      <c r="AE442" s="4"/>
    </row>
    <row r="443" spans="1:31">
      <c r="A443">
        <v>3</v>
      </c>
      <c r="B443">
        <v>1</v>
      </c>
      <c r="C443">
        <f t="shared" si="114"/>
        <v>6</v>
      </c>
      <c r="D443">
        <f t="shared" si="115"/>
        <v>4</v>
      </c>
      <c r="E443">
        <f t="shared" si="116"/>
        <v>3</v>
      </c>
      <c r="F443" s="100">
        <f t="shared" ca="1" si="117"/>
        <v>0</v>
      </c>
      <c r="G443">
        <v>1</v>
      </c>
      <c r="H443">
        <v>0</v>
      </c>
      <c r="I443">
        <v>6</v>
      </c>
      <c r="J443" s="1">
        <f t="shared" ca="1" si="118"/>
        <v>0</v>
      </c>
      <c r="K443" s="1">
        <f t="shared" ca="1" si="119"/>
        <v>0</v>
      </c>
      <c r="L443" s="13">
        <f t="shared" ca="1" si="120"/>
        <v>140</v>
      </c>
      <c r="M443" s="7">
        <f t="shared" ca="1" si="121"/>
        <v>860</v>
      </c>
      <c r="N443" s="44">
        <f t="shared" ca="1" si="122"/>
        <v>11</v>
      </c>
      <c r="O443" s="94">
        <f t="shared" ca="1" si="123"/>
        <v>2.8397004155948178</v>
      </c>
      <c r="P443" s="94">
        <f t="shared" ca="1" si="124"/>
        <v>28.397004155948181</v>
      </c>
      <c r="Q443" s="94">
        <f t="shared" ca="1" si="125"/>
        <v>28.397004155948181</v>
      </c>
      <c r="R443" s="94">
        <f t="shared" ca="1" si="126"/>
        <v>2.8397004155948182</v>
      </c>
      <c r="S443" s="94">
        <f t="shared" ca="1" si="127"/>
        <v>2.8397004155948178</v>
      </c>
      <c r="T443" s="4">
        <f t="shared" ca="1" si="128"/>
        <v>0</v>
      </c>
      <c r="U443" s="46">
        <f t="shared" ca="1" si="129"/>
        <v>1363.1639413314356</v>
      </c>
      <c r="V443" s="4">
        <f t="shared" ca="1" si="130"/>
        <v>0</v>
      </c>
      <c r="W443" s="13">
        <f t="shared" ca="1" si="131"/>
        <v>10852.614422610615</v>
      </c>
      <c r="X443" s="4">
        <f t="shared" ca="1" si="132"/>
        <v>0</v>
      </c>
      <c r="AE443" s="4"/>
    </row>
    <row r="444" spans="1:31">
      <c r="A444">
        <v>3</v>
      </c>
      <c r="B444">
        <v>1</v>
      </c>
      <c r="C444">
        <f t="shared" si="114"/>
        <v>6</v>
      </c>
      <c r="D444">
        <f t="shared" si="115"/>
        <v>4</v>
      </c>
      <c r="E444">
        <f t="shared" si="116"/>
        <v>3</v>
      </c>
      <c r="F444" s="100">
        <f t="shared" ca="1" si="117"/>
        <v>0</v>
      </c>
      <c r="G444">
        <v>1</v>
      </c>
      <c r="H444">
        <v>0</v>
      </c>
      <c r="I444">
        <v>5</v>
      </c>
      <c r="J444" s="1">
        <f t="shared" ca="1" si="118"/>
        <v>0</v>
      </c>
      <c r="K444" s="1">
        <f t="shared" ca="1" si="119"/>
        <v>0</v>
      </c>
      <c r="L444" s="13">
        <f t="shared" ca="1" si="120"/>
        <v>127</v>
      </c>
      <c r="M444" s="7">
        <f t="shared" ca="1" si="121"/>
        <v>873</v>
      </c>
      <c r="N444" s="44">
        <f t="shared" ca="1" si="122"/>
        <v>11</v>
      </c>
      <c r="O444" s="94">
        <f t="shared" ca="1" si="123"/>
        <v>2.8397004155948178</v>
      </c>
      <c r="P444" s="94">
        <f t="shared" ca="1" si="124"/>
        <v>28.397004155948181</v>
      </c>
      <c r="Q444" s="94">
        <f t="shared" ca="1" si="125"/>
        <v>28.397004155948181</v>
      </c>
      <c r="R444" s="94">
        <f t="shared" ca="1" si="126"/>
        <v>2.8397004155948182</v>
      </c>
      <c r="S444" s="94">
        <f t="shared" ca="1" si="127"/>
        <v>2.8397004155948178</v>
      </c>
      <c r="T444" s="4">
        <f t="shared" ca="1" si="128"/>
        <v>0</v>
      </c>
      <c r="U444" s="46">
        <f t="shared" ca="1" si="129"/>
        <v>1350.1639413314356</v>
      </c>
      <c r="V444" s="4">
        <f t="shared" ca="1" si="130"/>
        <v>0</v>
      </c>
      <c r="W444" s="13">
        <f t="shared" ca="1" si="131"/>
        <v>10017.797928563645</v>
      </c>
      <c r="X444" s="4">
        <f t="shared" ca="1" si="132"/>
        <v>0</v>
      </c>
      <c r="AE444" s="4"/>
    </row>
    <row r="445" spans="1:31">
      <c r="A445">
        <v>3</v>
      </c>
      <c r="B445">
        <v>1</v>
      </c>
      <c r="C445">
        <f t="shared" si="114"/>
        <v>6</v>
      </c>
      <c r="D445">
        <f t="shared" si="115"/>
        <v>4</v>
      </c>
      <c r="E445">
        <f t="shared" si="116"/>
        <v>3</v>
      </c>
      <c r="F445" s="100">
        <f t="shared" ca="1" si="117"/>
        <v>0</v>
      </c>
      <c r="G445">
        <v>1</v>
      </c>
      <c r="H445">
        <v>0</v>
      </c>
      <c r="I445">
        <v>4</v>
      </c>
      <c r="J445" s="1">
        <f t="shared" ca="1" si="118"/>
        <v>9.1256620950000075E-3</v>
      </c>
      <c r="K445" s="1">
        <f t="shared" ca="1" si="119"/>
        <v>0</v>
      </c>
      <c r="L445" s="13">
        <f t="shared" ca="1" si="120"/>
        <v>114</v>
      </c>
      <c r="M445" s="7">
        <f t="shared" ca="1" si="121"/>
        <v>886</v>
      </c>
      <c r="N445" s="44">
        <f t="shared" ca="1" si="122"/>
        <v>12</v>
      </c>
      <c r="O445" s="94">
        <f t="shared" ca="1" si="123"/>
        <v>3.0624018806381534</v>
      </c>
      <c r="P445" s="94">
        <f t="shared" ca="1" si="124"/>
        <v>29.510511481164862</v>
      </c>
      <c r="Q445" s="94">
        <f t="shared" ca="1" si="125"/>
        <v>28.397004155948181</v>
      </c>
      <c r="R445" s="94">
        <f t="shared" ca="1" si="126"/>
        <v>2.8953757818556523</v>
      </c>
      <c r="S445" s="94">
        <f t="shared" ca="1" si="127"/>
        <v>3.0624018806381534</v>
      </c>
      <c r="T445" s="4">
        <f t="shared" ca="1" si="128"/>
        <v>0</v>
      </c>
      <c r="U445" s="46">
        <f t="shared" ca="1" si="129"/>
        <v>1418.7282638229713</v>
      </c>
      <c r="V445" s="4">
        <f t="shared" ca="1" si="130"/>
        <v>0</v>
      </c>
      <c r="W445" s="13">
        <f t="shared" ca="1" si="131"/>
        <v>9182.9814345166742</v>
      </c>
      <c r="X445" s="4">
        <f t="shared" ca="1" si="132"/>
        <v>0</v>
      </c>
      <c r="AE445" s="4"/>
    </row>
    <row r="446" spans="1:31">
      <c r="A446">
        <v>3</v>
      </c>
      <c r="B446">
        <v>1</v>
      </c>
      <c r="C446">
        <f t="shared" si="114"/>
        <v>6</v>
      </c>
      <c r="D446">
        <f t="shared" si="115"/>
        <v>4</v>
      </c>
      <c r="E446">
        <f t="shared" si="116"/>
        <v>3</v>
      </c>
      <c r="F446" s="100">
        <f t="shared" ca="1" si="117"/>
        <v>0</v>
      </c>
      <c r="G446">
        <v>1</v>
      </c>
      <c r="H446">
        <v>0</v>
      </c>
      <c r="I446">
        <v>3</v>
      </c>
      <c r="J446" s="1">
        <f t="shared" ca="1" si="118"/>
        <v>3.6871362000000067E-4</v>
      </c>
      <c r="K446" s="1">
        <f t="shared" ca="1" si="119"/>
        <v>0</v>
      </c>
      <c r="L446" s="13">
        <f t="shared" ca="1" si="120"/>
        <v>101</v>
      </c>
      <c r="M446" s="7">
        <f t="shared" ca="1" si="121"/>
        <v>899</v>
      </c>
      <c r="N446" s="44">
        <f t="shared" ca="1" si="122"/>
        <v>12</v>
      </c>
      <c r="O446" s="94">
        <f t="shared" ca="1" si="123"/>
        <v>3.0624018806381534</v>
      </c>
      <c r="P446" s="94">
        <f t="shared" ca="1" si="124"/>
        <v>30.624018806381528</v>
      </c>
      <c r="Q446" s="94">
        <f t="shared" ca="1" si="125"/>
        <v>30.178615876294863</v>
      </c>
      <c r="R446" s="94">
        <f t="shared" ca="1" si="126"/>
        <v>3.0401317341338197</v>
      </c>
      <c r="S446" s="94">
        <f t="shared" ca="1" si="127"/>
        <v>3.0624018806381534</v>
      </c>
      <c r="T446" s="4">
        <f t="shared" ca="1" si="128"/>
        <v>0</v>
      </c>
      <c r="U446" s="46">
        <f t="shared" ca="1" si="129"/>
        <v>1405.7282638229713</v>
      </c>
      <c r="V446" s="4">
        <f t="shared" ca="1" si="130"/>
        <v>0</v>
      </c>
      <c r="W446" s="13">
        <f t="shared" ca="1" si="131"/>
        <v>8348.1649404697037</v>
      </c>
      <c r="X446" s="4">
        <f t="shared" ca="1" si="132"/>
        <v>0</v>
      </c>
      <c r="AE446" s="4"/>
    </row>
    <row r="447" spans="1:31">
      <c r="A447">
        <v>3</v>
      </c>
      <c r="B447">
        <v>1</v>
      </c>
      <c r="C447">
        <f t="shared" si="114"/>
        <v>6</v>
      </c>
      <c r="D447">
        <f t="shared" si="115"/>
        <v>4</v>
      </c>
      <c r="E447">
        <f t="shared" si="116"/>
        <v>3</v>
      </c>
      <c r="F447" s="100">
        <f t="shared" ca="1" si="117"/>
        <v>0</v>
      </c>
      <c r="G447">
        <v>1</v>
      </c>
      <c r="H447">
        <v>0</v>
      </c>
      <c r="I447">
        <v>2</v>
      </c>
      <c r="J447" s="1">
        <f t="shared" ca="1" si="118"/>
        <v>5.5865700000000149E-6</v>
      </c>
      <c r="K447" s="1">
        <f t="shared" ca="1" si="119"/>
        <v>0</v>
      </c>
      <c r="L447" s="13">
        <f t="shared" ca="1" si="120"/>
        <v>88</v>
      </c>
      <c r="M447" s="7">
        <f t="shared" ca="1" si="121"/>
        <v>912</v>
      </c>
      <c r="N447" s="44">
        <f t="shared" ca="1" si="122"/>
        <v>12</v>
      </c>
      <c r="O447" s="94">
        <f t="shared" ca="1" si="123"/>
        <v>3.0624018806381534</v>
      </c>
      <c r="P447" s="94">
        <f t="shared" ca="1" si="124"/>
        <v>30.624018806381528</v>
      </c>
      <c r="Q447" s="94">
        <f t="shared" ca="1" si="125"/>
        <v>30.624018806381528</v>
      </c>
      <c r="R447" s="94">
        <f t="shared" ca="1" si="126"/>
        <v>3.062401880638153</v>
      </c>
      <c r="S447" s="94">
        <f t="shared" ca="1" si="127"/>
        <v>3.0624018806381534</v>
      </c>
      <c r="T447" s="4">
        <f t="shared" ca="1" si="128"/>
        <v>0</v>
      </c>
      <c r="U447" s="46">
        <f t="shared" ca="1" si="129"/>
        <v>1392.7282638229713</v>
      </c>
      <c r="V447" s="4">
        <f t="shared" ca="1" si="130"/>
        <v>0</v>
      </c>
      <c r="W447" s="13">
        <f t="shared" ca="1" si="131"/>
        <v>7513.3484464227331</v>
      </c>
      <c r="X447" s="4">
        <f t="shared" ca="1" si="132"/>
        <v>0</v>
      </c>
      <c r="AE447" s="4"/>
    </row>
    <row r="448" spans="1:31">
      <c r="A448">
        <v>3</v>
      </c>
      <c r="B448">
        <v>1</v>
      </c>
      <c r="C448">
        <f t="shared" si="114"/>
        <v>6</v>
      </c>
      <c r="D448">
        <f t="shared" si="115"/>
        <v>4</v>
      </c>
      <c r="E448">
        <f t="shared" si="116"/>
        <v>3</v>
      </c>
      <c r="F448" s="100">
        <f t="shared" ca="1" si="117"/>
        <v>0</v>
      </c>
      <c r="G448">
        <v>1</v>
      </c>
      <c r="H448">
        <v>0</v>
      </c>
      <c r="I448">
        <v>1</v>
      </c>
      <c r="J448" s="1">
        <f t="shared" ca="1" si="118"/>
        <v>3.7620000000000134E-8</v>
      </c>
      <c r="K448" s="1">
        <f t="shared" ca="1" si="119"/>
        <v>0</v>
      </c>
      <c r="L448" s="13">
        <f t="shared" ca="1" si="120"/>
        <v>75</v>
      </c>
      <c r="M448" s="7">
        <f t="shared" ca="1" si="121"/>
        <v>925</v>
      </c>
      <c r="N448" s="44">
        <f t="shared" ca="1" si="122"/>
        <v>12</v>
      </c>
      <c r="O448" s="94">
        <f t="shared" ca="1" si="123"/>
        <v>3.0624018806381534</v>
      </c>
      <c r="P448" s="94">
        <f t="shared" ca="1" si="124"/>
        <v>30.624018806381528</v>
      </c>
      <c r="Q448" s="94">
        <f t="shared" ca="1" si="125"/>
        <v>30.624018806381528</v>
      </c>
      <c r="R448" s="94">
        <f t="shared" ca="1" si="126"/>
        <v>3.062401880638153</v>
      </c>
      <c r="S448" s="94">
        <f t="shared" ca="1" si="127"/>
        <v>3.0624018806381534</v>
      </c>
      <c r="T448" s="4">
        <f t="shared" ca="1" si="128"/>
        <v>0</v>
      </c>
      <c r="U448" s="46">
        <f t="shared" ca="1" si="129"/>
        <v>1379.7282638229713</v>
      </c>
      <c r="V448" s="4">
        <f t="shared" ca="1" si="130"/>
        <v>0</v>
      </c>
      <c r="W448" s="13">
        <f t="shared" ca="1" si="131"/>
        <v>6678.5319523757635</v>
      </c>
      <c r="X448" s="4">
        <f t="shared" ca="1" si="132"/>
        <v>0</v>
      </c>
      <c r="AE448" s="4"/>
    </row>
    <row r="449" spans="1:31">
      <c r="A449">
        <v>3</v>
      </c>
      <c r="B449">
        <v>1</v>
      </c>
      <c r="C449">
        <f t="shared" si="114"/>
        <v>6</v>
      </c>
      <c r="D449">
        <f t="shared" si="115"/>
        <v>4</v>
      </c>
      <c r="E449">
        <f t="shared" si="116"/>
        <v>3</v>
      </c>
      <c r="F449" s="100">
        <f t="shared" ca="1" si="117"/>
        <v>0</v>
      </c>
      <c r="G449">
        <v>1</v>
      </c>
      <c r="H449">
        <v>0</v>
      </c>
      <c r="I449">
        <v>0</v>
      </c>
      <c r="J449" s="1">
        <f t="shared" ca="1" si="118"/>
        <v>9.5000000000000434E-11</v>
      </c>
      <c r="K449" s="1">
        <f t="shared" ca="1" si="119"/>
        <v>0</v>
      </c>
      <c r="L449" s="13">
        <f t="shared" ca="1" si="120"/>
        <v>62</v>
      </c>
      <c r="M449" s="7">
        <f t="shared" ca="1" si="121"/>
        <v>938</v>
      </c>
      <c r="N449" s="44">
        <f t="shared" ca="1" si="122"/>
        <v>12</v>
      </c>
      <c r="O449" s="94">
        <f t="shared" ca="1" si="123"/>
        <v>3.0624018806381534</v>
      </c>
      <c r="P449" s="94">
        <f t="shared" ca="1" si="124"/>
        <v>30.624018806381528</v>
      </c>
      <c r="Q449" s="94">
        <f t="shared" ca="1" si="125"/>
        <v>30.624018806381528</v>
      </c>
      <c r="R449" s="94">
        <f t="shared" ca="1" si="126"/>
        <v>3.062401880638153</v>
      </c>
      <c r="S449" s="94">
        <f t="shared" ca="1" si="127"/>
        <v>3.0624018806381534</v>
      </c>
      <c r="T449" s="4">
        <f t="shared" ca="1" si="128"/>
        <v>0</v>
      </c>
      <c r="U449" s="46">
        <f t="shared" ca="1" si="129"/>
        <v>1366.7282638229713</v>
      </c>
      <c r="V449" s="4">
        <f t="shared" ca="1" si="130"/>
        <v>0</v>
      </c>
      <c r="W449" s="13">
        <f t="shared" ca="1" si="131"/>
        <v>5843.7154583287929</v>
      </c>
      <c r="X449" s="4">
        <f t="shared" ca="1" si="132"/>
        <v>0</v>
      </c>
      <c r="AE449" s="4"/>
    </row>
    <row r="450" spans="1:31">
      <c r="A450">
        <v>3</v>
      </c>
      <c r="B450">
        <v>1</v>
      </c>
      <c r="C450">
        <f t="shared" si="114"/>
        <v>6</v>
      </c>
      <c r="D450">
        <f t="shared" si="115"/>
        <v>4</v>
      </c>
      <c r="E450">
        <f t="shared" si="116"/>
        <v>3</v>
      </c>
      <c r="F450" s="100">
        <f t="shared" ca="1" si="117"/>
        <v>0</v>
      </c>
      <c r="G450">
        <v>0</v>
      </c>
      <c r="H450">
        <v>1</v>
      </c>
      <c r="I450">
        <v>7</v>
      </c>
      <c r="J450" s="1">
        <f t="shared" ca="1" si="118"/>
        <v>0</v>
      </c>
      <c r="K450" s="1">
        <f t="shared" ca="1" si="119"/>
        <v>0</v>
      </c>
      <c r="L450" s="13">
        <f t="shared" ca="1" si="120"/>
        <v>153</v>
      </c>
      <c r="M450" s="7">
        <f t="shared" ca="1" si="121"/>
        <v>847</v>
      </c>
      <c r="N450" s="44">
        <f t="shared" ca="1" si="122"/>
        <v>11</v>
      </c>
      <c r="O450" s="94">
        <f t="shared" ca="1" si="123"/>
        <v>2.8397004155948178</v>
      </c>
      <c r="P450" s="94">
        <f t="shared" ca="1" si="124"/>
        <v>28.397004155948181</v>
      </c>
      <c r="Q450" s="94">
        <f t="shared" ca="1" si="125"/>
        <v>28.397004155948181</v>
      </c>
      <c r="R450" s="94">
        <f t="shared" ca="1" si="126"/>
        <v>2.8397004155948182</v>
      </c>
      <c r="S450" s="94">
        <f t="shared" ca="1" si="127"/>
        <v>2.8397004155948178</v>
      </c>
      <c r="T450" s="4">
        <f t="shared" ca="1" si="128"/>
        <v>0</v>
      </c>
      <c r="U450" s="46">
        <f t="shared" ca="1" si="129"/>
        <v>1376.1639413314356</v>
      </c>
      <c r="V450" s="4">
        <f t="shared" ca="1" si="130"/>
        <v>0</v>
      </c>
      <c r="W450" s="13">
        <f t="shared" ca="1" si="131"/>
        <v>6469.4270995668039</v>
      </c>
      <c r="X450" s="4">
        <f t="shared" ca="1" si="132"/>
        <v>0</v>
      </c>
      <c r="AE450" s="4"/>
    </row>
    <row r="451" spans="1:31">
      <c r="A451">
        <v>3</v>
      </c>
      <c r="B451">
        <v>1</v>
      </c>
      <c r="C451">
        <f t="shared" si="114"/>
        <v>6</v>
      </c>
      <c r="D451">
        <f t="shared" si="115"/>
        <v>4</v>
      </c>
      <c r="E451">
        <f t="shared" si="116"/>
        <v>3</v>
      </c>
      <c r="F451" s="100">
        <f t="shared" ca="1" si="117"/>
        <v>0</v>
      </c>
      <c r="G451">
        <v>0</v>
      </c>
      <c r="H451">
        <v>1</v>
      </c>
      <c r="I451">
        <v>6</v>
      </c>
      <c r="J451" s="1">
        <f t="shared" ca="1" si="118"/>
        <v>0</v>
      </c>
      <c r="K451" s="1">
        <f t="shared" ca="1" si="119"/>
        <v>0</v>
      </c>
      <c r="L451" s="13">
        <f t="shared" ca="1" si="120"/>
        <v>140</v>
      </c>
      <c r="M451" s="7">
        <f t="shared" ca="1" si="121"/>
        <v>860</v>
      </c>
      <c r="N451" s="44">
        <f t="shared" ca="1" si="122"/>
        <v>11</v>
      </c>
      <c r="O451" s="94">
        <f t="shared" ca="1" si="123"/>
        <v>2.8397004155948178</v>
      </c>
      <c r="P451" s="94">
        <f t="shared" ca="1" si="124"/>
        <v>28.397004155948181</v>
      </c>
      <c r="Q451" s="94">
        <f t="shared" ca="1" si="125"/>
        <v>28.397004155948181</v>
      </c>
      <c r="R451" s="94">
        <f t="shared" ca="1" si="126"/>
        <v>2.8397004155948182</v>
      </c>
      <c r="S451" s="94">
        <f t="shared" ca="1" si="127"/>
        <v>2.8397004155948178</v>
      </c>
      <c r="T451" s="4">
        <f t="shared" ca="1" si="128"/>
        <v>0</v>
      </c>
      <c r="U451" s="46">
        <f t="shared" ca="1" si="129"/>
        <v>1363.1639413314356</v>
      </c>
      <c r="V451" s="4">
        <f t="shared" ca="1" si="130"/>
        <v>0</v>
      </c>
      <c r="W451" s="13">
        <f t="shared" ca="1" si="131"/>
        <v>5634.6106055198334</v>
      </c>
      <c r="X451" s="4">
        <f t="shared" ca="1" si="132"/>
        <v>0</v>
      </c>
      <c r="AE451" s="4"/>
    </row>
    <row r="452" spans="1:31">
      <c r="A452">
        <v>3</v>
      </c>
      <c r="B452">
        <v>1</v>
      </c>
      <c r="C452">
        <f t="shared" si="114"/>
        <v>6</v>
      </c>
      <c r="D452">
        <f t="shared" si="115"/>
        <v>4</v>
      </c>
      <c r="E452">
        <f t="shared" si="116"/>
        <v>3</v>
      </c>
      <c r="F452" s="100">
        <f t="shared" ca="1" si="117"/>
        <v>0</v>
      </c>
      <c r="G452">
        <v>0</v>
      </c>
      <c r="H452">
        <v>1</v>
      </c>
      <c r="I452">
        <v>5</v>
      </c>
      <c r="J452" s="1">
        <f t="shared" ca="1" si="118"/>
        <v>0</v>
      </c>
      <c r="K452" s="1">
        <f t="shared" ca="1" si="119"/>
        <v>0</v>
      </c>
      <c r="L452" s="13">
        <f t="shared" ca="1" si="120"/>
        <v>127</v>
      </c>
      <c r="M452" s="7">
        <f t="shared" ca="1" si="121"/>
        <v>873</v>
      </c>
      <c r="N452" s="44">
        <f t="shared" ca="1" si="122"/>
        <v>11</v>
      </c>
      <c r="O452" s="94">
        <f t="shared" ca="1" si="123"/>
        <v>2.8397004155948178</v>
      </c>
      <c r="P452" s="94">
        <f t="shared" ca="1" si="124"/>
        <v>28.397004155948181</v>
      </c>
      <c r="Q452" s="94">
        <f t="shared" ca="1" si="125"/>
        <v>28.397004155948181</v>
      </c>
      <c r="R452" s="94">
        <f t="shared" ca="1" si="126"/>
        <v>2.8397004155948182</v>
      </c>
      <c r="S452" s="94">
        <f t="shared" ca="1" si="127"/>
        <v>2.8397004155948178</v>
      </c>
      <c r="T452" s="4">
        <f t="shared" ca="1" si="128"/>
        <v>0</v>
      </c>
      <c r="U452" s="46">
        <f t="shared" ca="1" si="129"/>
        <v>1350.1639413314356</v>
      </c>
      <c r="V452" s="4">
        <f t="shared" ca="1" si="130"/>
        <v>0</v>
      </c>
      <c r="W452" s="13">
        <f t="shared" ca="1" si="131"/>
        <v>4799.7941114728637</v>
      </c>
      <c r="X452" s="4">
        <f t="shared" ca="1" si="132"/>
        <v>0</v>
      </c>
      <c r="AE452" s="4"/>
    </row>
    <row r="453" spans="1:31">
      <c r="A453">
        <v>3</v>
      </c>
      <c r="B453">
        <v>1</v>
      </c>
      <c r="C453">
        <f t="shared" si="114"/>
        <v>6</v>
      </c>
      <c r="D453">
        <f t="shared" si="115"/>
        <v>4</v>
      </c>
      <c r="E453">
        <f t="shared" si="116"/>
        <v>3</v>
      </c>
      <c r="F453" s="100">
        <f t="shared" ca="1" si="117"/>
        <v>0</v>
      </c>
      <c r="G453">
        <v>0</v>
      </c>
      <c r="H453">
        <v>1</v>
      </c>
      <c r="I453">
        <v>4</v>
      </c>
      <c r="J453" s="1">
        <f t="shared" ca="1" si="118"/>
        <v>4.7549502495E-2</v>
      </c>
      <c r="K453" s="1">
        <f t="shared" ca="1" si="119"/>
        <v>0</v>
      </c>
      <c r="L453" s="13">
        <f t="shared" ca="1" si="120"/>
        <v>114</v>
      </c>
      <c r="M453" s="7">
        <f t="shared" ca="1" si="121"/>
        <v>886</v>
      </c>
      <c r="N453" s="44">
        <f t="shared" ca="1" si="122"/>
        <v>12</v>
      </c>
      <c r="O453" s="94">
        <f t="shared" ca="1" si="123"/>
        <v>3.0624018806381534</v>
      </c>
      <c r="P453" s="94">
        <f t="shared" ca="1" si="124"/>
        <v>29.510511481164862</v>
      </c>
      <c r="Q453" s="94">
        <f t="shared" ca="1" si="125"/>
        <v>28.397004155948181</v>
      </c>
      <c r="R453" s="94">
        <f t="shared" ca="1" si="126"/>
        <v>2.8953757818556523</v>
      </c>
      <c r="S453" s="94">
        <f t="shared" ca="1" si="127"/>
        <v>3.0624018806381534</v>
      </c>
      <c r="T453" s="4">
        <f t="shared" ca="1" si="128"/>
        <v>0</v>
      </c>
      <c r="U453" s="46">
        <f t="shared" ca="1" si="129"/>
        <v>1418.7282638229713</v>
      </c>
      <c r="V453" s="4">
        <f t="shared" ca="1" si="130"/>
        <v>0</v>
      </c>
      <c r="W453" s="13">
        <f t="shared" ca="1" si="131"/>
        <v>3964.9776174258936</v>
      </c>
      <c r="X453" s="4">
        <f t="shared" ca="1" si="132"/>
        <v>0</v>
      </c>
      <c r="AE453" s="4"/>
    </row>
    <row r="454" spans="1:31">
      <c r="A454">
        <v>3</v>
      </c>
      <c r="B454">
        <v>1</v>
      </c>
      <c r="C454">
        <f t="shared" si="114"/>
        <v>6</v>
      </c>
      <c r="D454">
        <f t="shared" si="115"/>
        <v>4</v>
      </c>
      <c r="E454">
        <f t="shared" si="116"/>
        <v>3</v>
      </c>
      <c r="F454" s="100">
        <f t="shared" ca="1" si="117"/>
        <v>0</v>
      </c>
      <c r="G454">
        <v>0</v>
      </c>
      <c r="H454">
        <v>1</v>
      </c>
      <c r="I454">
        <v>3</v>
      </c>
      <c r="J454" s="1">
        <f t="shared" ca="1" si="118"/>
        <v>1.9211920200000018E-3</v>
      </c>
      <c r="K454" s="1">
        <f t="shared" ca="1" si="119"/>
        <v>0</v>
      </c>
      <c r="L454" s="13">
        <f t="shared" ca="1" si="120"/>
        <v>101</v>
      </c>
      <c r="M454" s="7">
        <f t="shared" ca="1" si="121"/>
        <v>899</v>
      </c>
      <c r="N454" s="44">
        <f t="shared" ca="1" si="122"/>
        <v>12</v>
      </c>
      <c r="O454" s="94">
        <f t="shared" ca="1" si="123"/>
        <v>3.0624018806381534</v>
      </c>
      <c r="P454" s="94">
        <f t="shared" ca="1" si="124"/>
        <v>30.624018806381528</v>
      </c>
      <c r="Q454" s="94">
        <f t="shared" ca="1" si="125"/>
        <v>30.178615876294863</v>
      </c>
      <c r="R454" s="94">
        <f t="shared" ca="1" si="126"/>
        <v>3.0401317341338197</v>
      </c>
      <c r="S454" s="94">
        <f t="shared" ca="1" si="127"/>
        <v>3.0624018806381534</v>
      </c>
      <c r="T454" s="4">
        <f t="shared" ca="1" si="128"/>
        <v>0</v>
      </c>
      <c r="U454" s="46">
        <f t="shared" ca="1" si="129"/>
        <v>1405.7282638229713</v>
      </c>
      <c r="V454" s="4">
        <f t="shared" ca="1" si="130"/>
        <v>0</v>
      </c>
      <c r="W454" s="13">
        <f t="shared" ca="1" si="131"/>
        <v>3130.1611233789231</v>
      </c>
      <c r="X454" s="4">
        <f t="shared" ca="1" si="132"/>
        <v>0</v>
      </c>
      <c r="AE454" s="4"/>
    </row>
    <row r="455" spans="1:31">
      <c r="A455">
        <v>3</v>
      </c>
      <c r="B455">
        <v>1</v>
      </c>
      <c r="C455">
        <f t="shared" si="114"/>
        <v>6</v>
      </c>
      <c r="D455">
        <f t="shared" si="115"/>
        <v>4</v>
      </c>
      <c r="E455">
        <f t="shared" si="116"/>
        <v>3</v>
      </c>
      <c r="F455" s="100">
        <f t="shared" ca="1" si="117"/>
        <v>0</v>
      </c>
      <c r="G455">
        <v>0</v>
      </c>
      <c r="H455">
        <v>1</v>
      </c>
      <c r="I455">
        <v>2</v>
      </c>
      <c r="J455" s="1">
        <f t="shared" ca="1" si="118"/>
        <v>2.9108970000000054E-5</v>
      </c>
      <c r="K455" s="1">
        <f t="shared" ca="1" si="119"/>
        <v>0</v>
      </c>
      <c r="L455" s="13">
        <f t="shared" ca="1" si="120"/>
        <v>88</v>
      </c>
      <c r="M455" s="7">
        <f t="shared" ca="1" si="121"/>
        <v>912</v>
      </c>
      <c r="N455" s="44">
        <f t="shared" ca="1" si="122"/>
        <v>12</v>
      </c>
      <c r="O455" s="94">
        <f t="shared" ca="1" si="123"/>
        <v>3.0624018806381534</v>
      </c>
      <c r="P455" s="94">
        <f t="shared" ca="1" si="124"/>
        <v>30.624018806381528</v>
      </c>
      <c r="Q455" s="94">
        <f t="shared" ca="1" si="125"/>
        <v>30.624018806381528</v>
      </c>
      <c r="R455" s="94">
        <f t="shared" ca="1" si="126"/>
        <v>3.062401880638153</v>
      </c>
      <c r="S455" s="94">
        <f t="shared" ca="1" si="127"/>
        <v>3.0624018806381534</v>
      </c>
      <c r="T455" s="4">
        <f t="shared" ca="1" si="128"/>
        <v>0</v>
      </c>
      <c r="U455" s="46">
        <f t="shared" ca="1" si="129"/>
        <v>1392.7282638229713</v>
      </c>
      <c r="V455" s="4">
        <f t="shared" ca="1" si="130"/>
        <v>0</v>
      </c>
      <c r="W455" s="13">
        <f t="shared" ca="1" si="131"/>
        <v>2295.344629331953</v>
      </c>
      <c r="X455" s="4">
        <f t="shared" ca="1" si="132"/>
        <v>0</v>
      </c>
      <c r="AE455" s="4"/>
    </row>
    <row r="456" spans="1:31">
      <c r="A456">
        <v>3</v>
      </c>
      <c r="B456">
        <v>1</v>
      </c>
      <c r="C456">
        <f t="shared" si="114"/>
        <v>6</v>
      </c>
      <c r="D456">
        <f t="shared" si="115"/>
        <v>4</v>
      </c>
      <c r="E456">
        <f t="shared" si="116"/>
        <v>3</v>
      </c>
      <c r="F456" s="100">
        <f t="shared" ca="1" si="117"/>
        <v>0</v>
      </c>
      <c r="G456">
        <v>0</v>
      </c>
      <c r="H456">
        <v>1</v>
      </c>
      <c r="I456">
        <v>1</v>
      </c>
      <c r="J456" s="1">
        <f t="shared" ca="1" si="118"/>
        <v>1.9602000000000053E-7</v>
      </c>
      <c r="K456" s="1">
        <f t="shared" ca="1" si="119"/>
        <v>0</v>
      </c>
      <c r="L456" s="13">
        <f t="shared" ca="1" si="120"/>
        <v>75</v>
      </c>
      <c r="M456" s="7">
        <f t="shared" ca="1" si="121"/>
        <v>925</v>
      </c>
      <c r="N456" s="44">
        <f t="shared" ca="1" si="122"/>
        <v>12</v>
      </c>
      <c r="O456" s="94">
        <f t="shared" ca="1" si="123"/>
        <v>3.0624018806381534</v>
      </c>
      <c r="P456" s="94">
        <f t="shared" ca="1" si="124"/>
        <v>30.624018806381528</v>
      </c>
      <c r="Q456" s="94">
        <f t="shared" ca="1" si="125"/>
        <v>30.624018806381528</v>
      </c>
      <c r="R456" s="94">
        <f t="shared" ca="1" si="126"/>
        <v>3.062401880638153</v>
      </c>
      <c r="S456" s="94">
        <f t="shared" ca="1" si="127"/>
        <v>3.0624018806381534</v>
      </c>
      <c r="T456" s="4">
        <f t="shared" ca="1" si="128"/>
        <v>0</v>
      </c>
      <c r="U456" s="46">
        <f t="shared" ca="1" si="129"/>
        <v>1379.7282638229713</v>
      </c>
      <c r="V456" s="4">
        <f t="shared" ca="1" si="130"/>
        <v>0</v>
      </c>
      <c r="W456" s="13">
        <f t="shared" ca="1" si="131"/>
        <v>1460.5281352849825</v>
      </c>
      <c r="X456" s="4">
        <f t="shared" ca="1" si="132"/>
        <v>0</v>
      </c>
      <c r="AE456" s="4"/>
    </row>
    <row r="457" spans="1:31">
      <c r="A457">
        <v>3</v>
      </c>
      <c r="B457">
        <v>1</v>
      </c>
      <c r="C457">
        <f t="shared" si="114"/>
        <v>6</v>
      </c>
      <c r="D457">
        <f t="shared" si="115"/>
        <v>4</v>
      </c>
      <c r="E457">
        <f t="shared" si="116"/>
        <v>3</v>
      </c>
      <c r="F457" s="100">
        <f t="shared" ca="1" si="117"/>
        <v>0</v>
      </c>
      <c r="G457">
        <v>0</v>
      </c>
      <c r="H457">
        <v>1</v>
      </c>
      <c r="I457">
        <v>0</v>
      </c>
      <c r="J457" s="1">
        <f t="shared" ca="1" si="118"/>
        <v>4.9500000000000181E-10</v>
      </c>
      <c r="K457" s="1">
        <f t="shared" ca="1" si="119"/>
        <v>0</v>
      </c>
      <c r="L457" s="13">
        <f t="shared" ca="1" si="120"/>
        <v>62</v>
      </c>
      <c r="M457" s="7">
        <f t="shared" ca="1" si="121"/>
        <v>938</v>
      </c>
      <c r="N457" s="44">
        <f t="shared" ca="1" si="122"/>
        <v>12</v>
      </c>
      <c r="O457" s="94">
        <f t="shared" ca="1" si="123"/>
        <v>3.0624018806381534</v>
      </c>
      <c r="P457" s="94">
        <f t="shared" ca="1" si="124"/>
        <v>30.624018806381528</v>
      </c>
      <c r="Q457" s="94">
        <f t="shared" ca="1" si="125"/>
        <v>30.624018806381528</v>
      </c>
      <c r="R457" s="94">
        <f t="shared" ca="1" si="126"/>
        <v>3.062401880638153</v>
      </c>
      <c r="S457" s="94">
        <f t="shared" ca="1" si="127"/>
        <v>3.0624018806381534</v>
      </c>
      <c r="T457" s="4">
        <f t="shared" ca="1" si="128"/>
        <v>0</v>
      </c>
      <c r="U457" s="46">
        <f t="shared" ca="1" si="129"/>
        <v>1366.7282638229713</v>
      </c>
      <c r="V457" s="4">
        <f t="shared" ca="1" si="130"/>
        <v>0</v>
      </c>
      <c r="W457" s="13">
        <f t="shared" ca="1" si="131"/>
        <v>625.71164123801225</v>
      </c>
      <c r="X457" s="4">
        <f t="shared" ca="1" si="132"/>
        <v>0</v>
      </c>
      <c r="AE457" s="4"/>
    </row>
    <row r="458" spans="1:31">
      <c r="A458">
        <v>3</v>
      </c>
      <c r="B458">
        <v>1</v>
      </c>
      <c r="C458">
        <f t="shared" si="114"/>
        <v>6</v>
      </c>
      <c r="D458">
        <f t="shared" si="115"/>
        <v>4</v>
      </c>
      <c r="E458">
        <f t="shared" si="116"/>
        <v>3</v>
      </c>
      <c r="F458" s="100">
        <f t="shared" ca="1" si="117"/>
        <v>0</v>
      </c>
      <c r="G458">
        <v>0</v>
      </c>
      <c r="H458">
        <v>0</v>
      </c>
      <c r="I458">
        <v>7</v>
      </c>
      <c r="J458" s="1">
        <f t="shared" ca="1" si="118"/>
        <v>0</v>
      </c>
      <c r="K458" s="1">
        <f t="shared" ca="1" si="119"/>
        <v>0</v>
      </c>
      <c r="L458" s="13">
        <f t="shared" ca="1" si="120"/>
        <v>91</v>
      </c>
      <c r="M458" s="7">
        <f t="shared" ca="1" si="121"/>
        <v>909</v>
      </c>
      <c r="N458" s="44">
        <f t="shared" ca="1" si="122"/>
        <v>12</v>
      </c>
      <c r="O458" s="94">
        <f t="shared" ca="1" si="123"/>
        <v>3.0624018806381534</v>
      </c>
      <c r="P458" s="94">
        <f t="shared" ca="1" si="124"/>
        <v>30.624018806381528</v>
      </c>
      <c r="Q458" s="94">
        <f t="shared" ca="1" si="125"/>
        <v>30.624018806381528</v>
      </c>
      <c r="R458" s="94">
        <f t="shared" ca="1" si="126"/>
        <v>3.062401880638153</v>
      </c>
      <c r="S458" s="94">
        <f t="shared" ca="1" si="127"/>
        <v>3.0624018806381534</v>
      </c>
      <c r="T458" s="4">
        <f t="shared" ca="1" si="128"/>
        <v>0</v>
      </c>
      <c r="U458" s="46">
        <f t="shared" ca="1" si="129"/>
        <v>1395.7282638229713</v>
      </c>
      <c r="V458" s="4">
        <f t="shared" ca="1" si="130"/>
        <v>0</v>
      </c>
      <c r="W458" s="13">
        <f t="shared" ca="1" si="131"/>
        <v>5843.715458328792</v>
      </c>
      <c r="X458" s="4">
        <f t="shared" ca="1" si="132"/>
        <v>0</v>
      </c>
      <c r="AE458" s="4"/>
    </row>
    <row r="459" spans="1:31">
      <c r="A459">
        <v>3</v>
      </c>
      <c r="B459">
        <v>1</v>
      </c>
      <c r="C459">
        <f t="shared" si="114"/>
        <v>6</v>
      </c>
      <c r="D459">
        <f t="shared" si="115"/>
        <v>4</v>
      </c>
      <c r="E459">
        <f t="shared" si="116"/>
        <v>3</v>
      </c>
      <c r="F459" s="100">
        <f t="shared" ca="1" si="117"/>
        <v>0</v>
      </c>
      <c r="G459">
        <v>0</v>
      </c>
      <c r="H459">
        <v>0</v>
      </c>
      <c r="I459">
        <v>6</v>
      </c>
      <c r="J459" s="1">
        <f t="shared" ca="1" si="118"/>
        <v>0</v>
      </c>
      <c r="K459" s="1">
        <f t="shared" ca="1" si="119"/>
        <v>0</v>
      </c>
      <c r="L459" s="13">
        <f t="shared" ca="1" si="120"/>
        <v>78</v>
      </c>
      <c r="M459" s="7">
        <f t="shared" ca="1" si="121"/>
        <v>922</v>
      </c>
      <c r="N459" s="44">
        <f t="shared" ca="1" si="122"/>
        <v>12</v>
      </c>
      <c r="O459" s="94">
        <f t="shared" ca="1" si="123"/>
        <v>3.0624018806381534</v>
      </c>
      <c r="P459" s="94">
        <f t="shared" ca="1" si="124"/>
        <v>30.624018806381528</v>
      </c>
      <c r="Q459" s="94">
        <f t="shared" ca="1" si="125"/>
        <v>30.624018806381528</v>
      </c>
      <c r="R459" s="94">
        <f t="shared" ca="1" si="126"/>
        <v>3.062401880638153</v>
      </c>
      <c r="S459" s="94">
        <f t="shared" ca="1" si="127"/>
        <v>3.0624018806381534</v>
      </c>
      <c r="T459" s="4">
        <f t="shared" ca="1" si="128"/>
        <v>0</v>
      </c>
      <c r="U459" s="46">
        <f t="shared" ca="1" si="129"/>
        <v>1382.7282638229713</v>
      </c>
      <c r="V459" s="4">
        <f t="shared" ca="1" si="130"/>
        <v>0</v>
      </c>
      <c r="W459" s="13">
        <f t="shared" ca="1" si="131"/>
        <v>5008.8989642818215</v>
      </c>
      <c r="X459" s="4">
        <f t="shared" ca="1" si="132"/>
        <v>0</v>
      </c>
      <c r="AE459" s="4"/>
    </row>
    <row r="460" spans="1:31">
      <c r="A460">
        <v>3</v>
      </c>
      <c r="B460">
        <v>1</v>
      </c>
      <c r="C460">
        <f t="shared" si="114"/>
        <v>6</v>
      </c>
      <c r="D460">
        <f t="shared" si="115"/>
        <v>4</v>
      </c>
      <c r="E460">
        <f t="shared" si="116"/>
        <v>3</v>
      </c>
      <c r="F460" s="100">
        <f t="shared" ca="1" si="117"/>
        <v>0</v>
      </c>
      <c r="G460">
        <v>0</v>
      </c>
      <c r="H460">
        <v>0</v>
      </c>
      <c r="I460">
        <v>5</v>
      </c>
      <c r="J460" s="1">
        <f t="shared" ca="1" si="118"/>
        <v>0</v>
      </c>
      <c r="K460" s="1">
        <f t="shared" ca="1" si="119"/>
        <v>0</v>
      </c>
      <c r="L460" s="13">
        <f t="shared" ca="1" si="120"/>
        <v>65</v>
      </c>
      <c r="M460" s="7">
        <f t="shared" ca="1" si="121"/>
        <v>935</v>
      </c>
      <c r="N460" s="44">
        <f t="shared" ca="1" si="122"/>
        <v>12</v>
      </c>
      <c r="O460" s="94">
        <f t="shared" ca="1" si="123"/>
        <v>3.0624018806381534</v>
      </c>
      <c r="P460" s="94">
        <f t="shared" ca="1" si="124"/>
        <v>30.624018806381528</v>
      </c>
      <c r="Q460" s="94">
        <f t="shared" ca="1" si="125"/>
        <v>30.624018806381528</v>
      </c>
      <c r="R460" s="94">
        <f t="shared" ca="1" si="126"/>
        <v>3.062401880638153</v>
      </c>
      <c r="S460" s="94">
        <f t="shared" ca="1" si="127"/>
        <v>3.0624018806381534</v>
      </c>
      <c r="T460" s="4">
        <f t="shared" ca="1" si="128"/>
        <v>0</v>
      </c>
      <c r="U460" s="46">
        <f t="shared" ca="1" si="129"/>
        <v>1369.7282638229713</v>
      </c>
      <c r="V460" s="4">
        <f t="shared" ca="1" si="130"/>
        <v>0</v>
      </c>
      <c r="W460" s="13">
        <f t="shared" ca="1" si="131"/>
        <v>4174.0824702348518</v>
      </c>
      <c r="X460" s="4">
        <f t="shared" ca="1" si="132"/>
        <v>0</v>
      </c>
      <c r="AE460" s="4"/>
    </row>
    <row r="461" spans="1:31">
      <c r="A461">
        <v>3</v>
      </c>
      <c r="B461">
        <v>1</v>
      </c>
      <c r="C461">
        <f t="shared" si="114"/>
        <v>6</v>
      </c>
      <c r="D461">
        <f t="shared" si="115"/>
        <v>4</v>
      </c>
      <c r="E461">
        <f t="shared" si="116"/>
        <v>3</v>
      </c>
      <c r="F461" s="100">
        <f t="shared" ca="1" si="117"/>
        <v>0</v>
      </c>
      <c r="G461">
        <v>0</v>
      </c>
      <c r="H461">
        <v>0</v>
      </c>
      <c r="I461">
        <v>4</v>
      </c>
      <c r="J461" s="1">
        <f t="shared" ca="1" si="118"/>
        <v>4.802980050000004E-4</v>
      </c>
      <c r="K461" s="1">
        <f t="shared" ca="1" si="119"/>
        <v>0</v>
      </c>
      <c r="L461" s="13">
        <f t="shared" ca="1" si="120"/>
        <v>52</v>
      </c>
      <c r="M461" s="7">
        <f t="shared" ca="1" si="121"/>
        <v>948</v>
      </c>
      <c r="N461" s="44">
        <f t="shared" ca="1" si="122"/>
        <v>12</v>
      </c>
      <c r="O461" s="94">
        <f t="shared" ca="1" si="123"/>
        <v>3.0624018806381534</v>
      </c>
      <c r="P461" s="94">
        <f t="shared" ca="1" si="124"/>
        <v>30.624018806381528</v>
      </c>
      <c r="Q461" s="94">
        <f t="shared" ca="1" si="125"/>
        <v>30.624018806381528</v>
      </c>
      <c r="R461" s="94">
        <f t="shared" ca="1" si="126"/>
        <v>3.062401880638153</v>
      </c>
      <c r="S461" s="94">
        <f t="shared" ca="1" si="127"/>
        <v>3.0624018806381534</v>
      </c>
      <c r="T461" s="4">
        <f t="shared" ca="1" si="128"/>
        <v>0</v>
      </c>
      <c r="U461" s="46">
        <f t="shared" ca="1" si="129"/>
        <v>1356.7282638229713</v>
      </c>
      <c r="V461" s="4">
        <f t="shared" ca="1" si="130"/>
        <v>0</v>
      </c>
      <c r="W461" s="13">
        <f t="shared" ca="1" si="131"/>
        <v>3339.2659761878813</v>
      </c>
      <c r="X461" s="4">
        <f t="shared" ca="1" si="132"/>
        <v>0</v>
      </c>
      <c r="AE461" s="4"/>
    </row>
    <row r="462" spans="1:31">
      <c r="A462">
        <v>3</v>
      </c>
      <c r="B462">
        <v>1</v>
      </c>
      <c r="C462">
        <f t="shared" si="114"/>
        <v>6</v>
      </c>
      <c r="D462">
        <f t="shared" si="115"/>
        <v>4</v>
      </c>
      <c r="E462">
        <f t="shared" si="116"/>
        <v>3</v>
      </c>
      <c r="F462" s="100">
        <f t="shared" ca="1" si="117"/>
        <v>0</v>
      </c>
      <c r="G462">
        <v>0</v>
      </c>
      <c r="H462">
        <v>0</v>
      </c>
      <c r="I462">
        <v>3</v>
      </c>
      <c r="J462" s="1">
        <f t="shared" ca="1" si="118"/>
        <v>1.9405980000000033E-5</v>
      </c>
      <c r="K462" s="1">
        <f t="shared" ca="1" si="119"/>
        <v>0</v>
      </c>
      <c r="L462" s="13">
        <f t="shared" ca="1" si="120"/>
        <v>39</v>
      </c>
      <c r="M462" s="7">
        <f t="shared" ca="1" si="121"/>
        <v>961</v>
      </c>
      <c r="N462" s="44">
        <f t="shared" ca="1" si="122"/>
        <v>13</v>
      </c>
      <c r="O462" s="94">
        <f t="shared" ca="1" si="123"/>
        <v>3.2733204919050856</v>
      </c>
      <c r="P462" s="94">
        <f t="shared" ca="1" si="124"/>
        <v>30.624018806381528</v>
      </c>
      <c r="Q462" s="94">
        <f t="shared" ca="1" si="125"/>
        <v>30.624018806381528</v>
      </c>
      <c r="R462" s="94">
        <f t="shared" ca="1" si="126"/>
        <v>3.062401880638153</v>
      </c>
      <c r="S462" s="94">
        <f t="shared" ca="1" si="127"/>
        <v>3.2733204919050856</v>
      </c>
      <c r="T462" s="4">
        <f t="shared" ca="1" si="128"/>
        <v>0</v>
      </c>
      <c r="U462" s="46">
        <f t="shared" ca="1" si="129"/>
        <v>1420.9771208320408</v>
      </c>
      <c r="V462" s="4">
        <f t="shared" ca="1" si="130"/>
        <v>0</v>
      </c>
      <c r="W462" s="13">
        <f t="shared" ca="1" si="131"/>
        <v>2504.4494821409107</v>
      </c>
      <c r="X462" s="4">
        <f t="shared" ca="1" si="132"/>
        <v>0</v>
      </c>
      <c r="AE462" s="4"/>
    </row>
    <row r="463" spans="1:31">
      <c r="A463">
        <v>3</v>
      </c>
      <c r="B463">
        <v>1</v>
      </c>
      <c r="C463">
        <f t="shared" si="114"/>
        <v>6</v>
      </c>
      <c r="D463">
        <f t="shared" si="115"/>
        <v>4</v>
      </c>
      <c r="E463">
        <f t="shared" si="116"/>
        <v>3</v>
      </c>
      <c r="F463" s="100">
        <f t="shared" ca="1" si="117"/>
        <v>0</v>
      </c>
      <c r="G463">
        <v>0</v>
      </c>
      <c r="H463">
        <v>0</v>
      </c>
      <c r="I463">
        <v>2</v>
      </c>
      <c r="J463" s="1">
        <f t="shared" ca="1" si="118"/>
        <v>2.9403000000000079E-7</v>
      </c>
      <c r="K463" s="1">
        <f t="shared" ca="1" si="119"/>
        <v>0</v>
      </c>
      <c r="L463" s="13">
        <f t="shared" ca="1" si="120"/>
        <v>26</v>
      </c>
      <c r="M463" s="7">
        <f t="shared" ca="1" si="121"/>
        <v>974</v>
      </c>
      <c r="N463" s="44">
        <f t="shared" ca="1" si="122"/>
        <v>13</v>
      </c>
      <c r="O463" s="94">
        <f t="shared" ca="1" si="123"/>
        <v>3.2733204919050856</v>
      </c>
      <c r="P463" s="94">
        <f t="shared" ca="1" si="124"/>
        <v>32.733204919050856</v>
      </c>
      <c r="Q463" s="94">
        <f t="shared" ca="1" si="125"/>
        <v>31.256774640182325</v>
      </c>
      <c r="R463" s="94">
        <f t="shared" ca="1" si="126"/>
        <v>3.1994989779616589</v>
      </c>
      <c r="S463" s="94">
        <f t="shared" ca="1" si="127"/>
        <v>3.2733204919050856</v>
      </c>
      <c r="T463" s="4">
        <f t="shared" ca="1" si="128"/>
        <v>0</v>
      </c>
      <c r="U463" s="46">
        <f t="shared" ca="1" si="129"/>
        <v>1407.9771208320408</v>
      </c>
      <c r="V463" s="4">
        <f t="shared" ca="1" si="130"/>
        <v>0</v>
      </c>
      <c r="W463" s="13">
        <f t="shared" ca="1" si="131"/>
        <v>1669.6329880939406</v>
      </c>
      <c r="X463" s="4">
        <f t="shared" ca="1" si="132"/>
        <v>0</v>
      </c>
      <c r="AE463" s="4"/>
    </row>
    <row r="464" spans="1:31">
      <c r="A464">
        <v>3</v>
      </c>
      <c r="B464">
        <v>1</v>
      </c>
      <c r="C464">
        <f t="shared" si="114"/>
        <v>6</v>
      </c>
      <c r="D464">
        <f t="shared" si="115"/>
        <v>4</v>
      </c>
      <c r="E464">
        <f t="shared" si="116"/>
        <v>3</v>
      </c>
      <c r="F464" s="100">
        <f t="shared" ca="1" si="117"/>
        <v>0</v>
      </c>
      <c r="G464">
        <v>0</v>
      </c>
      <c r="H464">
        <v>0</v>
      </c>
      <c r="I464">
        <v>1</v>
      </c>
      <c r="J464" s="1">
        <f t="shared" ca="1" si="118"/>
        <v>1.9800000000000068E-9</v>
      </c>
      <c r="K464" s="1">
        <f t="shared" ca="1" si="119"/>
        <v>0</v>
      </c>
      <c r="L464" s="13">
        <f t="shared" ca="1" si="120"/>
        <v>13</v>
      </c>
      <c r="M464" s="7">
        <f t="shared" ca="1" si="121"/>
        <v>987</v>
      </c>
      <c r="N464" s="44">
        <f t="shared" ca="1" si="122"/>
        <v>13</v>
      </c>
      <c r="O464" s="94">
        <f t="shared" ca="1" si="123"/>
        <v>3.2733204919050856</v>
      </c>
      <c r="P464" s="94">
        <f t="shared" ca="1" si="124"/>
        <v>32.733204919050856</v>
      </c>
      <c r="Q464" s="94">
        <f t="shared" ca="1" si="125"/>
        <v>32.733204919050856</v>
      </c>
      <c r="R464" s="94">
        <f t="shared" ca="1" si="126"/>
        <v>3.2733204919050856</v>
      </c>
      <c r="S464" s="94">
        <f t="shared" ca="1" si="127"/>
        <v>3.2733204919050856</v>
      </c>
      <c r="T464" s="4">
        <f t="shared" ca="1" si="128"/>
        <v>0</v>
      </c>
      <c r="U464" s="46">
        <f t="shared" ca="1" si="129"/>
        <v>1394.9771208320408</v>
      </c>
      <c r="V464" s="4">
        <f t="shared" ca="1" si="130"/>
        <v>0</v>
      </c>
      <c r="W464" s="13">
        <f t="shared" ca="1" si="131"/>
        <v>834.81649404697032</v>
      </c>
      <c r="X464" s="4">
        <f t="shared" ca="1" si="132"/>
        <v>0</v>
      </c>
      <c r="AE464" s="4"/>
    </row>
    <row r="465" spans="1:31">
      <c r="A465">
        <v>3</v>
      </c>
      <c r="B465">
        <v>1</v>
      </c>
      <c r="C465">
        <f t="shared" si="114"/>
        <v>6</v>
      </c>
      <c r="D465">
        <f t="shared" si="115"/>
        <v>4</v>
      </c>
      <c r="E465">
        <f t="shared" si="116"/>
        <v>3</v>
      </c>
      <c r="F465" s="100">
        <f t="shared" ca="1" si="117"/>
        <v>0</v>
      </c>
      <c r="G465">
        <v>0</v>
      </c>
      <c r="H465">
        <v>0</v>
      </c>
      <c r="I465">
        <v>0</v>
      </c>
      <c r="J465" s="1">
        <f t="shared" ca="1" si="118"/>
        <v>5.0000000000000231E-12</v>
      </c>
      <c r="K465" s="1">
        <f t="shared" ca="1" si="119"/>
        <v>0</v>
      </c>
      <c r="L465" s="13">
        <f t="shared" ca="1" si="120"/>
        <v>0</v>
      </c>
      <c r="M465" s="7">
        <f t="shared" ca="1" si="121"/>
        <v>1000</v>
      </c>
      <c r="N465" s="44">
        <f t="shared" ca="1" si="122"/>
        <v>13</v>
      </c>
      <c r="O465" s="94">
        <f t="shared" ca="1" si="123"/>
        <v>3.2733204919050856</v>
      </c>
      <c r="P465" s="94">
        <f t="shared" ca="1" si="124"/>
        <v>32.733204919050856</v>
      </c>
      <c r="Q465" s="94">
        <f t="shared" ca="1" si="125"/>
        <v>32.733204919050856</v>
      </c>
      <c r="R465" s="94">
        <f t="shared" ca="1" si="126"/>
        <v>3.2733204919050856</v>
      </c>
      <c r="S465" s="94">
        <f t="shared" ca="1" si="127"/>
        <v>3.2733204919050856</v>
      </c>
      <c r="T465" s="4">
        <f t="shared" ca="1" si="128"/>
        <v>0</v>
      </c>
      <c r="U465" s="46">
        <f t="shared" ca="1" si="129"/>
        <v>1381.9771208320408</v>
      </c>
      <c r="V465" s="4">
        <f t="shared" ca="1" si="130"/>
        <v>0</v>
      </c>
      <c r="W465" s="13">
        <f t="shared" ca="1" si="131"/>
        <v>0</v>
      </c>
      <c r="X465" s="4">
        <f t="shared" ca="1" si="132"/>
        <v>0</v>
      </c>
      <c r="AE465" s="4"/>
    </row>
    <row r="466" spans="1:31">
      <c r="A466">
        <v>3</v>
      </c>
      <c r="B466">
        <v>2</v>
      </c>
      <c r="C466">
        <f t="shared" ref="C466:C529" si="133">MIN(8, 1+$B$10+$B$9+A466+B466)</f>
        <v>7</v>
      </c>
      <c r="D466">
        <f t="shared" ref="D466:D529" si="134">C466-(1+$B$10)</f>
        <v>5</v>
      </c>
      <c r="E466">
        <f t="shared" ref="E466:E529" si="135">MIN(A466, C466-(1+$B$10+$B$9))</f>
        <v>3</v>
      </c>
      <c r="F466" s="100">
        <f t="shared" ref="F466:F529" ca="1" si="136">IF(A466=3, Set1QA, IF(A466=2, (1-Set1QA)*Set1TA + (1-Set1QA)*(1-Set1TA)*(1-Set1DA)*Set1AM3*Set1AM33, IF(A466=1, (1-Set1QA)*(1-Set1TA)*Set1DA + (1-Set1QA)*(1-Set1TA)*(1-Set1DA)*Set1AM3*Set1AM32, (1-Set1QA)*(1-Set1TA)*(1-Set1DA)*(1-Set1AM3)))) * IF($B$9+$B$10&gt;0, IF(B466=3, Set1QA, IF(B466=2, (1-Set1QA)*Set1TA, IF(B466=1, (1-Set1QA)*(1-Set1TA)*Set1DA, (1-Set1QA)*(1-Set1TA)*(1-Set1DA)))), IF(B466=0, 1, 0))</f>
        <v>0</v>
      </c>
      <c r="G466">
        <v>1</v>
      </c>
      <c r="H466">
        <v>1</v>
      </c>
      <c r="I466">
        <v>7</v>
      </c>
      <c r="J466" s="1">
        <f t="shared" ref="J466:J529" ca="1" si="137">POWER(95%,G466)*POWER(5%, 1-G466) * IF($B$10=0, IF(H466=0, 1, 0), POWER(Set1WSHitRate,H466)*POWER(1-Set1WSHitRate, 1-H466)) * IF(I466&lt;=D466, POWER(Set1WSHitRate, I466)*POWER(1-Set1WSHitRate, D466-I466)*COMBIN(D466,I466), 0)</f>
        <v>0</v>
      </c>
      <c r="K466" s="1">
        <f t="shared" ref="K466:K529" ca="1" si="138">F466*J466</f>
        <v>0</v>
      </c>
      <c r="L466" s="13">
        <f t="shared" ref="L466:L529" ca="1" si="139">MAX((G466+H466)*Set1WSTP + I466*$B$6, Set1SaveTP)</f>
        <v>215</v>
      </c>
      <c r="M466" s="7">
        <f t="shared" ref="M466:M529" ca="1" si="140">MAX(Set1MinTP-(L466+Set1Regain), 0)</f>
        <v>785</v>
      </c>
      <c r="N466" s="44">
        <f t="shared" ref="N466:N529" ca="1" si="141">CEILING(M466/Set1MeleeTP, 1)</f>
        <v>10</v>
      </c>
      <c r="O466" s="94">
        <f t="shared" ref="O466:O529" ca="1" si="142">VLOOKUP(N466,AvgRoundsSet1,2)</f>
        <v>2.5999636871582168</v>
      </c>
      <c r="P466" s="94">
        <f t="shared" ref="P466:P529" ca="1" si="143">VLOOKUP(CEILING(MAX(M466-1, 0)/Set1MeleeTP, 1), AvgRoundsSet1, 2) + VLOOKUP(CEILING(MAX(M466-2, 0)/Set1MeleeTP, 1), AvgRoundsSet1, 2) + VLOOKUP(CEILING(MAX(M466-3, 0)/Set1MeleeTP, 1), AvgRoundsSet1, 2) + VLOOKUP(CEILING(MAX(M466-4, 0)/Set1MeleeTP, 1), AvgRoundsSet1, 2) + VLOOKUP(CEILING(MAX(M466-5, 0)/Set1MeleeTP, 1), AvgRoundsSet1, 2) + VLOOKUP(CEILING(MAX(M466-6, 0)/Set1MeleeTP, 1), AvgRoundsSet1, 2) + VLOOKUP(CEILING(MAX(M466-7, 0)/Set1MeleeTP, 1), AvgRoundsSet1, 2) + VLOOKUP(CEILING(MAX(M466-8, 0)/Set1MeleeTP, 1), AvgRoundsSet1, 2) + VLOOKUP(CEILING(MAX(M466-9, 0)/Set1MeleeTP, 1), AvgRoundsSet1, 2) + VLOOKUP(CEILING(MAX(M466-10, 0)/Set1MeleeTP, 1), AvgRoundsSet1, 2)</f>
        <v>25.999636871582165</v>
      </c>
      <c r="Q466" s="94">
        <f t="shared" ref="Q466:Q529" ca="1" si="144">VLOOKUP(CEILING(MAX(M466-11, 0)/Set1MeleeTP, 1), AvgRoundsSet1, 2) + VLOOKUP(CEILING(MAX(M466-12, 0)/Set1MeleeTP, 1), AvgRoundsSet1, 2) + VLOOKUP(CEILING(MAX(M466-13, 0)/Set1MeleeTP, 1), AvgRoundsSet1, 2) + VLOOKUP(CEILING(MAX(M466-14, 0)/Set1MeleeTP, 1), AvgRoundsSet1, 2) + VLOOKUP(CEILING(MAX(M466-15, 0)/Set1MeleeTP, 1), AvgRoundsSet1, 2) + VLOOKUP(CEILING(MAX(M466-16, 0)/Set1MeleeTP, 1), AvgRoundsSet1, 2) + VLOOKUP(CEILING(MAX(M466-17, 0)/Set1MeleeTP, 1), AvgRoundsSet1, 2) + VLOOKUP(CEILING(MAX(M466-18, 0)/Set1MeleeTP, 1), AvgRoundsSet1, 2) + VLOOKUP(CEILING(MAX(M466-19, 0)/Set1MeleeTP, 1), AvgRoundsSet1, 2) + VLOOKUP(CEILING(MAX(M466-20, 0)/Set1MeleeTP, 1), AvgRoundsSet1, 2)</f>
        <v>25.999636871582165</v>
      </c>
      <c r="R466" s="94">
        <f t="shared" ref="R466:R529" ca="1" si="145">(P466+Q466)/20</f>
        <v>2.5999636871582164</v>
      </c>
      <c r="S466" s="94">
        <f t="shared" ref="S466:S529" ca="1" si="146">R466*Set1ConserveTP + O466*(1-Set1ConserveTP)</f>
        <v>2.5999636871582168</v>
      </c>
      <c r="T466" s="4">
        <f t="shared" ref="T466:T529" ca="1" si="147">K466*S466</f>
        <v>0</v>
      </c>
      <c r="U466" s="46">
        <f t="shared" ref="U466:U529" ca="1" si="148">MIN(L466+(S466+Set1OverTP)*AvgHitsPerRound1*Set1MeleeTP + Set1Regain + 10.5*Set1ConserveTP, 3000)</f>
        <v>1350.360460436222</v>
      </c>
      <c r="V466" s="4">
        <f t="shared" ref="V466:V529" ca="1" si="149">U466*K466</f>
        <v>0</v>
      </c>
      <c r="W466" s="13">
        <f t="shared" ref="W466:W529" ca="1" si="150">G466*$K$10*((1-$L$10)*$L$14 + $L$10*$M$14*$M$10)*Set1WSDmg + H466*$K$13*((1-$L$13)*$L$15 + $L$13*$M$15*$M$11) + I466*$K$11*((1-$L$11)*$L$14 + $L$11*$M$14*$M$11) + E466*$K$12*$L$12*$M$10</f>
        <v>12313.142557895597</v>
      </c>
      <c r="X466" s="4">
        <f t="shared" ref="X466:X529" ca="1" si="151">K466*W466</f>
        <v>0</v>
      </c>
      <c r="AE466" s="4"/>
    </row>
    <row r="467" spans="1:31">
      <c r="A467">
        <v>3</v>
      </c>
      <c r="B467">
        <v>2</v>
      </c>
      <c r="C467">
        <f t="shared" si="133"/>
        <v>7</v>
      </c>
      <c r="D467">
        <f t="shared" si="134"/>
        <v>5</v>
      </c>
      <c r="E467">
        <f t="shared" si="135"/>
        <v>3</v>
      </c>
      <c r="F467" s="100">
        <f t="shared" ca="1" si="136"/>
        <v>0</v>
      </c>
      <c r="G467">
        <v>1</v>
      </c>
      <c r="H467">
        <v>1</v>
      </c>
      <c r="I467">
        <v>6</v>
      </c>
      <c r="J467" s="1">
        <f t="shared" ca="1" si="137"/>
        <v>0</v>
      </c>
      <c r="K467" s="1">
        <f t="shared" ca="1" si="138"/>
        <v>0</v>
      </c>
      <c r="L467" s="13">
        <f t="shared" ca="1" si="139"/>
        <v>202</v>
      </c>
      <c r="M467" s="7">
        <f t="shared" ca="1" si="140"/>
        <v>798</v>
      </c>
      <c r="N467" s="44">
        <f t="shared" ca="1" si="141"/>
        <v>10</v>
      </c>
      <c r="O467" s="94">
        <f t="shared" ca="1" si="142"/>
        <v>2.5999636871582168</v>
      </c>
      <c r="P467" s="94">
        <f t="shared" ca="1" si="143"/>
        <v>25.999636871582165</v>
      </c>
      <c r="Q467" s="94">
        <f t="shared" ca="1" si="144"/>
        <v>25.999636871582165</v>
      </c>
      <c r="R467" s="94">
        <f t="shared" ca="1" si="145"/>
        <v>2.5999636871582164</v>
      </c>
      <c r="S467" s="94">
        <f t="shared" ca="1" si="146"/>
        <v>2.5999636871582168</v>
      </c>
      <c r="T467" s="4">
        <f t="shared" ca="1" si="147"/>
        <v>0</v>
      </c>
      <c r="U467" s="46">
        <f t="shared" ca="1" si="148"/>
        <v>1337.360460436222</v>
      </c>
      <c r="V467" s="4">
        <f t="shared" ca="1" si="149"/>
        <v>0</v>
      </c>
      <c r="W467" s="13">
        <f t="shared" ca="1" si="150"/>
        <v>11478.326063848626</v>
      </c>
      <c r="X467" s="4">
        <f t="shared" ca="1" si="151"/>
        <v>0</v>
      </c>
      <c r="AE467" s="4"/>
    </row>
    <row r="468" spans="1:31">
      <c r="A468">
        <v>3</v>
      </c>
      <c r="B468">
        <v>2</v>
      </c>
      <c r="C468">
        <f t="shared" si="133"/>
        <v>7</v>
      </c>
      <c r="D468">
        <f t="shared" si="134"/>
        <v>5</v>
      </c>
      <c r="E468">
        <f t="shared" si="135"/>
        <v>3</v>
      </c>
      <c r="F468" s="100">
        <f t="shared" ca="1" si="136"/>
        <v>0</v>
      </c>
      <c r="G468">
        <v>1</v>
      </c>
      <c r="H468">
        <v>1</v>
      </c>
      <c r="I468">
        <v>5</v>
      </c>
      <c r="J468" s="1">
        <f t="shared" ca="1" si="137"/>
        <v>0.89440614193094992</v>
      </c>
      <c r="K468" s="1">
        <f t="shared" ca="1" si="138"/>
        <v>0</v>
      </c>
      <c r="L468" s="13">
        <f t="shared" ca="1" si="139"/>
        <v>189</v>
      </c>
      <c r="M468" s="7">
        <f t="shared" ca="1" si="140"/>
        <v>811</v>
      </c>
      <c r="N468" s="44">
        <f t="shared" ca="1" si="141"/>
        <v>11</v>
      </c>
      <c r="O468" s="94">
        <f t="shared" ca="1" si="142"/>
        <v>2.8397004155948178</v>
      </c>
      <c r="P468" s="94">
        <f t="shared" ca="1" si="143"/>
        <v>28.397004155948181</v>
      </c>
      <c r="Q468" s="94">
        <f t="shared" ca="1" si="144"/>
        <v>25.999636871582165</v>
      </c>
      <c r="R468" s="94">
        <f t="shared" ca="1" si="145"/>
        <v>2.7198320513765175</v>
      </c>
      <c r="S468" s="94">
        <f t="shared" ca="1" si="146"/>
        <v>2.8397004155948178</v>
      </c>
      <c r="T468" s="4">
        <f t="shared" ca="1" si="147"/>
        <v>0</v>
      </c>
      <c r="U468" s="46">
        <f t="shared" ca="1" si="148"/>
        <v>1412.1639413314356</v>
      </c>
      <c r="V468" s="4">
        <f t="shared" ca="1" si="149"/>
        <v>0</v>
      </c>
      <c r="W468" s="13">
        <f t="shared" ca="1" si="150"/>
        <v>10643.509569801656</v>
      </c>
      <c r="X468" s="4">
        <f t="shared" ca="1" si="151"/>
        <v>0</v>
      </c>
      <c r="AE468" s="4"/>
    </row>
    <row r="469" spans="1:31">
      <c r="A469">
        <v>3</v>
      </c>
      <c r="B469">
        <v>2</v>
      </c>
      <c r="C469">
        <f t="shared" si="133"/>
        <v>7</v>
      </c>
      <c r="D469">
        <f t="shared" si="134"/>
        <v>5</v>
      </c>
      <c r="E469">
        <f t="shared" si="135"/>
        <v>3</v>
      </c>
      <c r="F469" s="100">
        <f t="shared" ca="1" si="136"/>
        <v>0</v>
      </c>
      <c r="G469">
        <v>1</v>
      </c>
      <c r="H469">
        <v>1</v>
      </c>
      <c r="I469">
        <v>4</v>
      </c>
      <c r="J469" s="1">
        <f t="shared" ca="1" si="137"/>
        <v>4.5172027370250036E-2</v>
      </c>
      <c r="K469" s="1">
        <f t="shared" ca="1" si="138"/>
        <v>0</v>
      </c>
      <c r="L469" s="13">
        <f t="shared" ca="1" si="139"/>
        <v>176</v>
      </c>
      <c r="M469" s="7">
        <f t="shared" ca="1" si="140"/>
        <v>824</v>
      </c>
      <c r="N469" s="44">
        <f t="shared" ca="1" si="141"/>
        <v>11</v>
      </c>
      <c r="O469" s="94">
        <f t="shared" ca="1" si="142"/>
        <v>2.8397004155948178</v>
      </c>
      <c r="P469" s="94">
        <f t="shared" ca="1" si="143"/>
        <v>28.397004155948181</v>
      </c>
      <c r="Q469" s="94">
        <f t="shared" ca="1" si="144"/>
        <v>28.397004155948181</v>
      </c>
      <c r="R469" s="94">
        <f t="shared" ca="1" si="145"/>
        <v>2.8397004155948182</v>
      </c>
      <c r="S469" s="94">
        <f t="shared" ca="1" si="146"/>
        <v>2.8397004155948178</v>
      </c>
      <c r="T469" s="4">
        <f t="shared" ca="1" si="147"/>
        <v>0</v>
      </c>
      <c r="U469" s="46">
        <f t="shared" ca="1" si="148"/>
        <v>1399.1639413314356</v>
      </c>
      <c r="V469" s="4">
        <f t="shared" ca="1" si="149"/>
        <v>0</v>
      </c>
      <c r="W469" s="13">
        <f t="shared" ca="1" si="150"/>
        <v>9808.693075754687</v>
      </c>
      <c r="X469" s="4">
        <f t="shared" ca="1" si="151"/>
        <v>0</v>
      </c>
      <c r="AE469" s="4"/>
    </row>
    <row r="470" spans="1:31">
      <c r="A470">
        <v>3</v>
      </c>
      <c r="B470">
        <v>2</v>
      </c>
      <c r="C470">
        <f t="shared" si="133"/>
        <v>7</v>
      </c>
      <c r="D470">
        <f t="shared" si="134"/>
        <v>5</v>
      </c>
      <c r="E470">
        <f t="shared" si="135"/>
        <v>3</v>
      </c>
      <c r="F470" s="100">
        <f t="shared" ca="1" si="136"/>
        <v>0</v>
      </c>
      <c r="G470">
        <v>1</v>
      </c>
      <c r="H470">
        <v>1</v>
      </c>
      <c r="I470">
        <v>3</v>
      </c>
      <c r="J470" s="1">
        <f t="shared" ca="1" si="137"/>
        <v>9.1256620950000162E-4</v>
      </c>
      <c r="K470" s="1">
        <f t="shared" ca="1" si="138"/>
        <v>0</v>
      </c>
      <c r="L470" s="13">
        <f t="shared" ca="1" si="139"/>
        <v>163</v>
      </c>
      <c r="M470" s="7">
        <f t="shared" ca="1" si="140"/>
        <v>837</v>
      </c>
      <c r="N470" s="44">
        <f t="shared" ca="1" si="141"/>
        <v>11</v>
      </c>
      <c r="O470" s="94">
        <f t="shared" ca="1" si="142"/>
        <v>2.8397004155948178</v>
      </c>
      <c r="P470" s="94">
        <f t="shared" ca="1" si="143"/>
        <v>28.397004155948181</v>
      </c>
      <c r="Q470" s="94">
        <f t="shared" ca="1" si="144"/>
        <v>28.397004155948181</v>
      </c>
      <c r="R470" s="94">
        <f t="shared" ca="1" si="145"/>
        <v>2.8397004155948182</v>
      </c>
      <c r="S470" s="94">
        <f t="shared" ca="1" si="146"/>
        <v>2.8397004155948178</v>
      </c>
      <c r="T470" s="4">
        <f t="shared" ca="1" si="147"/>
        <v>0</v>
      </c>
      <c r="U470" s="46">
        <f t="shared" ca="1" si="148"/>
        <v>1386.1639413314356</v>
      </c>
      <c r="V470" s="4">
        <f t="shared" ca="1" si="149"/>
        <v>0</v>
      </c>
      <c r="W470" s="13">
        <f t="shared" ca="1" si="150"/>
        <v>8973.8765817077146</v>
      </c>
      <c r="X470" s="4">
        <f t="shared" ca="1" si="151"/>
        <v>0</v>
      </c>
      <c r="AE470" s="4"/>
    </row>
    <row r="471" spans="1:31">
      <c r="A471">
        <v>3</v>
      </c>
      <c r="B471">
        <v>2</v>
      </c>
      <c r="C471">
        <f t="shared" si="133"/>
        <v>7</v>
      </c>
      <c r="D471">
        <f t="shared" si="134"/>
        <v>5</v>
      </c>
      <c r="E471">
        <f t="shared" si="135"/>
        <v>3</v>
      </c>
      <c r="F471" s="100">
        <f t="shared" ca="1" si="136"/>
        <v>0</v>
      </c>
      <c r="G471">
        <v>1</v>
      </c>
      <c r="H471">
        <v>1</v>
      </c>
      <c r="I471">
        <v>2</v>
      </c>
      <c r="J471" s="1">
        <f t="shared" ca="1" si="137"/>
        <v>9.2178405000000246E-6</v>
      </c>
      <c r="K471" s="1">
        <f t="shared" ca="1" si="138"/>
        <v>0</v>
      </c>
      <c r="L471" s="13">
        <f t="shared" ca="1" si="139"/>
        <v>150</v>
      </c>
      <c r="M471" s="7">
        <f t="shared" ca="1" si="140"/>
        <v>850</v>
      </c>
      <c r="N471" s="44">
        <f t="shared" ca="1" si="141"/>
        <v>11</v>
      </c>
      <c r="O471" s="94">
        <f t="shared" ca="1" si="142"/>
        <v>2.8397004155948178</v>
      </c>
      <c r="P471" s="94">
        <f t="shared" ca="1" si="143"/>
        <v>28.397004155948181</v>
      </c>
      <c r="Q471" s="94">
        <f t="shared" ca="1" si="144"/>
        <v>28.397004155948181</v>
      </c>
      <c r="R471" s="94">
        <f t="shared" ca="1" si="145"/>
        <v>2.8397004155948182</v>
      </c>
      <c r="S471" s="94">
        <f t="shared" ca="1" si="146"/>
        <v>2.8397004155948178</v>
      </c>
      <c r="T471" s="4">
        <f t="shared" ca="1" si="147"/>
        <v>0</v>
      </c>
      <c r="U471" s="46">
        <f t="shared" ca="1" si="148"/>
        <v>1373.1639413314356</v>
      </c>
      <c r="V471" s="4">
        <f t="shared" ca="1" si="149"/>
        <v>0</v>
      </c>
      <c r="W471" s="13">
        <f t="shared" ca="1" si="150"/>
        <v>8139.0600876607459</v>
      </c>
      <c r="X471" s="4">
        <f t="shared" ca="1" si="151"/>
        <v>0</v>
      </c>
      <c r="AE471" s="4"/>
    </row>
    <row r="472" spans="1:31">
      <c r="A472">
        <v>3</v>
      </c>
      <c r="B472">
        <v>2</v>
      </c>
      <c r="C472">
        <f t="shared" si="133"/>
        <v>7</v>
      </c>
      <c r="D472">
        <f t="shared" si="134"/>
        <v>5</v>
      </c>
      <c r="E472">
        <f t="shared" si="135"/>
        <v>3</v>
      </c>
      <c r="F472" s="100">
        <f t="shared" ca="1" si="136"/>
        <v>0</v>
      </c>
      <c r="G472">
        <v>1</v>
      </c>
      <c r="H472">
        <v>1</v>
      </c>
      <c r="I472">
        <v>1</v>
      </c>
      <c r="J472" s="1">
        <f t="shared" ca="1" si="137"/>
        <v>4.6554750000000167E-8</v>
      </c>
      <c r="K472" s="1">
        <f t="shared" ca="1" si="138"/>
        <v>0</v>
      </c>
      <c r="L472" s="13">
        <f t="shared" ca="1" si="139"/>
        <v>137</v>
      </c>
      <c r="M472" s="7">
        <f t="shared" ca="1" si="140"/>
        <v>863</v>
      </c>
      <c r="N472" s="44">
        <f t="shared" ca="1" si="141"/>
        <v>11</v>
      </c>
      <c r="O472" s="94">
        <f t="shared" ca="1" si="142"/>
        <v>2.8397004155948178</v>
      </c>
      <c r="P472" s="94">
        <f t="shared" ca="1" si="143"/>
        <v>28.397004155948181</v>
      </c>
      <c r="Q472" s="94">
        <f t="shared" ca="1" si="144"/>
        <v>28.397004155948181</v>
      </c>
      <c r="R472" s="94">
        <f t="shared" ca="1" si="145"/>
        <v>2.8397004155948182</v>
      </c>
      <c r="S472" s="94">
        <f t="shared" ca="1" si="146"/>
        <v>2.8397004155948178</v>
      </c>
      <c r="T472" s="4">
        <f t="shared" ca="1" si="147"/>
        <v>0</v>
      </c>
      <c r="U472" s="46">
        <f t="shared" ca="1" si="148"/>
        <v>1360.1639413314356</v>
      </c>
      <c r="V472" s="4">
        <f t="shared" ca="1" si="149"/>
        <v>0</v>
      </c>
      <c r="W472" s="13">
        <f t="shared" ca="1" si="150"/>
        <v>7304.2435936137754</v>
      </c>
      <c r="X472" s="4">
        <f t="shared" ca="1" si="151"/>
        <v>0</v>
      </c>
      <c r="AE472" s="4"/>
    </row>
    <row r="473" spans="1:31">
      <c r="A473">
        <v>3</v>
      </c>
      <c r="B473">
        <v>2</v>
      </c>
      <c r="C473">
        <f t="shared" si="133"/>
        <v>7</v>
      </c>
      <c r="D473">
        <f t="shared" si="134"/>
        <v>5</v>
      </c>
      <c r="E473">
        <f t="shared" si="135"/>
        <v>3</v>
      </c>
      <c r="F473" s="100">
        <f t="shared" ca="1" si="136"/>
        <v>0</v>
      </c>
      <c r="G473">
        <v>1</v>
      </c>
      <c r="H473">
        <v>1</v>
      </c>
      <c r="I473">
        <v>0</v>
      </c>
      <c r="J473" s="1">
        <f t="shared" ca="1" si="137"/>
        <v>9.4050000000000427E-11</v>
      </c>
      <c r="K473" s="1">
        <f t="shared" ca="1" si="138"/>
        <v>0</v>
      </c>
      <c r="L473" s="13">
        <f t="shared" ca="1" si="139"/>
        <v>124</v>
      </c>
      <c r="M473" s="7">
        <f t="shared" ca="1" si="140"/>
        <v>876</v>
      </c>
      <c r="N473" s="44">
        <f t="shared" ca="1" si="141"/>
        <v>11</v>
      </c>
      <c r="O473" s="94">
        <f t="shared" ca="1" si="142"/>
        <v>2.8397004155948178</v>
      </c>
      <c r="P473" s="94">
        <f t="shared" ca="1" si="143"/>
        <v>28.397004155948181</v>
      </c>
      <c r="Q473" s="94">
        <f t="shared" ca="1" si="144"/>
        <v>28.397004155948181</v>
      </c>
      <c r="R473" s="94">
        <f t="shared" ca="1" si="145"/>
        <v>2.8397004155948182</v>
      </c>
      <c r="S473" s="94">
        <f t="shared" ca="1" si="146"/>
        <v>2.8397004155948178</v>
      </c>
      <c r="T473" s="4">
        <f t="shared" ca="1" si="147"/>
        <v>0</v>
      </c>
      <c r="U473" s="46">
        <f t="shared" ca="1" si="148"/>
        <v>1347.1639413314356</v>
      </c>
      <c r="V473" s="4">
        <f t="shared" ca="1" si="149"/>
        <v>0</v>
      </c>
      <c r="W473" s="13">
        <f t="shared" ca="1" si="150"/>
        <v>6469.4270995668048</v>
      </c>
      <c r="X473" s="4">
        <f t="shared" ca="1" si="151"/>
        <v>0</v>
      </c>
      <c r="AE473" s="4"/>
    </row>
    <row r="474" spans="1:31">
      <c r="A474">
        <v>3</v>
      </c>
      <c r="B474">
        <v>2</v>
      </c>
      <c r="C474">
        <f t="shared" si="133"/>
        <v>7</v>
      </c>
      <c r="D474">
        <f t="shared" si="134"/>
        <v>5</v>
      </c>
      <c r="E474">
        <f t="shared" si="135"/>
        <v>3</v>
      </c>
      <c r="F474" s="100">
        <f t="shared" ca="1" si="136"/>
        <v>0</v>
      </c>
      <c r="G474">
        <v>1</v>
      </c>
      <c r="H474">
        <v>0</v>
      </c>
      <c r="I474">
        <v>7</v>
      </c>
      <c r="J474" s="1">
        <f t="shared" ca="1" si="137"/>
        <v>0</v>
      </c>
      <c r="K474" s="1">
        <f t="shared" ca="1" si="138"/>
        <v>0</v>
      </c>
      <c r="L474" s="13">
        <f t="shared" ca="1" si="139"/>
        <v>153</v>
      </c>
      <c r="M474" s="7">
        <f t="shared" ca="1" si="140"/>
        <v>847</v>
      </c>
      <c r="N474" s="44">
        <f t="shared" ca="1" si="141"/>
        <v>11</v>
      </c>
      <c r="O474" s="94">
        <f t="shared" ca="1" si="142"/>
        <v>2.8397004155948178</v>
      </c>
      <c r="P474" s="94">
        <f t="shared" ca="1" si="143"/>
        <v>28.397004155948181</v>
      </c>
      <c r="Q474" s="94">
        <f t="shared" ca="1" si="144"/>
        <v>28.397004155948181</v>
      </c>
      <c r="R474" s="94">
        <f t="shared" ca="1" si="145"/>
        <v>2.8397004155948182</v>
      </c>
      <c r="S474" s="94">
        <f t="shared" ca="1" si="146"/>
        <v>2.8397004155948178</v>
      </c>
      <c r="T474" s="4">
        <f t="shared" ca="1" si="147"/>
        <v>0</v>
      </c>
      <c r="U474" s="46">
        <f t="shared" ca="1" si="148"/>
        <v>1376.1639413314356</v>
      </c>
      <c r="V474" s="4">
        <f t="shared" ca="1" si="149"/>
        <v>0</v>
      </c>
      <c r="W474" s="13">
        <f t="shared" ca="1" si="150"/>
        <v>11687.430916657584</v>
      </c>
      <c r="X474" s="4">
        <f t="shared" ca="1" si="151"/>
        <v>0</v>
      </c>
      <c r="AE474" s="4"/>
    </row>
    <row r="475" spans="1:31">
      <c r="A475">
        <v>3</v>
      </c>
      <c r="B475">
        <v>2</v>
      </c>
      <c r="C475">
        <f t="shared" si="133"/>
        <v>7</v>
      </c>
      <c r="D475">
        <f t="shared" si="134"/>
        <v>5</v>
      </c>
      <c r="E475">
        <f t="shared" si="135"/>
        <v>3</v>
      </c>
      <c r="F475" s="100">
        <f t="shared" ca="1" si="136"/>
        <v>0</v>
      </c>
      <c r="G475">
        <v>1</v>
      </c>
      <c r="H475">
        <v>0</v>
      </c>
      <c r="I475">
        <v>6</v>
      </c>
      <c r="J475" s="1">
        <f t="shared" ca="1" si="137"/>
        <v>0</v>
      </c>
      <c r="K475" s="1">
        <f t="shared" ca="1" si="138"/>
        <v>0</v>
      </c>
      <c r="L475" s="13">
        <f t="shared" ca="1" si="139"/>
        <v>140</v>
      </c>
      <c r="M475" s="7">
        <f t="shared" ca="1" si="140"/>
        <v>860</v>
      </c>
      <c r="N475" s="44">
        <f t="shared" ca="1" si="141"/>
        <v>11</v>
      </c>
      <c r="O475" s="94">
        <f t="shared" ca="1" si="142"/>
        <v>2.8397004155948178</v>
      </c>
      <c r="P475" s="94">
        <f t="shared" ca="1" si="143"/>
        <v>28.397004155948181</v>
      </c>
      <c r="Q475" s="94">
        <f t="shared" ca="1" si="144"/>
        <v>28.397004155948181</v>
      </c>
      <c r="R475" s="94">
        <f t="shared" ca="1" si="145"/>
        <v>2.8397004155948182</v>
      </c>
      <c r="S475" s="94">
        <f t="shared" ca="1" si="146"/>
        <v>2.8397004155948178</v>
      </c>
      <c r="T475" s="4">
        <f t="shared" ca="1" si="147"/>
        <v>0</v>
      </c>
      <c r="U475" s="46">
        <f t="shared" ca="1" si="148"/>
        <v>1363.1639413314356</v>
      </c>
      <c r="V475" s="4">
        <f t="shared" ca="1" si="149"/>
        <v>0</v>
      </c>
      <c r="W475" s="13">
        <f t="shared" ca="1" si="150"/>
        <v>10852.614422610615</v>
      </c>
      <c r="X475" s="4">
        <f t="shared" ca="1" si="151"/>
        <v>0</v>
      </c>
      <c r="AE475" s="4"/>
    </row>
    <row r="476" spans="1:31">
      <c r="A476">
        <v>3</v>
      </c>
      <c r="B476">
        <v>2</v>
      </c>
      <c r="C476">
        <f t="shared" si="133"/>
        <v>7</v>
      </c>
      <c r="D476">
        <f t="shared" si="134"/>
        <v>5</v>
      </c>
      <c r="E476">
        <f t="shared" si="135"/>
        <v>3</v>
      </c>
      <c r="F476" s="100">
        <f t="shared" ca="1" si="136"/>
        <v>0</v>
      </c>
      <c r="G476">
        <v>1</v>
      </c>
      <c r="H476">
        <v>0</v>
      </c>
      <c r="I476">
        <v>5</v>
      </c>
      <c r="J476" s="1">
        <f t="shared" ca="1" si="137"/>
        <v>9.0344054740500064E-3</v>
      </c>
      <c r="K476" s="1">
        <f t="shared" ca="1" si="138"/>
        <v>0</v>
      </c>
      <c r="L476" s="13">
        <f t="shared" ca="1" si="139"/>
        <v>127</v>
      </c>
      <c r="M476" s="7">
        <f t="shared" ca="1" si="140"/>
        <v>873</v>
      </c>
      <c r="N476" s="44">
        <f t="shared" ca="1" si="141"/>
        <v>11</v>
      </c>
      <c r="O476" s="94">
        <f t="shared" ca="1" si="142"/>
        <v>2.8397004155948178</v>
      </c>
      <c r="P476" s="94">
        <f t="shared" ca="1" si="143"/>
        <v>28.397004155948181</v>
      </c>
      <c r="Q476" s="94">
        <f t="shared" ca="1" si="144"/>
        <v>28.397004155948181</v>
      </c>
      <c r="R476" s="94">
        <f t="shared" ca="1" si="145"/>
        <v>2.8397004155948182</v>
      </c>
      <c r="S476" s="94">
        <f t="shared" ca="1" si="146"/>
        <v>2.8397004155948178</v>
      </c>
      <c r="T476" s="4">
        <f t="shared" ca="1" si="147"/>
        <v>0</v>
      </c>
      <c r="U476" s="46">
        <f t="shared" ca="1" si="148"/>
        <v>1350.1639413314356</v>
      </c>
      <c r="V476" s="4">
        <f t="shared" ca="1" si="149"/>
        <v>0</v>
      </c>
      <c r="W476" s="13">
        <f t="shared" ca="1" si="150"/>
        <v>10017.797928563645</v>
      </c>
      <c r="X476" s="4">
        <f t="shared" ca="1" si="151"/>
        <v>0</v>
      </c>
      <c r="AE476" s="4"/>
    </row>
    <row r="477" spans="1:31">
      <c r="A477">
        <v>3</v>
      </c>
      <c r="B477">
        <v>2</v>
      </c>
      <c r="C477">
        <f t="shared" si="133"/>
        <v>7</v>
      </c>
      <c r="D477">
        <f t="shared" si="134"/>
        <v>5</v>
      </c>
      <c r="E477">
        <f t="shared" si="135"/>
        <v>3</v>
      </c>
      <c r="F477" s="100">
        <f t="shared" ca="1" si="136"/>
        <v>0</v>
      </c>
      <c r="G477">
        <v>1</v>
      </c>
      <c r="H477">
        <v>0</v>
      </c>
      <c r="I477">
        <v>4</v>
      </c>
      <c r="J477" s="1">
        <f t="shared" ca="1" si="137"/>
        <v>4.5628310475000076E-4</v>
      </c>
      <c r="K477" s="1">
        <f t="shared" ca="1" si="138"/>
        <v>0</v>
      </c>
      <c r="L477" s="13">
        <f t="shared" ca="1" si="139"/>
        <v>114</v>
      </c>
      <c r="M477" s="7">
        <f t="shared" ca="1" si="140"/>
        <v>886</v>
      </c>
      <c r="N477" s="44">
        <f t="shared" ca="1" si="141"/>
        <v>12</v>
      </c>
      <c r="O477" s="94">
        <f t="shared" ca="1" si="142"/>
        <v>3.0624018806381534</v>
      </c>
      <c r="P477" s="94">
        <f t="shared" ca="1" si="143"/>
        <v>29.510511481164862</v>
      </c>
      <c r="Q477" s="94">
        <f t="shared" ca="1" si="144"/>
        <v>28.397004155948181</v>
      </c>
      <c r="R477" s="94">
        <f t="shared" ca="1" si="145"/>
        <v>2.8953757818556523</v>
      </c>
      <c r="S477" s="94">
        <f t="shared" ca="1" si="146"/>
        <v>3.0624018806381534</v>
      </c>
      <c r="T477" s="4">
        <f t="shared" ca="1" si="147"/>
        <v>0</v>
      </c>
      <c r="U477" s="46">
        <f t="shared" ca="1" si="148"/>
        <v>1418.7282638229713</v>
      </c>
      <c r="V477" s="4">
        <f t="shared" ca="1" si="149"/>
        <v>0</v>
      </c>
      <c r="W477" s="13">
        <f t="shared" ca="1" si="150"/>
        <v>9182.9814345166742</v>
      </c>
      <c r="X477" s="4">
        <f t="shared" ca="1" si="151"/>
        <v>0</v>
      </c>
      <c r="AE477" s="4"/>
    </row>
    <row r="478" spans="1:31">
      <c r="A478">
        <v>3</v>
      </c>
      <c r="B478">
        <v>2</v>
      </c>
      <c r="C478">
        <f t="shared" si="133"/>
        <v>7</v>
      </c>
      <c r="D478">
        <f t="shared" si="134"/>
        <v>5</v>
      </c>
      <c r="E478">
        <f t="shared" si="135"/>
        <v>3</v>
      </c>
      <c r="F478" s="100">
        <f t="shared" ca="1" si="136"/>
        <v>0</v>
      </c>
      <c r="G478">
        <v>1</v>
      </c>
      <c r="H478">
        <v>0</v>
      </c>
      <c r="I478">
        <v>3</v>
      </c>
      <c r="J478" s="1">
        <f t="shared" ca="1" si="137"/>
        <v>9.2178405000000246E-6</v>
      </c>
      <c r="K478" s="1">
        <f t="shared" ca="1" si="138"/>
        <v>0</v>
      </c>
      <c r="L478" s="13">
        <f t="shared" ca="1" si="139"/>
        <v>101</v>
      </c>
      <c r="M478" s="7">
        <f t="shared" ca="1" si="140"/>
        <v>899</v>
      </c>
      <c r="N478" s="44">
        <f t="shared" ca="1" si="141"/>
        <v>12</v>
      </c>
      <c r="O478" s="94">
        <f t="shared" ca="1" si="142"/>
        <v>3.0624018806381534</v>
      </c>
      <c r="P478" s="94">
        <f t="shared" ca="1" si="143"/>
        <v>30.624018806381528</v>
      </c>
      <c r="Q478" s="94">
        <f t="shared" ca="1" si="144"/>
        <v>30.178615876294863</v>
      </c>
      <c r="R478" s="94">
        <f t="shared" ca="1" si="145"/>
        <v>3.0401317341338197</v>
      </c>
      <c r="S478" s="94">
        <f t="shared" ca="1" si="146"/>
        <v>3.0624018806381534</v>
      </c>
      <c r="T478" s="4">
        <f t="shared" ca="1" si="147"/>
        <v>0</v>
      </c>
      <c r="U478" s="46">
        <f t="shared" ca="1" si="148"/>
        <v>1405.7282638229713</v>
      </c>
      <c r="V478" s="4">
        <f t="shared" ca="1" si="149"/>
        <v>0</v>
      </c>
      <c r="W478" s="13">
        <f t="shared" ca="1" si="150"/>
        <v>8348.1649404697037</v>
      </c>
      <c r="X478" s="4">
        <f t="shared" ca="1" si="151"/>
        <v>0</v>
      </c>
      <c r="AE478" s="4"/>
    </row>
    <row r="479" spans="1:31">
      <c r="A479">
        <v>3</v>
      </c>
      <c r="B479">
        <v>2</v>
      </c>
      <c r="C479">
        <f t="shared" si="133"/>
        <v>7</v>
      </c>
      <c r="D479">
        <f t="shared" si="134"/>
        <v>5</v>
      </c>
      <c r="E479">
        <f t="shared" si="135"/>
        <v>3</v>
      </c>
      <c r="F479" s="100">
        <f t="shared" ca="1" si="136"/>
        <v>0</v>
      </c>
      <c r="G479">
        <v>1</v>
      </c>
      <c r="H479">
        <v>0</v>
      </c>
      <c r="I479">
        <v>2</v>
      </c>
      <c r="J479" s="1">
        <f t="shared" ca="1" si="137"/>
        <v>9.3109500000000335E-8</v>
      </c>
      <c r="K479" s="1">
        <f t="shared" ca="1" si="138"/>
        <v>0</v>
      </c>
      <c r="L479" s="13">
        <f t="shared" ca="1" si="139"/>
        <v>88</v>
      </c>
      <c r="M479" s="7">
        <f t="shared" ca="1" si="140"/>
        <v>912</v>
      </c>
      <c r="N479" s="44">
        <f t="shared" ca="1" si="141"/>
        <v>12</v>
      </c>
      <c r="O479" s="94">
        <f t="shared" ca="1" si="142"/>
        <v>3.0624018806381534</v>
      </c>
      <c r="P479" s="94">
        <f t="shared" ca="1" si="143"/>
        <v>30.624018806381528</v>
      </c>
      <c r="Q479" s="94">
        <f t="shared" ca="1" si="144"/>
        <v>30.624018806381528</v>
      </c>
      <c r="R479" s="94">
        <f t="shared" ca="1" si="145"/>
        <v>3.062401880638153</v>
      </c>
      <c r="S479" s="94">
        <f t="shared" ca="1" si="146"/>
        <v>3.0624018806381534</v>
      </c>
      <c r="T479" s="4">
        <f t="shared" ca="1" si="147"/>
        <v>0</v>
      </c>
      <c r="U479" s="46">
        <f t="shared" ca="1" si="148"/>
        <v>1392.7282638229713</v>
      </c>
      <c r="V479" s="4">
        <f t="shared" ca="1" si="149"/>
        <v>0</v>
      </c>
      <c r="W479" s="13">
        <f t="shared" ca="1" si="150"/>
        <v>7513.3484464227331</v>
      </c>
      <c r="X479" s="4">
        <f t="shared" ca="1" si="151"/>
        <v>0</v>
      </c>
      <c r="AE479" s="4"/>
    </row>
    <row r="480" spans="1:31">
      <c r="A480">
        <v>3</v>
      </c>
      <c r="B480">
        <v>2</v>
      </c>
      <c r="C480">
        <f t="shared" si="133"/>
        <v>7</v>
      </c>
      <c r="D480">
        <f t="shared" si="134"/>
        <v>5</v>
      </c>
      <c r="E480">
        <f t="shared" si="135"/>
        <v>3</v>
      </c>
      <c r="F480" s="100">
        <f t="shared" ca="1" si="136"/>
        <v>0</v>
      </c>
      <c r="G480">
        <v>1</v>
      </c>
      <c r="H480">
        <v>0</v>
      </c>
      <c r="I480">
        <v>1</v>
      </c>
      <c r="J480" s="1">
        <f t="shared" ca="1" si="137"/>
        <v>4.7025000000000207E-10</v>
      </c>
      <c r="K480" s="1">
        <f t="shared" ca="1" si="138"/>
        <v>0</v>
      </c>
      <c r="L480" s="13">
        <f t="shared" ca="1" si="139"/>
        <v>75</v>
      </c>
      <c r="M480" s="7">
        <f t="shared" ca="1" si="140"/>
        <v>925</v>
      </c>
      <c r="N480" s="44">
        <f t="shared" ca="1" si="141"/>
        <v>12</v>
      </c>
      <c r="O480" s="94">
        <f t="shared" ca="1" si="142"/>
        <v>3.0624018806381534</v>
      </c>
      <c r="P480" s="94">
        <f t="shared" ca="1" si="143"/>
        <v>30.624018806381528</v>
      </c>
      <c r="Q480" s="94">
        <f t="shared" ca="1" si="144"/>
        <v>30.624018806381528</v>
      </c>
      <c r="R480" s="94">
        <f t="shared" ca="1" si="145"/>
        <v>3.062401880638153</v>
      </c>
      <c r="S480" s="94">
        <f t="shared" ca="1" si="146"/>
        <v>3.0624018806381534</v>
      </c>
      <c r="T480" s="4">
        <f t="shared" ca="1" si="147"/>
        <v>0</v>
      </c>
      <c r="U480" s="46">
        <f t="shared" ca="1" si="148"/>
        <v>1379.7282638229713</v>
      </c>
      <c r="V480" s="4">
        <f t="shared" ca="1" si="149"/>
        <v>0</v>
      </c>
      <c r="W480" s="13">
        <f t="shared" ca="1" si="150"/>
        <v>6678.5319523757635</v>
      </c>
      <c r="X480" s="4">
        <f t="shared" ca="1" si="151"/>
        <v>0</v>
      </c>
      <c r="AE480" s="4"/>
    </row>
    <row r="481" spans="1:31">
      <c r="A481">
        <v>3</v>
      </c>
      <c r="B481">
        <v>2</v>
      </c>
      <c r="C481">
        <f t="shared" si="133"/>
        <v>7</v>
      </c>
      <c r="D481">
        <f t="shared" si="134"/>
        <v>5</v>
      </c>
      <c r="E481">
        <f t="shared" si="135"/>
        <v>3</v>
      </c>
      <c r="F481" s="100">
        <f t="shared" ca="1" si="136"/>
        <v>0</v>
      </c>
      <c r="G481">
        <v>1</v>
      </c>
      <c r="H481">
        <v>0</v>
      </c>
      <c r="I481">
        <v>0</v>
      </c>
      <c r="J481" s="1">
        <f t="shared" ca="1" si="137"/>
        <v>9.5000000000000524E-13</v>
      </c>
      <c r="K481" s="1">
        <f t="shared" ca="1" si="138"/>
        <v>0</v>
      </c>
      <c r="L481" s="13">
        <f t="shared" ca="1" si="139"/>
        <v>62</v>
      </c>
      <c r="M481" s="7">
        <f t="shared" ca="1" si="140"/>
        <v>938</v>
      </c>
      <c r="N481" s="44">
        <f t="shared" ca="1" si="141"/>
        <v>12</v>
      </c>
      <c r="O481" s="94">
        <f t="shared" ca="1" si="142"/>
        <v>3.0624018806381534</v>
      </c>
      <c r="P481" s="94">
        <f t="shared" ca="1" si="143"/>
        <v>30.624018806381528</v>
      </c>
      <c r="Q481" s="94">
        <f t="shared" ca="1" si="144"/>
        <v>30.624018806381528</v>
      </c>
      <c r="R481" s="94">
        <f t="shared" ca="1" si="145"/>
        <v>3.062401880638153</v>
      </c>
      <c r="S481" s="94">
        <f t="shared" ca="1" si="146"/>
        <v>3.0624018806381534</v>
      </c>
      <c r="T481" s="4">
        <f t="shared" ca="1" si="147"/>
        <v>0</v>
      </c>
      <c r="U481" s="46">
        <f t="shared" ca="1" si="148"/>
        <v>1366.7282638229713</v>
      </c>
      <c r="V481" s="4">
        <f t="shared" ca="1" si="149"/>
        <v>0</v>
      </c>
      <c r="W481" s="13">
        <f t="shared" ca="1" si="150"/>
        <v>5843.7154583287929</v>
      </c>
      <c r="X481" s="4">
        <f t="shared" ca="1" si="151"/>
        <v>0</v>
      </c>
      <c r="AE481" s="4"/>
    </row>
    <row r="482" spans="1:31">
      <c r="A482">
        <v>3</v>
      </c>
      <c r="B482">
        <v>2</v>
      </c>
      <c r="C482">
        <f t="shared" si="133"/>
        <v>7</v>
      </c>
      <c r="D482">
        <f t="shared" si="134"/>
        <v>5</v>
      </c>
      <c r="E482">
        <f t="shared" si="135"/>
        <v>3</v>
      </c>
      <c r="F482" s="100">
        <f t="shared" ca="1" si="136"/>
        <v>0</v>
      </c>
      <c r="G482">
        <v>0</v>
      </c>
      <c r="H482">
        <v>1</v>
      </c>
      <c r="I482">
        <v>7</v>
      </c>
      <c r="J482" s="1">
        <f t="shared" ca="1" si="137"/>
        <v>0</v>
      </c>
      <c r="K482" s="1">
        <f t="shared" ca="1" si="138"/>
        <v>0</v>
      </c>
      <c r="L482" s="13">
        <f t="shared" ca="1" si="139"/>
        <v>153</v>
      </c>
      <c r="M482" s="7">
        <f t="shared" ca="1" si="140"/>
        <v>847</v>
      </c>
      <c r="N482" s="44">
        <f t="shared" ca="1" si="141"/>
        <v>11</v>
      </c>
      <c r="O482" s="94">
        <f t="shared" ca="1" si="142"/>
        <v>2.8397004155948178</v>
      </c>
      <c r="P482" s="94">
        <f t="shared" ca="1" si="143"/>
        <v>28.397004155948181</v>
      </c>
      <c r="Q482" s="94">
        <f t="shared" ca="1" si="144"/>
        <v>28.397004155948181</v>
      </c>
      <c r="R482" s="94">
        <f t="shared" ca="1" si="145"/>
        <v>2.8397004155948182</v>
      </c>
      <c r="S482" s="94">
        <f t="shared" ca="1" si="146"/>
        <v>2.8397004155948178</v>
      </c>
      <c r="T482" s="4">
        <f t="shared" ca="1" si="147"/>
        <v>0</v>
      </c>
      <c r="U482" s="46">
        <f t="shared" ca="1" si="148"/>
        <v>1376.1639413314356</v>
      </c>
      <c r="V482" s="4">
        <f t="shared" ca="1" si="149"/>
        <v>0</v>
      </c>
      <c r="W482" s="13">
        <f t="shared" ca="1" si="150"/>
        <v>6469.4270995668039</v>
      </c>
      <c r="X482" s="4">
        <f t="shared" ca="1" si="151"/>
        <v>0</v>
      </c>
      <c r="AE482" s="4"/>
    </row>
    <row r="483" spans="1:31">
      <c r="A483">
        <v>3</v>
      </c>
      <c r="B483">
        <v>2</v>
      </c>
      <c r="C483">
        <f t="shared" si="133"/>
        <v>7</v>
      </c>
      <c r="D483">
        <f t="shared" si="134"/>
        <v>5</v>
      </c>
      <c r="E483">
        <f t="shared" si="135"/>
        <v>3</v>
      </c>
      <c r="F483" s="100">
        <f t="shared" ca="1" si="136"/>
        <v>0</v>
      </c>
      <c r="G483">
        <v>0</v>
      </c>
      <c r="H483">
        <v>1</v>
      </c>
      <c r="I483">
        <v>6</v>
      </c>
      <c r="J483" s="1">
        <f t="shared" ca="1" si="137"/>
        <v>0</v>
      </c>
      <c r="K483" s="1">
        <f t="shared" ca="1" si="138"/>
        <v>0</v>
      </c>
      <c r="L483" s="13">
        <f t="shared" ca="1" si="139"/>
        <v>140</v>
      </c>
      <c r="M483" s="7">
        <f t="shared" ca="1" si="140"/>
        <v>860</v>
      </c>
      <c r="N483" s="44">
        <f t="shared" ca="1" si="141"/>
        <v>11</v>
      </c>
      <c r="O483" s="94">
        <f t="shared" ca="1" si="142"/>
        <v>2.8397004155948178</v>
      </c>
      <c r="P483" s="94">
        <f t="shared" ca="1" si="143"/>
        <v>28.397004155948181</v>
      </c>
      <c r="Q483" s="94">
        <f t="shared" ca="1" si="144"/>
        <v>28.397004155948181</v>
      </c>
      <c r="R483" s="94">
        <f t="shared" ca="1" si="145"/>
        <v>2.8397004155948182</v>
      </c>
      <c r="S483" s="94">
        <f t="shared" ca="1" si="146"/>
        <v>2.8397004155948178</v>
      </c>
      <c r="T483" s="4">
        <f t="shared" ca="1" si="147"/>
        <v>0</v>
      </c>
      <c r="U483" s="46">
        <f t="shared" ca="1" si="148"/>
        <v>1363.1639413314356</v>
      </c>
      <c r="V483" s="4">
        <f t="shared" ca="1" si="149"/>
        <v>0</v>
      </c>
      <c r="W483" s="13">
        <f t="shared" ca="1" si="150"/>
        <v>5634.6106055198334</v>
      </c>
      <c r="X483" s="4">
        <f t="shared" ca="1" si="151"/>
        <v>0</v>
      </c>
      <c r="AE483" s="4"/>
    </row>
    <row r="484" spans="1:31">
      <c r="A484">
        <v>3</v>
      </c>
      <c r="B484">
        <v>2</v>
      </c>
      <c r="C484">
        <f t="shared" si="133"/>
        <v>7</v>
      </c>
      <c r="D484">
        <f t="shared" si="134"/>
        <v>5</v>
      </c>
      <c r="E484">
        <f t="shared" si="135"/>
        <v>3</v>
      </c>
      <c r="F484" s="100">
        <f t="shared" ca="1" si="136"/>
        <v>0</v>
      </c>
      <c r="G484">
        <v>0</v>
      </c>
      <c r="H484">
        <v>1</v>
      </c>
      <c r="I484">
        <v>5</v>
      </c>
      <c r="J484" s="1">
        <f t="shared" ca="1" si="137"/>
        <v>4.707400747005E-2</v>
      </c>
      <c r="K484" s="1">
        <f t="shared" ca="1" si="138"/>
        <v>0</v>
      </c>
      <c r="L484" s="13">
        <f t="shared" ca="1" si="139"/>
        <v>127</v>
      </c>
      <c r="M484" s="7">
        <f t="shared" ca="1" si="140"/>
        <v>873</v>
      </c>
      <c r="N484" s="44">
        <f t="shared" ca="1" si="141"/>
        <v>11</v>
      </c>
      <c r="O484" s="94">
        <f t="shared" ca="1" si="142"/>
        <v>2.8397004155948178</v>
      </c>
      <c r="P484" s="94">
        <f t="shared" ca="1" si="143"/>
        <v>28.397004155948181</v>
      </c>
      <c r="Q484" s="94">
        <f t="shared" ca="1" si="144"/>
        <v>28.397004155948181</v>
      </c>
      <c r="R484" s="94">
        <f t="shared" ca="1" si="145"/>
        <v>2.8397004155948182</v>
      </c>
      <c r="S484" s="94">
        <f t="shared" ca="1" si="146"/>
        <v>2.8397004155948178</v>
      </c>
      <c r="T484" s="4">
        <f t="shared" ca="1" si="147"/>
        <v>0</v>
      </c>
      <c r="U484" s="46">
        <f t="shared" ca="1" si="148"/>
        <v>1350.1639413314356</v>
      </c>
      <c r="V484" s="4">
        <f t="shared" ca="1" si="149"/>
        <v>0</v>
      </c>
      <c r="W484" s="13">
        <f t="shared" ca="1" si="150"/>
        <v>4799.7941114728637</v>
      </c>
      <c r="X484" s="4">
        <f t="shared" ca="1" si="151"/>
        <v>0</v>
      </c>
      <c r="AE484" s="4"/>
    </row>
    <row r="485" spans="1:31">
      <c r="A485">
        <v>3</v>
      </c>
      <c r="B485">
        <v>2</v>
      </c>
      <c r="C485">
        <f t="shared" si="133"/>
        <v>7</v>
      </c>
      <c r="D485">
        <f t="shared" si="134"/>
        <v>5</v>
      </c>
      <c r="E485">
        <f t="shared" si="135"/>
        <v>3</v>
      </c>
      <c r="F485" s="100">
        <f t="shared" ca="1" si="136"/>
        <v>0</v>
      </c>
      <c r="G485">
        <v>0</v>
      </c>
      <c r="H485">
        <v>1</v>
      </c>
      <c r="I485">
        <v>4</v>
      </c>
      <c r="J485" s="1">
        <f t="shared" ca="1" si="137"/>
        <v>2.377475124750002E-3</v>
      </c>
      <c r="K485" s="1">
        <f t="shared" ca="1" si="138"/>
        <v>0</v>
      </c>
      <c r="L485" s="13">
        <f t="shared" ca="1" si="139"/>
        <v>114</v>
      </c>
      <c r="M485" s="7">
        <f t="shared" ca="1" si="140"/>
        <v>886</v>
      </c>
      <c r="N485" s="44">
        <f t="shared" ca="1" si="141"/>
        <v>12</v>
      </c>
      <c r="O485" s="94">
        <f t="shared" ca="1" si="142"/>
        <v>3.0624018806381534</v>
      </c>
      <c r="P485" s="94">
        <f t="shared" ca="1" si="143"/>
        <v>29.510511481164862</v>
      </c>
      <c r="Q485" s="94">
        <f t="shared" ca="1" si="144"/>
        <v>28.397004155948181</v>
      </c>
      <c r="R485" s="94">
        <f t="shared" ca="1" si="145"/>
        <v>2.8953757818556523</v>
      </c>
      <c r="S485" s="94">
        <f t="shared" ca="1" si="146"/>
        <v>3.0624018806381534</v>
      </c>
      <c r="T485" s="4">
        <f t="shared" ca="1" si="147"/>
        <v>0</v>
      </c>
      <c r="U485" s="46">
        <f t="shared" ca="1" si="148"/>
        <v>1418.7282638229713</v>
      </c>
      <c r="V485" s="4">
        <f t="shared" ca="1" si="149"/>
        <v>0</v>
      </c>
      <c r="W485" s="13">
        <f t="shared" ca="1" si="150"/>
        <v>3964.9776174258936</v>
      </c>
      <c r="X485" s="4">
        <f t="shared" ca="1" si="151"/>
        <v>0</v>
      </c>
      <c r="AE485" s="4"/>
    </row>
    <row r="486" spans="1:31">
      <c r="A486">
        <v>3</v>
      </c>
      <c r="B486">
        <v>2</v>
      </c>
      <c r="C486">
        <f t="shared" si="133"/>
        <v>7</v>
      </c>
      <c r="D486">
        <f t="shared" si="134"/>
        <v>5</v>
      </c>
      <c r="E486">
        <f t="shared" si="135"/>
        <v>3</v>
      </c>
      <c r="F486" s="100">
        <f t="shared" ca="1" si="136"/>
        <v>0</v>
      </c>
      <c r="G486">
        <v>0</v>
      </c>
      <c r="H486">
        <v>1</v>
      </c>
      <c r="I486">
        <v>3</v>
      </c>
      <c r="J486" s="1">
        <f t="shared" ca="1" si="137"/>
        <v>4.8029800500000085E-5</v>
      </c>
      <c r="K486" s="1">
        <f t="shared" ca="1" si="138"/>
        <v>0</v>
      </c>
      <c r="L486" s="13">
        <f t="shared" ca="1" si="139"/>
        <v>101</v>
      </c>
      <c r="M486" s="7">
        <f t="shared" ca="1" si="140"/>
        <v>899</v>
      </c>
      <c r="N486" s="44">
        <f t="shared" ca="1" si="141"/>
        <v>12</v>
      </c>
      <c r="O486" s="94">
        <f t="shared" ca="1" si="142"/>
        <v>3.0624018806381534</v>
      </c>
      <c r="P486" s="94">
        <f t="shared" ca="1" si="143"/>
        <v>30.624018806381528</v>
      </c>
      <c r="Q486" s="94">
        <f t="shared" ca="1" si="144"/>
        <v>30.178615876294863</v>
      </c>
      <c r="R486" s="94">
        <f t="shared" ca="1" si="145"/>
        <v>3.0401317341338197</v>
      </c>
      <c r="S486" s="94">
        <f t="shared" ca="1" si="146"/>
        <v>3.0624018806381534</v>
      </c>
      <c r="T486" s="4">
        <f t="shared" ca="1" si="147"/>
        <v>0</v>
      </c>
      <c r="U486" s="46">
        <f t="shared" ca="1" si="148"/>
        <v>1405.7282638229713</v>
      </c>
      <c r="V486" s="4">
        <f t="shared" ca="1" si="149"/>
        <v>0</v>
      </c>
      <c r="W486" s="13">
        <f t="shared" ca="1" si="150"/>
        <v>3130.1611233789231</v>
      </c>
      <c r="X486" s="4">
        <f t="shared" ca="1" si="151"/>
        <v>0</v>
      </c>
      <c r="AE486" s="4"/>
    </row>
    <row r="487" spans="1:31">
      <c r="A487">
        <v>3</v>
      </c>
      <c r="B487">
        <v>2</v>
      </c>
      <c r="C487">
        <f t="shared" si="133"/>
        <v>7</v>
      </c>
      <c r="D487">
        <f t="shared" si="134"/>
        <v>5</v>
      </c>
      <c r="E487">
        <f t="shared" si="135"/>
        <v>3</v>
      </c>
      <c r="F487" s="100">
        <f t="shared" ca="1" si="136"/>
        <v>0</v>
      </c>
      <c r="G487">
        <v>0</v>
      </c>
      <c r="H487">
        <v>1</v>
      </c>
      <c r="I487">
        <v>2</v>
      </c>
      <c r="J487" s="1">
        <f t="shared" ca="1" si="137"/>
        <v>4.8514950000000139E-7</v>
      </c>
      <c r="K487" s="1">
        <f t="shared" ca="1" si="138"/>
        <v>0</v>
      </c>
      <c r="L487" s="13">
        <f t="shared" ca="1" si="139"/>
        <v>88</v>
      </c>
      <c r="M487" s="7">
        <f t="shared" ca="1" si="140"/>
        <v>912</v>
      </c>
      <c r="N487" s="44">
        <f t="shared" ca="1" si="141"/>
        <v>12</v>
      </c>
      <c r="O487" s="94">
        <f t="shared" ca="1" si="142"/>
        <v>3.0624018806381534</v>
      </c>
      <c r="P487" s="94">
        <f t="shared" ca="1" si="143"/>
        <v>30.624018806381528</v>
      </c>
      <c r="Q487" s="94">
        <f t="shared" ca="1" si="144"/>
        <v>30.624018806381528</v>
      </c>
      <c r="R487" s="94">
        <f t="shared" ca="1" si="145"/>
        <v>3.062401880638153</v>
      </c>
      <c r="S487" s="94">
        <f t="shared" ca="1" si="146"/>
        <v>3.0624018806381534</v>
      </c>
      <c r="T487" s="4">
        <f t="shared" ca="1" si="147"/>
        <v>0</v>
      </c>
      <c r="U487" s="46">
        <f t="shared" ca="1" si="148"/>
        <v>1392.7282638229713</v>
      </c>
      <c r="V487" s="4">
        <f t="shared" ca="1" si="149"/>
        <v>0</v>
      </c>
      <c r="W487" s="13">
        <f t="shared" ca="1" si="150"/>
        <v>2295.344629331953</v>
      </c>
      <c r="X487" s="4">
        <f t="shared" ca="1" si="151"/>
        <v>0</v>
      </c>
      <c r="AE487" s="4"/>
    </row>
    <row r="488" spans="1:31">
      <c r="A488">
        <v>3</v>
      </c>
      <c r="B488">
        <v>2</v>
      </c>
      <c r="C488">
        <f t="shared" si="133"/>
        <v>7</v>
      </c>
      <c r="D488">
        <f t="shared" si="134"/>
        <v>5</v>
      </c>
      <c r="E488">
        <f t="shared" si="135"/>
        <v>3</v>
      </c>
      <c r="F488" s="100">
        <f t="shared" ca="1" si="136"/>
        <v>0</v>
      </c>
      <c r="G488">
        <v>0</v>
      </c>
      <c r="H488">
        <v>1</v>
      </c>
      <c r="I488">
        <v>1</v>
      </c>
      <c r="J488" s="1">
        <f t="shared" ca="1" si="137"/>
        <v>2.450250000000009E-9</v>
      </c>
      <c r="K488" s="1">
        <f t="shared" ca="1" si="138"/>
        <v>0</v>
      </c>
      <c r="L488" s="13">
        <f t="shared" ca="1" si="139"/>
        <v>75</v>
      </c>
      <c r="M488" s="7">
        <f t="shared" ca="1" si="140"/>
        <v>925</v>
      </c>
      <c r="N488" s="44">
        <f t="shared" ca="1" si="141"/>
        <v>12</v>
      </c>
      <c r="O488" s="94">
        <f t="shared" ca="1" si="142"/>
        <v>3.0624018806381534</v>
      </c>
      <c r="P488" s="94">
        <f t="shared" ca="1" si="143"/>
        <v>30.624018806381528</v>
      </c>
      <c r="Q488" s="94">
        <f t="shared" ca="1" si="144"/>
        <v>30.624018806381528</v>
      </c>
      <c r="R488" s="94">
        <f t="shared" ca="1" si="145"/>
        <v>3.062401880638153</v>
      </c>
      <c r="S488" s="94">
        <f t="shared" ca="1" si="146"/>
        <v>3.0624018806381534</v>
      </c>
      <c r="T488" s="4">
        <f t="shared" ca="1" si="147"/>
        <v>0</v>
      </c>
      <c r="U488" s="46">
        <f t="shared" ca="1" si="148"/>
        <v>1379.7282638229713</v>
      </c>
      <c r="V488" s="4">
        <f t="shared" ca="1" si="149"/>
        <v>0</v>
      </c>
      <c r="W488" s="13">
        <f t="shared" ca="1" si="150"/>
        <v>1460.5281352849825</v>
      </c>
      <c r="X488" s="4">
        <f t="shared" ca="1" si="151"/>
        <v>0</v>
      </c>
      <c r="AE488" s="4"/>
    </row>
    <row r="489" spans="1:31">
      <c r="A489">
        <v>3</v>
      </c>
      <c r="B489">
        <v>2</v>
      </c>
      <c r="C489">
        <f t="shared" si="133"/>
        <v>7</v>
      </c>
      <c r="D489">
        <f t="shared" si="134"/>
        <v>5</v>
      </c>
      <c r="E489">
        <f t="shared" si="135"/>
        <v>3</v>
      </c>
      <c r="F489" s="100">
        <f t="shared" ca="1" si="136"/>
        <v>0</v>
      </c>
      <c r="G489">
        <v>0</v>
      </c>
      <c r="H489">
        <v>1</v>
      </c>
      <c r="I489">
        <v>0</v>
      </c>
      <c r="J489" s="1">
        <f t="shared" ca="1" si="137"/>
        <v>4.9500000000000231E-12</v>
      </c>
      <c r="K489" s="1">
        <f t="shared" ca="1" si="138"/>
        <v>0</v>
      </c>
      <c r="L489" s="13">
        <f t="shared" ca="1" si="139"/>
        <v>62</v>
      </c>
      <c r="M489" s="7">
        <f t="shared" ca="1" si="140"/>
        <v>938</v>
      </c>
      <c r="N489" s="44">
        <f t="shared" ca="1" si="141"/>
        <v>12</v>
      </c>
      <c r="O489" s="94">
        <f t="shared" ca="1" si="142"/>
        <v>3.0624018806381534</v>
      </c>
      <c r="P489" s="94">
        <f t="shared" ca="1" si="143"/>
        <v>30.624018806381528</v>
      </c>
      <c r="Q489" s="94">
        <f t="shared" ca="1" si="144"/>
        <v>30.624018806381528</v>
      </c>
      <c r="R489" s="94">
        <f t="shared" ca="1" si="145"/>
        <v>3.062401880638153</v>
      </c>
      <c r="S489" s="94">
        <f t="shared" ca="1" si="146"/>
        <v>3.0624018806381534</v>
      </c>
      <c r="T489" s="4">
        <f t="shared" ca="1" si="147"/>
        <v>0</v>
      </c>
      <c r="U489" s="46">
        <f t="shared" ca="1" si="148"/>
        <v>1366.7282638229713</v>
      </c>
      <c r="V489" s="4">
        <f t="shared" ca="1" si="149"/>
        <v>0</v>
      </c>
      <c r="W489" s="13">
        <f t="shared" ca="1" si="150"/>
        <v>625.71164123801225</v>
      </c>
      <c r="X489" s="4">
        <f t="shared" ca="1" si="151"/>
        <v>0</v>
      </c>
      <c r="AE489" s="4"/>
    </row>
    <row r="490" spans="1:31">
      <c r="A490">
        <v>3</v>
      </c>
      <c r="B490">
        <v>2</v>
      </c>
      <c r="C490">
        <f t="shared" si="133"/>
        <v>7</v>
      </c>
      <c r="D490">
        <f t="shared" si="134"/>
        <v>5</v>
      </c>
      <c r="E490">
        <f t="shared" si="135"/>
        <v>3</v>
      </c>
      <c r="F490" s="100">
        <f t="shared" ca="1" si="136"/>
        <v>0</v>
      </c>
      <c r="G490">
        <v>0</v>
      </c>
      <c r="H490">
        <v>0</v>
      </c>
      <c r="I490">
        <v>7</v>
      </c>
      <c r="J490" s="1">
        <f t="shared" ca="1" si="137"/>
        <v>0</v>
      </c>
      <c r="K490" s="1">
        <f t="shared" ca="1" si="138"/>
        <v>0</v>
      </c>
      <c r="L490" s="13">
        <f t="shared" ca="1" si="139"/>
        <v>91</v>
      </c>
      <c r="M490" s="7">
        <f t="shared" ca="1" si="140"/>
        <v>909</v>
      </c>
      <c r="N490" s="44">
        <f t="shared" ca="1" si="141"/>
        <v>12</v>
      </c>
      <c r="O490" s="94">
        <f t="shared" ca="1" si="142"/>
        <v>3.0624018806381534</v>
      </c>
      <c r="P490" s="94">
        <f t="shared" ca="1" si="143"/>
        <v>30.624018806381528</v>
      </c>
      <c r="Q490" s="94">
        <f t="shared" ca="1" si="144"/>
        <v>30.624018806381528</v>
      </c>
      <c r="R490" s="94">
        <f t="shared" ca="1" si="145"/>
        <v>3.062401880638153</v>
      </c>
      <c r="S490" s="94">
        <f t="shared" ca="1" si="146"/>
        <v>3.0624018806381534</v>
      </c>
      <c r="T490" s="4">
        <f t="shared" ca="1" si="147"/>
        <v>0</v>
      </c>
      <c r="U490" s="46">
        <f t="shared" ca="1" si="148"/>
        <v>1395.7282638229713</v>
      </c>
      <c r="V490" s="4">
        <f t="shared" ca="1" si="149"/>
        <v>0</v>
      </c>
      <c r="W490" s="13">
        <f t="shared" ca="1" si="150"/>
        <v>5843.715458328792</v>
      </c>
      <c r="X490" s="4">
        <f t="shared" ca="1" si="151"/>
        <v>0</v>
      </c>
      <c r="AE490" s="4"/>
    </row>
    <row r="491" spans="1:31">
      <c r="A491">
        <v>3</v>
      </c>
      <c r="B491">
        <v>2</v>
      </c>
      <c r="C491">
        <f t="shared" si="133"/>
        <v>7</v>
      </c>
      <c r="D491">
        <f t="shared" si="134"/>
        <v>5</v>
      </c>
      <c r="E491">
        <f t="shared" si="135"/>
        <v>3</v>
      </c>
      <c r="F491" s="100">
        <f t="shared" ca="1" si="136"/>
        <v>0</v>
      </c>
      <c r="G491">
        <v>0</v>
      </c>
      <c r="H491">
        <v>0</v>
      </c>
      <c r="I491">
        <v>6</v>
      </c>
      <c r="J491" s="1">
        <f t="shared" ca="1" si="137"/>
        <v>0</v>
      </c>
      <c r="K491" s="1">
        <f t="shared" ca="1" si="138"/>
        <v>0</v>
      </c>
      <c r="L491" s="13">
        <f t="shared" ca="1" si="139"/>
        <v>78</v>
      </c>
      <c r="M491" s="7">
        <f t="shared" ca="1" si="140"/>
        <v>922</v>
      </c>
      <c r="N491" s="44">
        <f t="shared" ca="1" si="141"/>
        <v>12</v>
      </c>
      <c r="O491" s="94">
        <f t="shared" ca="1" si="142"/>
        <v>3.0624018806381534</v>
      </c>
      <c r="P491" s="94">
        <f t="shared" ca="1" si="143"/>
        <v>30.624018806381528</v>
      </c>
      <c r="Q491" s="94">
        <f t="shared" ca="1" si="144"/>
        <v>30.624018806381528</v>
      </c>
      <c r="R491" s="94">
        <f t="shared" ca="1" si="145"/>
        <v>3.062401880638153</v>
      </c>
      <c r="S491" s="94">
        <f t="shared" ca="1" si="146"/>
        <v>3.0624018806381534</v>
      </c>
      <c r="T491" s="4">
        <f t="shared" ca="1" si="147"/>
        <v>0</v>
      </c>
      <c r="U491" s="46">
        <f t="shared" ca="1" si="148"/>
        <v>1382.7282638229713</v>
      </c>
      <c r="V491" s="4">
        <f t="shared" ca="1" si="149"/>
        <v>0</v>
      </c>
      <c r="W491" s="13">
        <f t="shared" ca="1" si="150"/>
        <v>5008.8989642818215</v>
      </c>
      <c r="X491" s="4">
        <f t="shared" ca="1" si="151"/>
        <v>0</v>
      </c>
      <c r="AE491" s="4"/>
    </row>
    <row r="492" spans="1:31">
      <c r="A492">
        <v>3</v>
      </c>
      <c r="B492">
        <v>2</v>
      </c>
      <c r="C492">
        <f t="shared" si="133"/>
        <v>7</v>
      </c>
      <c r="D492">
        <f t="shared" si="134"/>
        <v>5</v>
      </c>
      <c r="E492">
        <f t="shared" si="135"/>
        <v>3</v>
      </c>
      <c r="F492" s="100">
        <f t="shared" ca="1" si="136"/>
        <v>0</v>
      </c>
      <c r="G492">
        <v>0</v>
      </c>
      <c r="H492">
        <v>0</v>
      </c>
      <c r="I492">
        <v>5</v>
      </c>
      <c r="J492" s="1">
        <f t="shared" ca="1" si="137"/>
        <v>4.7549502495000039E-4</v>
      </c>
      <c r="K492" s="1">
        <f t="shared" ca="1" si="138"/>
        <v>0</v>
      </c>
      <c r="L492" s="13">
        <f t="shared" ca="1" si="139"/>
        <v>65</v>
      </c>
      <c r="M492" s="7">
        <f t="shared" ca="1" si="140"/>
        <v>935</v>
      </c>
      <c r="N492" s="44">
        <f t="shared" ca="1" si="141"/>
        <v>12</v>
      </c>
      <c r="O492" s="94">
        <f t="shared" ca="1" si="142"/>
        <v>3.0624018806381534</v>
      </c>
      <c r="P492" s="94">
        <f t="shared" ca="1" si="143"/>
        <v>30.624018806381528</v>
      </c>
      <c r="Q492" s="94">
        <f t="shared" ca="1" si="144"/>
        <v>30.624018806381528</v>
      </c>
      <c r="R492" s="94">
        <f t="shared" ca="1" si="145"/>
        <v>3.062401880638153</v>
      </c>
      <c r="S492" s="94">
        <f t="shared" ca="1" si="146"/>
        <v>3.0624018806381534</v>
      </c>
      <c r="T492" s="4">
        <f t="shared" ca="1" si="147"/>
        <v>0</v>
      </c>
      <c r="U492" s="46">
        <f t="shared" ca="1" si="148"/>
        <v>1369.7282638229713</v>
      </c>
      <c r="V492" s="4">
        <f t="shared" ca="1" si="149"/>
        <v>0</v>
      </c>
      <c r="W492" s="13">
        <f t="shared" ca="1" si="150"/>
        <v>4174.0824702348518</v>
      </c>
      <c r="X492" s="4">
        <f t="shared" ca="1" si="151"/>
        <v>0</v>
      </c>
      <c r="AE492" s="4"/>
    </row>
    <row r="493" spans="1:31">
      <c r="A493">
        <v>3</v>
      </c>
      <c r="B493">
        <v>2</v>
      </c>
      <c r="C493">
        <f t="shared" si="133"/>
        <v>7</v>
      </c>
      <c r="D493">
        <f t="shared" si="134"/>
        <v>5</v>
      </c>
      <c r="E493">
        <f t="shared" si="135"/>
        <v>3</v>
      </c>
      <c r="F493" s="100">
        <f t="shared" ca="1" si="136"/>
        <v>0</v>
      </c>
      <c r="G493">
        <v>0</v>
      </c>
      <c r="H493">
        <v>0</v>
      </c>
      <c r="I493">
        <v>4</v>
      </c>
      <c r="J493" s="1">
        <f t="shared" ca="1" si="137"/>
        <v>2.4014900250000042E-5</v>
      </c>
      <c r="K493" s="1">
        <f t="shared" ca="1" si="138"/>
        <v>0</v>
      </c>
      <c r="L493" s="13">
        <f t="shared" ca="1" si="139"/>
        <v>52</v>
      </c>
      <c r="M493" s="7">
        <f t="shared" ca="1" si="140"/>
        <v>948</v>
      </c>
      <c r="N493" s="44">
        <f t="shared" ca="1" si="141"/>
        <v>12</v>
      </c>
      <c r="O493" s="94">
        <f t="shared" ca="1" si="142"/>
        <v>3.0624018806381534</v>
      </c>
      <c r="P493" s="94">
        <f t="shared" ca="1" si="143"/>
        <v>30.624018806381528</v>
      </c>
      <c r="Q493" s="94">
        <f t="shared" ca="1" si="144"/>
        <v>30.624018806381528</v>
      </c>
      <c r="R493" s="94">
        <f t="shared" ca="1" si="145"/>
        <v>3.062401880638153</v>
      </c>
      <c r="S493" s="94">
        <f t="shared" ca="1" si="146"/>
        <v>3.0624018806381534</v>
      </c>
      <c r="T493" s="4">
        <f t="shared" ca="1" si="147"/>
        <v>0</v>
      </c>
      <c r="U493" s="46">
        <f t="shared" ca="1" si="148"/>
        <v>1356.7282638229713</v>
      </c>
      <c r="V493" s="4">
        <f t="shared" ca="1" si="149"/>
        <v>0</v>
      </c>
      <c r="W493" s="13">
        <f t="shared" ca="1" si="150"/>
        <v>3339.2659761878813</v>
      </c>
      <c r="X493" s="4">
        <f t="shared" ca="1" si="151"/>
        <v>0</v>
      </c>
      <c r="AE493" s="4"/>
    </row>
    <row r="494" spans="1:31">
      <c r="A494">
        <v>3</v>
      </c>
      <c r="B494">
        <v>2</v>
      </c>
      <c r="C494">
        <f t="shared" si="133"/>
        <v>7</v>
      </c>
      <c r="D494">
        <f t="shared" si="134"/>
        <v>5</v>
      </c>
      <c r="E494">
        <f t="shared" si="135"/>
        <v>3</v>
      </c>
      <c r="F494" s="100">
        <f t="shared" ca="1" si="136"/>
        <v>0</v>
      </c>
      <c r="G494">
        <v>0</v>
      </c>
      <c r="H494">
        <v>0</v>
      </c>
      <c r="I494">
        <v>3</v>
      </c>
      <c r="J494" s="1">
        <f t="shared" ca="1" si="137"/>
        <v>4.8514950000000128E-7</v>
      </c>
      <c r="K494" s="1">
        <f t="shared" ca="1" si="138"/>
        <v>0</v>
      </c>
      <c r="L494" s="13">
        <f t="shared" ca="1" si="139"/>
        <v>39</v>
      </c>
      <c r="M494" s="7">
        <f t="shared" ca="1" si="140"/>
        <v>961</v>
      </c>
      <c r="N494" s="44">
        <f t="shared" ca="1" si="141"/>
        <v>13</v>
      </c>
      <c r="O494" s="94">
        <f t="shared" ca="1" si="142"/>
        <v>3.2733204919050856</v>
      </c>
      <c r="P494" s="94">
        <f t="shared" ca="1" si="143"/>
        <v>30.624018806381528</v>
      </c>
      <c r="Q494" s="94">
        <f t="shared" ca="1" si="144"/>
        <v>30.624018806381528</v>
      </c>
      <c r="R494" s="94">
        <f t="shared" ca="1" si="145"/>
        <v>3.062401880638153</v>
      </c>
      <c r="S494" s="94">
        <f t="shared" ca="1" si="146"/>
        <v>3.2733204919050856</v>
      </c>
      <c r="T494" s="4">
        <f t="shared" ca="1" si="147"/>
        <v>0</v>
      </c>
      <c r="U494" s="46">
        <f t="shared" ca="1" si="148"/>
        <v>1420.9771208320408</v>
      </c>
      <c r="V494" s="4">
        <f t="shared" ca="1" si="149"/>
        <v>0</v>
      </c>
      <c r="W494" s="13">
        <f t="shared" ca="1" si="150"/>
        <v>2504.4494821409107</v>
      </c>
      <c r="X494" s="4">
        <f t="shared" ca="1" si="151"/>
        <v>0</v>
      </c>
      <c r="AE494" s="4"/>
    </row>
    <row r="495" spans="1:31">
      <c r="A495">
        <v>3</v>
      </c>
      <c r="B495">
        <v>2</v>
      </c>
      <c r="C495">
        <f t="shared" si="133"/>
        <v>7</v>
      </c>
      <c r="D495">
        <f t="shared" si="134"/>
        <v>5</v>
      </c>
      <c r="E495">
        <f t="shared" si="135"/>
        <v>3</v>
      </c>
      <c r="F495" s="100">
        <f t="shared" ca="1" si="136"/>
        <v>0</v>
      </c>
      <c r="G495">
        <v>0</v>
      </c>
      <c r="H495">
        <v>0</v>
      </c>
      <c r="I495">
        <v>2</v>
      </c>
      <c r="J495" s="1">
        <f t="shared" ca="1" si="137"/>
        <v>4.900500000000018E-9</v>
      </c>
      <c r="K495" s="1">
        <f t="shared" ca="1" si="138"/>
        <v>0</v>
      </c>
      <c r="L495" s="13">
        <f t="shared" ca="1" si="139"/>
        <v>26</v>
      </c>
      <c r="M495" s="7">
        <f t="shared" ca="1" si="140"/>
        <v>974</v>
      </c>
      <c r="N495" s="44">
        <f t="shared" ca="1" si="141"/>
        <v>13</v>
      </c>
      <c r="O495" s="94">
        <f t="shared" ca="1" si="142"/>
        <v>3.2733204919050856</v>
      </c>
      <c r="P495" s="94">
        <f t="shared" ca="1" si="143"/>
        <v>32.733204919050856</v>
      </c>
      <c r="Q495" s="94">
        <f t="shared" ca="1" si="144"/>
        <v>31.256774640182325</v>
      </c>
      <c r="R495" s="94">
        <f t="shared" ca="1" si="145"/>
        <v>3.1994989779616589</v>
      </c>
      <c r="S495" s="94">
        <f t="shared" ca="1" si="146"/>
        <v>3.2733204919050856</v>
      </c>
      <c r="T495" s="4">
        <f t="shared" ca="1" si="147"/>
        <v>0</v>
      </c>
      <c r="U495" s="46">
        <f t="shared" ca="1" si="148"/>
        <v>1407.9771208320408</v>
      </c>
      <c r="V495" s="4">
        <f t="shared" ca="1" si="149"/>
        <v>0</v>
      </c>
      <c r="W495" s="13">
        <f t="shared" ca="1" si="150"/>
        <v>1669.6329880939406</v>
      </c>
      <c r="X495" s="4">
        <f t="shared" ca="1" si="151"/>
        <v>0</v>
      </c>
      <c r="AE495" s="4"/>
    </row>
    <row r="496" spans="1:31">
      <c r="A496">
        <v>3</v>
      </c>
      <c r="B496">
        <v>2</v>
      </c>
      <c r="C496">
        <f t="shared" si="133"/>
        <v>7</v>
      </c>
      <c r="D496">
        <f t="shared" si="134"/>
        <v>5</v>
      </c>
      <c r="E496">
        <f t="shared" si="135"/>
        <v>3</v>
      </c>
      <c r="F496" s="100">
        <f t="shared" ca="1" si="136"/>
        <v>0</v>
      </c>
      <c r="G496">
        <v>0</v>
      </c>
      <c r="H496">
        <v>0</v>
      </c>
      <c r="I496">
        <v>1</v>
      </c>
      <c r="J496" s="1">
        <f t="shared" ca="1" si="137"/>
        <v>2.4750000000000112E-11</v>
      </c>
      <c r="K496" s="1">
        <f t="shared" ca="1" si="138"/>
        <v>0</v>
      </c>
      <c r="L496" s="13">
        <f t="shared" ca="1" si="139"/>
        <v>13</v>
      </c>
      <c r="M496" s="7">
        <f t="shared" ca="1" si="140"/>
        <v>987</v>
      </c>
      <c r="N496" s="44">
        <f t="shared" ca="1" si="141"/>
        <v>13</v>
      </c>
      <c r="O496" s="94">
        <f t="shared" ca="1" si="142"/>
        <v>3.2733204919050856</v>
      </c>
      <c r="P496" s="94">
        <f t="shared" ca="1" si="143"/>
        <v>32.733204919050856</v>
      </c>
      <c r="Q496" s="94">
        <f t="shared" ca="1" si="144"/>
        <v>32.733204919050856</v>
      </c>
      <c r="R496" s="94">
        <f t="shared" ca="1" si="145"/>
        <v>3.2733204919050856</v>
      </c>
      <c r="S496" s="94">
        <f t="shared" ca="1" si="146"/>
        <v>3.2733204919050856</v>
      </c>
      <c r="T496" s="4">
        <f t="shared" ca="1" si="147"/>
        <v>0</v>
      </c>
      <c r="U496" s="46">
        <f t="shared" ca="1" si="148"/>
        <v>1394.9771208320408</v>
      </c>
      <c r="V496" s="4">
        <f t="shared" ca="1" si="149"/>
        <v>0</v>
      </c>
      <c r="W496" s="13">
        <f t="shared" ca="1" si="150"/>
        <v>834.81649404697032</v>
      </c>
      <c r="X496" s="4">
        <f t="shared" ca="1" si="151"/>
        <v>0</v>
      </c>
      <c r="AE496" s="4"/>
    </row>
    <row r="497" spans="1:31">
      <c r="A497">
        <v>3</v>
      </c>
      <c r="B497">
        <v>2</v>
      </c>
      <c r="C497">
        <f t="shared" si="133"/>
        <v>7</v>
      </c>
      <c r="D497">
        <f t="shared" si="134"/>
        <v>5</v>
      </c>
      <c r="E497">
        <f t="shared" si="135"/>
        <v>3</v>
      </c>
      <c r="F497" s="100">
        <f t="shared" ca="1" si="136"/>
        <v>0</v>
      </c>
      <c r="G497">
        <v>0</v>
      </c>
      <c r="H497">
        <v>0</v>
      </c>
      <c r="I497">
        <v>0</v>
      </c>
      <c r="J497" s="1">
        <f t="shared" ca="1" si="137"/>
        <v>5.0000000000000273E-14</v>
      </c>
      <c r="K497" s="1">
        <f t="shared" ca="1" si="138"/>
        <v>0</v>
      </c>
      <c r="L497" s="13">
        <f t="shared" ca="1" si="139"/>
        <v>0</v>
      </c>
      <c r="M497" s="7">
        <f t="shared" ca="1" si="140"/>
        <v>1000</v>
      </c>
      <c r="N497" s="44">
        <f t="shared" ca="1" si="141"/>
        <v>13</v>
      </c>
      <c r="O497" s="94">
        <f t="shared" ca="1" si="142"/>
        <v>3.2733204919050856</v>
      </c>
      <c r="P497" s="94">
        <f t="shared" ca="1" si="143"/>
        <v>32.733204919050856</v>
      </c>
      <c r="Q497" s="94">
        <f t="shared" ca="1" si="144"/>
        <v>32.733204919050856</v>
      </c>
      <c r="R497" s="94">
        <f t="shared" ca="1" si="145"/>
        <v>3.2733204919050856</v>
      </c>
      <c r="S497" s="94">
        <f t="shared" ca="1" si="146"/>
        <v>3.2733204919050856</v>
      </c>
      <c r="T497" s="4">
        <f t="shared" ca="1" si="147"/>
        <v>0</v>
      </c>
      <c r="U497" s="46">
        <f t="shared" ca="1" si="148"/>
        <v>1381.9771208320408</v>
      </c>
      <c r="V497" s="4">
        <f t="shared" ca="1" si="149"/>
        <v>0</v>
      </c>
      <c r="W497" s="13">
        <f t="shared" ca="1" si="150"/>
        <v>0</v>
      </c>
      <c r="X497" s="4">
        <f t="shared" ca="1" si="151"/>
        <v>0</v>
      </c>
      <c r="AE497" s="4"/>
    </row>
    <row r="498" spans="1:31">
      <c r="A498">
        <v>3</v>
      </c>
      <c r="B498">
        <v>3</v>
      </c>
      <c r="C498">
        <f t="shared" si="133"/>
        <v>8</v>
      </c>
      <c r="D498">
        <f t="shared" si="134"/>
        <v>6</v>
      </c>
      <c r="E498">
        <f t="shared" si="135"/>
        <v>3</v>
      </c>
      <c r="F498" s="100">
        <f t="shared" ca="1" si="136"/>
        <v>0</v>
      </c>
      <c r="G498">
        <v>1</v>
      </c>
      <c r="H498">
        <v>1</v>
      </c>
      <c r="I498">
        <v>7</v>
      </c>
      <c r="J498" s="1">
        <f t="shared" ca="1" si="137"/>
        <v>0</v>
      </c>
      <c r="K498" s="1">
        <f t="shared" ca="1" si="138"/>
        <v>0</v>
      </c>
      <c r="L498" s="13">
        <f t="shared" ca="1" si="139"/>
        <v>215</v>
      </c>
      <c r="M498" s="7">
        <f t="shared" ca="1" si="140"/>
        <v>785</v>
      </c>
      <c r="N498" s="44">
        <f t="shared" ca="1" si="141"/>
        <v>10</v>
      </c>
      <c r="O498" s="94">
        <f t="shared" ca="1" si="142"/>
        <v>2.5999636871582168</v>
      </c>
      <c r="P498" s="94">
        <f t="shared" ca="1" si="143"/>
        <v>25.999636871582165</v>
      </c>
      <c r="Q498" s="94">
        <f t="shared" ca="1" si="144"/>
        <v>25.999636871582165</v>
      </c>
      <c r="R498" s="94">
        <f t="shared" ca="1" si="145"/>
        <v>2.5999636871582164</v>
      </c>
      <c r="S498" s="94">
        <f t="shared" ca="1" si="146"/>
        <v>2.5999636871582168</v>
      </c>
      <c r="T498" s="4">
        <f t="shared" ca="1" si="147"/>
        <v>0</v>
      </c>
      <c r="U498" s="46">
        <f t="shared" ca="1" si="148"/>
        <v>1350.360460436222</v>
      </c>
      <c r="V498" s="4">
        <f t="shared" ca="1" si="149"/>
        <v>0</v>
      </c>
      <c r="W498" s="13">
        <f t="shared" ca="1" si="150"/>
        <v>12313.142557895597</v>
      </c>
      <c r="X498" s="4">
        <f t="shared" ca="1" si="151"/>
        <v>0</v>
      </c>
      <c r="AE498" s="4"/>
    </row>
    <row r="499" spans="1:31">
      <c r="A499">
        <v>3</v>
      </c>
      <c r="B499">
        <v>3</v>
      </c>
      <c r="C499">
        <f t="shared" si="133"/>
        <v>8</v>
      </c>
      <c r="D499">
        <f t="shared" si="134"/>
        <v>6</v>
      </c>
      <c r="E499">
        <f t="shared" si="135"/>
        <v>3</v>
      </c>
      <c r="F499" s="100">
        <f t="shared" ca="1" si="136"/>
        <v>0</v>
      </c>
      <c r="G499">
        <v>1</v>
      </c>
      <c r="H499">
        <v>1</v>
      </c>
      <c r="I499">
        <v>6</v>
      </c>
      <c r="J499" s="1">
        <f t="shared" ca="1" si="137"/>
        <v>0.88546208051164044</v>
      </c>
      <c r="K499" s="1">
        <f t="shared" ca="1" si="138"/>
        <v>0</v>
      </c>
      <c r="L499" s="13">
        <f t="shared" ca="1" si="139"/>
        <v>202</v>
      </c>
      <c r="M499" s="7">
        <f t="shared" ca="1" si="140"/>
        <v>798</v>
      </c>
      <c r="N499" s="44">
        <f t="shared" ca="1" si="141"/>
        <v>10</v>
      </c>
      <c r="O499" s="94">
        <f t="shared" ca="1" si="142"/>
        <v>2.5999636871582168</v>
      </c>
      <c r="P499" s="94">
        <f t="shared" ca="1" si="143"/>
        <v>25.999636871582165</v>
      </c>
      <c r="Q499" s="94">
        <f t="shared" ca="1" si="144"/>
        <v>25.999636871582165</v>
      </c>
      <c r="R499" s="94">
        <f t="shared" ca="1" si="145"/>
        <v>2.5999636871582164</v>
      </c>
      <c r="S499" s="94">
        <f t="shared" ca="1" si="146"/>
        <v>2.5999636871582168</v>
      </c>
      <c r="T499" s="4">
        <f t="shared" ca="1" si="147"/>
        <v>0</v>
      </c>
      <c r="U499" s="46">
        <f t="shared" ca="1" si="148"/>
        <v>1337.360460436222</v>
      </c>
      <c r="V499" s="4">
        <f t="shared" ca="1" si="149"/>
        <v>0</v>
      </c>
      <c r="W499" s="13">
        <f t="shared" ca="1" si="150"/>
        <v>11478.326063848626</v>
      </c>
      <c r="X499" s="4">
        <f t="shared" ca="1" si="151"/>
        <v>0</v>
      </c>
      <c r="AE499" s="4"/>
    </row>
    <row r="500" spans="1:31">
      <c r="A500">
        <v>3</v>
      </c>
      <c r="B500">
        <v>3</v>
      </c>
      <c r="C500">
        <f t="shared" si="133"/>
        <v>8</v>
      </c>
      <c r="D500">
        <f t="shared" si="134"/>
        <v>6</v>
      </c>
      <c r="E500">
        <f t="shared" si="135"/>
        <v>3</v>
      </c>
      <c r="F500" s="100">
        <f t="shared" ca="1" si="136"/>
        <v>0</v>
      </c>
      <c r="G500">
        <v>1</v>
      </c>
      <c r="H500">
        <v>1</v>
      </c>
      <c r="I500">
        <v>5</v>
      </c>
      <c r="J500" s="1">
        <f t="shared" ca="1" si="137"/>
        <v>5.3664368515857042E-2</v>
      </c>
      <c r="K500" s="1">
        <f t="shared" ca="1" si="138"/>
        <v>0</v>
      </c>
      <c r="L500" s="13">
        <f t="shared" ca="1" si="139"/>
        <v>189</v>
      </c>
      <c r="M500" s="7">
        <f t="shared" ca="1" si="140"/>
        <v>811</v>
      </c>
      <c r="N500" s="44">
        <f t="shared" ca="1" si="141"/>
        <v>11</v>
      </c>
      <c r="O500" s="94">
        <f t="shared" ca="1" si="142"/>
        <v>2.8397004155948178</v>
      </c>
      <c r="P500" s="94">
        <f t="shared" ca="1" si="143"/>
        <v>28.397004155948181</v>
      </c>
      <c r="Q500" s="94">
        <f t="shared" ca="1" si="144"/>
        <v>25.999636871582165</v>
      </c>
      <c r="R500" s="94">
        <f t="shared" ca="1" si="145"/>
        <v>2.7198320513765175</v>
      </c>
      <c r="S500" s="94">
        <f t="shared" ca="1" si="146"/>
        <v>2.8397004155948178</v>
      </c>
      <c r="T500" s="4">
        <f t="shared" ca="1" si="147"/>
        <v>0</v>
      </c>
      <c r="U500" s="46">
        <f t="shared" ca="1" si="148"/>
        <v>1412.1639413314356</v>
      </c>
      <c r="V500" s="4">
        <f t="shared" ca="1" si="149"/>
        <v>0</v>
      </c>
      <c r="W500" s="13">
        <f t="shared" ca="1" si="150"/>
        <v>10643.509569801656</v>
      </c>
      <c r="X500" s="4">
        <f t="shared" ca="1" si="151"/>
        <v>0</v>
      </c>
      <c r="AE500" s="4"/>
    </row>
    <row r="501" spans="1:31">
      <c r="A501">
        <v>3</v>
      </c>
      <c r="B501">
        <v>3</v>
      </c>
      <c r="C501">
        <f t="shared" si="133"/>
        <v>8</v>
      </c>
      <c r="D501">
        <f t="shared" si="134"/>
        <v>6</v>
      </c>
      <c r="E501">
        <f t="shared" si="135"/>
        <v>3</v>
      </c>
      <c r="F501" s="100">
        <f t="shared" ca="1" si="136"/>
        <v>0</v>
      </c>
      <c r="G501">
        <v>1</v>
      </c>
      <c r="H501">
        <v>1</v>
      </c>
      <c r="I501">
        <v>4</v>
      </c>
      <c r="J501" s="1">
        <f t="shared" ca="1" si="137"/>
        <v>1.3551608211075025E-3</v>
      </c>
      <c r="K501" s="1">
        <f t="shared" ca="1" si="138"/>
        <v>0</v>
      </c>
      <c r="L501" s="13">
        <f t="shared" ca="1" si="139"/>
        <v>176</v>
      </c>
      <c r="M501" s="7">
        <f t="shared" ca="1" si="140"/>
        <v>824</v>
      </c>
      <c r="N501" s="44">
        <f t="shared" ca="1" si="141"/>
        <v>11</v>
      </c>
      <c r="O501" s="94">
        <f t="shared" ca="1" si="142"/>
        <v>2.8397004155948178</v>
      </c>
      <c r="P501" s="94">
        <f t="shared" ca="1" si="143"/>
        <v>28.397004155948181</v>
      </c>
      <c r="Q501" s="94">
        <f t="shared" ca="1" si="144"/>
        <v>28.397004155948181</v>
      </c>
      <c r="R501" s="94">
        <f t="shared" ca="1" si="145"/>
        <v>2.8397004155948182</v>
      </c>
      <c r="S501" s="94">
        <f t="shared" ca="1" si="146"/>
        <v>2.8397004155948178</v>
      </c>
      <c r="T501" s="4">
        <f t="shared" ca="1" si="147"/>
        <v>0</v>
      </c>
      <c r="U501" s="46">
        <f t="shared" ca="1" si="148"/>
        <v>1399.1639413314356</v>
      </c>
      <c r="V501" s="4">
        <f t="shared" ca="1" si="149"/>
        <v>0</v>
      </c>
      <c r="W501" s="13">
        <f t="shared" ca="1" si="150"/>
        <v>9808.693075754687</v>
      </c>
      <c r="X501" s="4">
        <f t="shared" ca="1" si="151"/>
        <v>0</v>
      </c>
      <c r="AE501" s="4"/>
    </row>
    <row r="502" spans="1:31">
      <c r="A502">
        <v>3</v>
      </c>
      <c r="B502">
        <v>3</v>
      </c>
      <c r="C502">
        <f t="shared" si="133"/>
        <v>8</v>
      </c>
      <c r="D502">
        <f t="shared" si="134"/>
        <v>6</v>
      </c>
      <c r="E502">
        <f t="shared" si="135"/>
        <v>3</v>
      </c>
      <c r="F502" s="100">
        <f t="shared" ca="1" si="136"/>
        <v>0</v>
      </c>
      <c r="G502">
        <v>1</v>
      </c>
      <c r="H502">
        <v>1</v>
      </c>
      <c r="I502">
        <v>3</v>
      </c>
      <c r="J502" s="1">
        <f t="shared" ca="1" si="137"/>
        <v>1.8251324190000046E-5</v>
      </c>
      <c r="K502" s="1">
        <f t="shared" ca="1" si="138"/>
        <v>0</v>
      </c>
      <c r="L502" s="13">
        <f t="shared" ca="1" si="139"/>
        <v>163</v>
      </c>
      <c r="M502" s="7">
        <f t="shared" ca="1" si="140"/>
        <v>837</v>
      </c>
      <c r="N502" s="44">
        <f t="shared" ca="1" si="141"/>
        <v>11</v>
      </c>
      <c r="O502" s="94">
        <f t="shared" ca="1" si="142"/>
        <v>2.8397004155948178</v>
      </c>
      <c r="P502" s="94">
        <f t="shared" ca="1" si="143"/>
        <v>28.397004155948181</v>
      </c>
      <c r="Q502" s="94">
        <f t="shared" ca="1" si="144"/>
        <v>28.397004155948181</v>
      </c>
      <c r="R502" s="94">
        <f t="shared" ca="1" si="145"/>
        <v>2.8397004155948182</v>
      </c>
      <c r="S502" s="94">
        <f t="shared" ca="1" si="146"/>
        <v>2.8397004155948178</v>
      </c>
      <c r="T502" s="4">
        <f t="shared" ca="1" si="147"/>
        <v>0</v>
      </c>
      <c r="U502" s="46">
        <f t="shared" ca="1" si="148"/>
        <v>1386.1639413314356</v>
      </c>
      <c r="V502" s="4">
        <f t="shared" ca="1" si="149"/>
        <v>0</v>
      </c>
      <c r="W502" s="13">
        <f t="shared" ca="1" si="150"/>
        <v>8973.8765817077146</v>
      </c>
      <c r="X502" s="4">
        <f t="shared" ca="1" si="151"/>
        <v>0</v>
      </c>
      <c r="AE502" s="4"/>
    </row>
    <row r="503" spans="1:31">
      <c r="A503">
        <v>3</v>
      </c>
      <c r="B503">
        <v>3</v>
      </c>
      <c r="C503">
        <f t="shared" si="133"/>
        <v>8</v>
      </c>
      <c r="D503">
        <f t="shared" si="134"/>
        <v>6</v>
      </c>
      <c r="E503">
        <f t="shared" si="135"/>
        <v>3</v>
      </c>
      <c r="F503" s="100">
        <f t="shared" ca="1" si="136"/>
        <v>0</v>
      </c>
      <c r="G503">
        <v>1</v>
      </c>
      <c r="H503">
        <v>1</v>
      </c>
      <c r="I503">
        <v>2</v>
      </c>
      <c r="J503" s="1">
        <f t="shared" ca="1" si="137"/>
        <v>1.3826760750000051E-7</v>
      </c>
      <c r="K503" s="1">
        <f t="shared" ca="1" si="138"/>
        <v>0</v>
      </c>
      <c r="L503" s="13">
        <f t="shared" ca="1" si="139"/>
        <v>150</v>
      </c>
      <c r="M503" s="7">
        <f t="shared" ca="1" si="140"/>
        <v>850</v>
      </c>
      <c r="N503" s="44">
        <f t="shared" ca="1" si="141"/>
        <v>11</v>
      </c>
      <c r="O503" s="94">
        <f t="shared" ca="1" si="142"/>
        <v>2.8397004155948178</v>
      </c>
      <c r="P503" s="94">
        <f t="shared" ca="1" si="143"/>
        <v>28.397004155948181</v>
      </c>
      <c r="Q503" s="94">
        <f t="shared" ca="1" si="144"/>
        <v>28.397004155948181</v>
      </c>
      <c r="R503" s="94">
        <f t="shared" ca="1" si="145"/>
        <v>2.8397004155948182</v>
      </c>
      <c r="S503" s="94">
        <f t="shared" ca="1" si="146"/>
        <v>2.8397004155948178</v>
      </c>
      <c r="T503" s="4">
        <f t="shared" ca="1" si="147"/>
        <v>0</v>
      </c>
      <c r="U503" s="46">
        <f t="shared" ca="1" si="148"/>
        <v>1373.1639413314356</v>
      </c>
      <c r="V503" s="4">
        <f t="shared" ca="1" si="149"/>
        <v>0</v>
      </c>
      <c r="W503" s="13">
        <f t="shared" ca="1" si="150"/>
        <v>8139.0600876607459</v>
      </c>
      <c r="X503" s="4">
        <f t="shared" ca="1" si="151"/>
        <v>0</v>
      </c>
      <c r="AE503" s="4"/>
    </row>
    <row r="504" spans="1:31">
      <c r="A504">
        <v>3</v>
      </c>
      <c r="B504">
        <v>3</v>
      </c>
      <c r="C504">
        <f t="shared" si="133"/>
        <v>8</v>
      </c>
      <c r="D504">
        <f t="shared" si="134"/>
        <v>6</v>
      </c>
      <c r="E504">
        <f t="shared" si="135"/>
        <v>3</v>
      </c>
      <c r="F504" s="100">
        <f t="shared" ca="1" si="136"/>
        <v>0</v>
      </c>
      <c r="G504">
        <v>1</v>
      </c>
      <c r="H504">
        <v>1</v>
      </c>
      <c r="I504">
        <v>1</v>
      </c>
      <c r="J504" s="1">
        <f t="shared" ca="1" si="137"/>
        <v>5.5865700000000257E-10</v>
      </c>
      <c r="K504" s="1">
        <f t="shared" ca="1" si="138"/>
        <v>0</v>
      </c>
      <c r="L504" s="13">
        <f t="shared" ca="1" si="139"/>
        <v>137</v>
      </c>
      <c r="M504" s="7">
        <f t="shared" ca="1" si="140"/>
        <v>863</v>
      </c>
      <c r="N504" s="44">
        <f t="shared" ca="1" si="141"/>
        <v>11</v>
      </c>
      <c r="O504" s="94">
        <f t="shared" ca="1" si="142"/>
        <v>2.8397004155948178</v>
      </c>
      <c r="P504" s="94">
        <f t="shared" ca="1" si="143"/>
        <v>28.397004155948181</v>
      </c>
      <c r="Q504" s="94">
        <f t="shared" ca="1" si="144"/>
        <v>28.397004155948181</v>
      </c>
      <c r="R504" s="94">
        <f t="shared" ca="1" si="145"/>
        <v>2.8397004155948182</v>
      </c>
      <c r="S504" s="94">
        <f t="shared" ca="1" si="146"/>
        <v>2.8397004155948178</v>
      </c>
      <c r="T504" s="4">
        <f t="shared" ca="1" si="147"/>
        <v>0</v>
      </c>
      <c r="U504" s="46">
        <f t="shared" ca="1" si="148"/>
        <v>1360.1639413314356</v>
      </c>
      <c r="V504" s="4">
        <f t="shared" ca="1" si="149"/>
        <v>0</v>
      </c>
      <c r="W504" s="13">
        <f t="shared" ca="1" si="150"/>
        <v>7304.2435936137754</v>
      </c>
      <c r="X504" s="4">
        <f t="shared" ca="1" si="151"/>
        <v>0</v>
      </c>
      <c r="AE504" s="4"/>
    </row>
    <row r="505" spans="1:31">
      <c r="A505">
        <v>3</v>
      </c>
      <c r="B505">
        <v>3</v>
      </c>
      <c r="C505">
        <f t="shared" si="133"/>
        <v>8</v>
      </c>
      <c r="D505">
        <f t="shared" si="134"/>
        <v>6</v>
      </c>
      <c r="E505">
        <f t="shared" si="135"/>
        <v>3</v>
      </c>
      <c r="F505" s="100">
        <f t="shared" ca="1" si="136"/>
        <v>0</v>
      </c>
      <c r="G505">
        <v>1</v>
      </c>
      <c r="H505">
        <v>1</v>
      </c>
      <c r="I505">
        <v>0</v>
      </c>
      <c r="J505" s="1">
        <f t="shared" ca="1" si="137"/>
        <v>9.4050000000000513E-13</v>
      </c>
      <c r="K505" s="1">
        <f t="shared" ca="1" si="138"/>
        <v>0</v>
      </c>
      <c r="L505" s="13">
        <f t="shared" ca="1" si="139"/>
        <v>124</v>
      </c>
      <c r="M505" s="7">
        <f t="shared" ca="1" si="140"/>
        <v>876</v>
      </c>
      <c r="N505" s="44">
        <f t="shared" ca="1" si="141"/>
        <v>11</v>
      </c>
      <c r="O505" s="94">
        <f t="shared" ca="1" si="142"/>
        <v>2.8397004155948178</v>
      </c>
      <c r="P505" s="94">
        <f t="shared" ca="1" si="143"/>
        <v>28.397004155948181</v>
      </c>
      <c r="Q505" s="94">
        <f t="shared" ca="1" si="144"/>
        <v>28.397004155948181</v>
      </c>
      <c r="R505" s="94">
        <f t="shared" ca="1" si="145"/>
        <v>2.8397004155948182</v>
      </c>
      <c r="S505" s="94">
        <f t="shared" ca="1" si="146"/>
        <v>2.8397004155948178</v>
      </c>
      <c r="T505" s="4">
        <f t="shared" ca="1" si="147"/>
        <v>0</v>
      </c>
      <c r="U505" s="46">
        <f t="shared" ca="1" si="148"/>
        <v>1347.1639413314356</v>
      </c>
      <c r="V505" s="4">
        <f t="shared" ca="1" si="149"/>
        <v>0</v>
      </c>
      <c r="W505" s="13">
        <f t="shared" ca="1" si="150"/>
        <v>6469.4270995668048</v>
      </c>
      <c r="X505" s="4">
        <f t="shared" ca="1" si="151"/>
        <v>0</v>
      </c>
      <c r="AE505" s="4"/>
    </row>
    <row r="506" spans="1:31">
      <c r="A506">
        <v>3</v>
      </c>
      <c r="B506">
        <v>3</v>
      </c>
      <c r="C506">
        <f t="shared" si="133"/>
        <v>8</v>
      </c>
      <c r="D506">
        <f t="shared" si="134"/>
        <v>6</v>
      </c>
      <c r="E506">
        <f t="shared" si="135"/>
        <v>3</v>
      </c>
      <c r="F506" s="100">
        <f t="shared" ca="1" si="136"/>
        <v>0</v>
      </c>
      <c r="G506">
        <v>1</v>
      </c>
      <c r="H506">
        <v>0</v>
      </c>
      <c r="I506">
        <v>7</v>
      </c>
      <c r="J506" s="1">
        <f t="shared" ca="1" si="137"/>
        <v>0</v>
      </c>
      <c r="K506" s="1">
        <f t="shared" ca="1" si="138"/>
        <v>0</v>
      </c>
      <c r="L506" s="13">
        <f t="shared" ca="1" si="139"/>
        <v>153</v>
      </c>
      <c r="M506" s="7">
        <f t="shared" ca="1" si="140"/>
        <v>847</v>
      </c>
      <c r="N506" s="44">
        <f t="shared" ca="1" si="141"/>
        <v>11</v>
      </c>
      <c r="O506" s="94">
        <f t="shared" ca="1" si="142"/>
        <v>2.8397004155948178</v>
      </c>
      <c r="P506" s="94">
        <f t="shared" ca="1" si="143"/>
        <v>28.397004155948181</v>
      </c>
      <c r="Q506" s="94">
        <f t="shared" ca="1" si="144"/>
        <v>28.397004155948181</v>
      </c>
      <c r="R506" s="94">
        <f t="shared" ca="1" si="145"/>
        <v>2.8397004155948182</v>
      </c>
      <c r="S506" s="94">
        <f t="shared" ca="1" si="146"/>
        <v>2.8397004155948178</v>
      </c>
      <c r="T506" s="4">
        <f t="shared" ca="1" si="147"/>
        <v>0</v>
      </c>
      <c r="U506" s="46">
        <f t="shared" ca="1" si="148"/>
        <v>1376.1639413314356</v>
      </c>
      <c r="V506" s="4">
        <f t="shared" ca="1" si="149"/>
        <v>0</v>
      </c>
      <c r="W506" s="13">
        <f t="shared" ca="1" si="150"/>
        <v>11687.430916657584</v>
      </c>
      <c r="X506" s="4">
        <f t="shared" ca="1" si="151"/>
        <v>0</v>
      </c>
      <c r="AE506" s="4"/>
    </row>
    <row r="507" spans="1:31">
      <c r="A507">
        <v>3</v>
      </c>
      <c r="B507">
        <v>3</v>
      </c>
      <c r="C507">
        <f t="shared" si="133"/>
        <v>8</v>
      </c>
      <c r="D507">
        <f t="shared" si="134"/>
        <v>6</v>
      </c>
      <c r="E507">
        <f t="shared" si="135"/>
        <v>3</v>
      </c>
      <c r="F507" s="100">
        <f t="shared" ca="1" si="136"/>
        <v>0</v>
      </c>
      <c r="G507">
        <v>1</v>
      </c>
      <c r="H507">
        <v>0</v>
      </c>
      <c r="I507">
        <v>6</v>
      </c>
      <c r="J507" s="1">
        <f t="shared" ca="1" si="137"/>
        <v>8.9440614193095069E-3</v>
      </c>
      <c r="K507" s="1">
        <f t="shared" ca="1" si="138"/>
        <v>0</v>
      </c>
      <c r="L507" s="13">
        <f t="shared" ca="1" si="139"/>
        <v>140</v>
      </c>
      <c r="M507" s="7">
        <f t="shared" ca="1" si="140"/>
        <v>860</v>
      </c>
      <c r="N507" s="44">
        <f t="shared" ca="1" si="141"/>
        <v>11</v>
      </c>
      <c r="O507" s="94">
        <f t="shared" ca="1" si="142"/>
        <v>2.8397004155948178</v>
      </c>
      <c r="P507" s="94">
        <f t="shared" ca="1" si="143"/>
        <v>28.397004155948181</v>
      </c>
      <c r="Q507" s="94">
        <f t="shared" ca="1" si="144"/>
        <v>28.397004155948181</v>
      </c>
      <c r="R507" s="94">
        <f t="shared" ca="1" si="145"/>
        <v>2.8397004155948182</v>
      </c>
      <c r="S507" s="94">
        <f t="shared" ca="1" si="146"/>
        <v>2.8397004155948178</v>
      </c>
      <c r="T507" s="4">
        <f t="shared" ca="1" si="147"/>
        <v>0</v>
      </c>
      <c r="U507" s="46">
        <f t="shared" ca="1" si="148"/>
        <v>1363.1639413314356</v>
      </c>
      <c r="V507" s="4">
        <f t="shared" ca="1" si="149"/>
        <v>0</v>
      </c>
      <c r="W507" s="13">
        <f t="shared" ca="1" si="150"/>
        <v>10852.614422610615</v>
      </c>
      <c r="X507" s="4">
        <f t="shared" ca="1" si="151"/>
        <v>0</v>
      </c>
      <c r="AE507" s="4"/>
    </row>
    <row r="508" spans="1:31">
      <c r="A508">
        <v>3</v>
      </c>
      <c r="B508">
        <v>3</v>
      </c>
      <c r="C508">
        <f t="shared" si="133"/>
        <v>8</v>
      </c>
      <c r="D508">
        <f t="shared" si="134"/>
        <v>6</v>
      </c>
      <c r="E508">
        <f t="shared" si="135"/>
        <v>3</v>
      </c>
      <c r="F508" s="100">
        <f t="shared" ca="1" si="136"/>
        <v>0</v>
      </c>
      <c r="G508">
        <v>1</v>
      </c>
      <c r="H508">
        <v>0</v>
      </c>
      <c r="I508">
        <v>5</v>
      </c>
      <c r="J508" s="1">
        <f t="shared" ca="1" si="137"/>
        <v>5.4206432844300086E-4</v>
      </c>
      <c r="K508" s="1">
        <f t="shared" ca="1" si="138"/>
        <v>0</v>
      </c>
      <c r="L508" s="13">
        <f t="shared" ca="1" si="139"/>
        <v>127</v>
      </c>
      <c r="M508" s="7">
        <f t="shared" ca="1" si="140"/>
        <v>873</v>
      </c>
      <c r="N508" s="44">
        <f t="shared" ca="1" si="141"/>
        <v>11</v>
      </c>
      <c r="O508" s="94">
        <f t="shared" ca="1" si="142"/>
        <v>2.8397004155948178</v>
      </c>
      <c r="P508" s="94">
        <f t="shared" ca="1" si="143"/>
        <v>28.397004155948181</v>
      </c>
      <c r="Q508" s="94">
        <f t="shared" ca="1" si="144"/>
        <v>28.397004155948181</v>
      </c>
      <c r="R508" s="94">
        <f t="shared" ca="1" si="145"/>
        <v>2.8397004155948182</v>
      </c>
      <c r="S508" s="94">
        <f t="shared" ca="1" si="146"/>
        <v>2.8397004155948178</v>
      </c>
      <c r="T508" s="4">
        <f t="shared" ca="1" si="147"/>
        <v>0</v>
      </c>
      <c r="U508" s="46">
        <f t="shared" ca="1" si="148"/>
        <v>1350.1639413314356</v>
      </c>
      <c r="V508" s="4">
        <f t="shared" ca="1" si="149"/>
        <v>0</v>
      </c>
      <c r="W508" s="13">
        <f t="shared" ca="1" si="150"/>
        <v>10017.797928563645</v>
      </c>
      <c r="X508" s="4">
        <f t="shared" ca="1" si="151"/>
        <v>0</v>
      </c>
      <c r="AE508" s="4"/>
    </row>
    <row r="509" spans="1:31">
      <c r="A509">
        <v>3</v>
      </c>
      <c r="B509">
        <v>3</v>
      </c>
      <c r="C509">
        <f t="shared" si="133"/>
        <v>8</v>
      </c>
      <c r="D509">
        <f t="shared" si="134"/>
        <v>6</v>
      </c>
      <c r="E509">
        <f t="shared" si="135"/>
        <v>3</v>
      </c>
      <c r="F509" s="100">
        <f t="shared" ca="1" si="136"/>
        <v>0</v>
      </c>
      <c r="G509">
        <v>1</v>
      </c>
      <c r="H509">
        <v>0</v>
      </c>
      <c r="I509">
        <v>4</v>
      </c>
      <c r="J509" s="1">
        <f t="shared" ca="1" si="137"/>
        <v>1.3688493142500038E-5</v>
      </c>
      <c r="K509" s="1">
        <f t="shared" ca="1" si="138"/>
        <v>0</v>
      </c>
      <c r="L509" s="13">
        <f t="shared" ca="1" si="139"/>
        <v>114</v>
      </c>
      <c r="M509" s="7">
        <f t="shared" ca="1" si="140"/>
        <v>886</v>
      </c>
      <c r="N509" s="44">
        <f t="shared" ca="1" si="141"/>
        <v>12</v>
      </c>
      <c r="O509" s="94">
        <f t="shared" ca="1" si="142"/>
        <v>3.0624018806381534</v>
      </c>
      <c r="P509" s="94">
        <f t="shared" ca="1" si="143"/>
        <v>29.510511481164862</v>
      </c>
      <c r="Q509" s="94">
        <f t="shared" ca="1" si="144"/>
        <v>28.397004155948181</v>
      </c>
      <c r="R509" s="94">
        <f t="shared" ca="1" si="145"/>
        <v>2.8953757818556523</v>
      </c>
      <c r="S509" s="94">
        <f t="shared" ca="1" si="146"/>
        <v>3.0624018806381534</v>
      </c>
      <c r="T509" s="4">
        <f t="shared" ca="1" si="147"/>
        <v>0</v>
      </c>
      <c r="U509" s="46">
        <f t="shared" ca="1" si="148"/>
        <v>1418.7282638229713</v>
      </c>
      <c r="V509" s="4">
        <f t="shared" ca="1" si="149"/>
        <v>0</v>
      </c>
      <c r="W509" s="13">
        <f t="shared" ca="1" si="150"/>
        <v>9182.9814345166742</v>
      </c>
      <c r="X509" s="4">
        <f t="shared" ca="1" si="151"/>
        <v>0</v>
      </c>
      <c r="AE509" s="4"/>
    </row>
    <row r="510" spans="1:31">
      <c r="A510">
        <v>3</v>
      </c>
      <c r="B510">
        <v>3</v>
      </c>
      <c r="C510">
        <f t="shared" si="133"/>
        <v>8</v>
      </c>
      <c r="D510">
        <f t="shared" si="134"/>
        <v>6</v>
      </c>
      <c r="E510">
        <f t="shared" si="135"/>
        <v>3</v>
      </c>
      <c r="F510" s="100">
        <f t="shared" ca="1" si="136"/>
        <v>0</v>
      </c>
      <c r="G510">
        <v>1</v>
      </c>
      <c r="H510">
        <v>0</v>
      </c>
      <c r="I510">
        <v>3</v>
      </c>
      <c r="J510" s="1">
        <f t="shared" ca="1" si="137"/>
        <v>1.8435681000000062E-7</v>
      </c>
      <c r="K510" s="1">
        <f t="shared" ca="1" si="138"/>
        <v>0</v>
      </c>
      <c r="L510" s="13">
        <f t="shared" ca="1" si="139"/>
        <v>101</v>
      </c>
      <c r="M510" s="7">
        <f t="shared" ca="1" si="140"/>
        <v>899</v>
      </c>
      <c r="N510" s="44">
        <f t="shared" ca="1" si="141"/>
        <v>12</v>
      </c>
      <c r="O510" s="94">
        <f t="shared" ca="1" si="142"/>
        <v>3.0624018806381534</v>
      </c>
      <c r="P510" s="94">
        <f t="shared" ca="1" si="143"/>
        <v>30.624018806381528</v>
      </c>
      <c r="Q510" s="94">
        <f t="shared" ca="1" si="144"/>
        <v>30.178615876294863</v>
      </c>
      <c r="R510" s="94">
        <f t="shared" ca="1" si="145"/>
        <v>3.0401317341338197</v>
      </c>
      <c r="S510" s="94">
        <f t="shared" ca="1" si="146"/>
        <v>3.0624018806381534</v>
      </c>
      <c r="T510" s="4">
        <f t="shared" ca="1" si="147"/>
        <v>0</v>
      </c>
      <c r="U510" s="46">
        <f t="shared" ca="1" si="148"/>
        <v>1405.7282638229713</v>
      </c>
      <c r="V510" s="4">
        <f t="shared" ca="1" si="149"/>
        <v>0</v>
      </c>
      <c r="W510" s="13">
        <f t="shared" ca="1" si="150"/>
        <v>8348.1649404697037</v>
      </c>
      <c r="X510" s="4">
        <f t="shared" ca="1" si="151"/>
        <v>0</v>
      </c>
      <c r="AE510" s="4"/>
    </row>
    <row r="511" spans="1:31">
      <c r="A511">
        <v>3</v>
      </c>
      <c r="B511">
        <v>3</v>
      </c>
      <c r="C511">
        <f t="shared" si="133"/>
        <v>8</v>
      </c>
      <c r="D511">
        <f t="shared" si="134"/>
        <v>6</v>
      </c>
      <c r="E511">
        <f t="shared" si="135"/>
        <v>3</v>
      </c>
      <c r="F511" s="100">
        <f t="shared" ca="1" si="136"/>
        <v>0</v>
      </c>
      <c r="G511">
        <v>1</v>
      </c>
      <c r="H511">
        <v>0</v>
      </c>
      <c r="I511">
        <v>2</v>
      </c>
      <c r="J511" s="1">
        <f t="shared" ca="1" si="137"/>
        <v>1.3966425000000064E-9</v>
      </c>
      <c r="K511" s="1">
        <f t="shared" ca="1" si="138"/>
        <v>0</v>
      </c>
      <c r="L511" s="13">
        <f t="shared" ca="1" si="139"/>
        <v>88</v>
      </c>
      <c r="M511" s="7">
        <f t="shared" ca="1" si="140"/>
        <v>912</v>
      </c>
      <c r="N511" s="44">
        <f t="shared" ca="1" si="141"/>
        <v>12</v>
      </c>
      <c r="O511" s="94">
        <f t="shared" ca="1" si="142"/>
        <v>3.0624018806381534</v>
      </c>
      <c r="P511" s="94">
        <f t="shared" ca="1" si="143"/>
        <v>30.624018806381528</v>
      </c>
      <c r="Q511" s="94">
        <f t="shared" ca="1" si="144"/>
        <v>30.624018806381528</v>
      </c>
      <c r="R511" s="94">
        <f t="shared" ca="1" si="145"/>
        <v>3.062401880638153</v>
      </c>
      <c r="S511" s="94">
        <f t="shared" ca="1" si="146"/>
        <v>3.0624018806381534</v>
      </c>
      <c r="T511" s="4">
        <f t="shared" ca="1" si="147"/>
        <v>0</v>
      </c>
      <c r="U511" s="46">
        <f t="shared" ca="1" si="148"/>
        <v>1392.7282638229713</v>
      </c>
      <c r="V511" s="4">
        <f t="shared" ca="1" si="149"/>
        <v>0</v>
      </c>
      <c r="W511" s="13">
        <f t="shared" ca="1" si="150"/>
        <v>7513.3484464227331</v>
      </c>
      <c r="X511" s="4">
        <f t="shared" ca="1" si="151"/>
        <v>0</v>
      </c>
      <c r="AE511" s="4"/>
    </row>
    <row r="512" spans="1:31">
      <c r="A512">
        <v>3</v>
      </c>
      <c r="B512">
        <v>3</v>
      </c>
      <c r="C512">
        <f t="shared" si="133"/>
        <v>8</v>
      </c>
      <c r="D512">
        <f t="shared" si="134"/>
        <v>6</v>
      </c>
      <c r="E512">
        <f t="shared" si="135"/>
        <v>3</v>
      </c>
      <c r="F512" s="100">
        <f t="shared" ca="1" si="136"/>
        <v>0</v>
      </c>
      <c r="G512">
        <v>1</v>
      </c>
      <c r="H512">
        <v>0</v>
      </c>
      <c r="I512">
        <v>1</v>
      </c>
      <c r="J512" s="1">
        <f t="shared" ca="1" si="137"/>
        <v>5.6430000000000308E-12</v>
      </c>
      <c r="K512" s="1">
        <f t="shared" ca="1" si="138"/>
        <v>0</v>
      </c>
      <c r="L512" s="13">
        <f t="shared" ca="1" si="139"/>
        <v>75</v>
      </c>
      <c r="M512" s="7">
        <f t="shared" ca="1" si="140"/>
        <v>925</v>
      </c>
      <c r="N512" s="44">
        <f t="shared" ca="1" si="141"/>
        <v>12</v>
      </c>
      <c r="O512" s="94">
        <f t="shared" ca="1" si="142"/>
        <v>3.0624018806381534</v>
      </c>
      <c r="P512" s="94">
        <f t="shared" ca="1" si="143"/>
        <v>30.624018806381528</v>
      </c>
      <c r="Q512" s="94">
        <f t="shared" ca="1" si="144"/>
        <v>30.624018806381528</v>
      </c>
      <c r="R512" s="94">
        <f t="shared" ca="1" si="145"/>
        <v>3.062401880638153</v>
      </c>
      <c r="S512" s="94">
        <f t="shared" ca="1" si="146"/>
        <v>3.0624018806381534</v>
      </c>
      <c r="T512" s="4">
        <f t="shared" ca="1" si="147"/>
        <v>0</v>
      </c>
      <c r="U512" s="46">
        <f t="shared" ca="1" si="148"/>
        <v>1379.7282638229713</v>
      </c>
      <c r="V512" s="4">
        <f t="shared" ca="1" si="149"/>
        <v>0</v>
      </c>
      <c r="W512" s="13">
        <f t="shared" ca="1" si="150"/>
        <v>6678.5319523757635</v>
      </c>
      <c r="X512" s="4">
        <f t="shared" ca="1" si="151"/>
        <v>0</v>
      </c>
      <c r="AE512" s="4"/>
    </row>
    <row r="513" spans="1:31">
      <c r="A513">
        <v>3</v>
      </c>
      <c r="B513">
        <v>3</v>
      </c>
      <c r="C513">
        <f t="shared" si="133"/>
        <v>8</v>
      </c>
      <c r="D513">
        <f t="shared" si="134"/>
        <v>6</v>
      </c>
      <c r="E513">
        <f t="shared" si="135"/>
        <v>3</v>
      </c>
      <c r="F513" s="100">
        <f t="shared" ca="1" si="136"/>
        <v>0</v>
      </c>
      <c r="G513">
        <v>1</v>
      </c>
      <c r="H513">
        <v>0</v>
      </c>
      <c r="I513">
        <v>0</v>
      </c>
      <c r="J513" s="1">
        <f t="shared" ca="1" si="137"/>
        <v>9.5000000000000605E-15</v>
      </c>
      <c r="K513" s="1">
        <f t="shared" ca="1" si="138"/>
        <v>0</v>
      </c>
      <c r="L513" s="13">
        <f t="shared" ca="1" si="139"/>
        <v>62</v>
      </c>
      <c r="M513" s="7">
        <f t="shared" ca="1" si="140"/>
        <v>938</v>
      </c>
      <c r="N513" s="44">
        <f t="shared" ca="1" si="141"/>
        <v>12</v>
      </c>
      <c r="O513" s="94">
        <f t="shared" ca="1" si="142"/>
        <v>3.0624018806381534</v>
      </c>
      <c r="P513" s="94">
        <f t="shared" ca="1" si="143"/>
        <v>30.624018806381528</v>
      </c>
      <c r="Q513" s="94">
        <f t="shared" ca="1" si="144"/>
        <v>30.624018806381528</v>
      </c>
      <c r="R513" s="94">
        <f t="shared" ca="1" si="145"/>
        <v>3.062401880638153</v>
      </c>
      <c r="S513" s="94">
        <f t="shared" ca="1" si="146"/>
        <v>3.0624018806381534</v>
      </c>
      <c r="T513" s="4">
        <f t="shared" ca="1" si="147"/>
        <v>0</v>
      </c>
      <c r="U513" s="46">
        <f t="shared" ca="1" si="148"/>
        <v>1366.7282638229713</v>
      </c>
      <c r="V513" s="4">
        <f t="shared" ca="1" si="149"/>
        <v>0</v>
      </c>
      <c r="W513" s="13">
        <f t="shared" ca="1" si="150"/>
        <v>5843.7154583287929</v>
      </c>
      <c r="X513" s="4">
        <f t="shared" ca="1" si="151"/>
        <v>0</v>
      </c>
      <c r="AE513" s="4"/>
    </row>
    <row r="514" spans="1:31">
      <c r="A514">
        <v>3</v>
      </c>
      <c r="B514">
        <v>3</v>
      </c>
      <c r="C514">
        <f t="shared" si="133"/>
        <v>8</v>
      </c>
      <c r="D514">
        <f t="shared" si="134"/>
        <v>6</v>
      </c>
      <c r="E514">
        <f t="shared" si="135"/>
        <v>3</v>
      </c>
      <c r="F514" s="100">
        <f t="shared" ca="1" si="136"/>
        <v>0</v>
      </c>
      <c r="G514">
        <v>0</v>
      </c>
      <c r="H514">
        <v>1</v>
      </c>
      <c r="I514">
        <v>7</v>
      </c>
      <c r="J514" s="1">
        <f t="shared" ca="1" si="137"/>
        <v>0</v>
      </c>
      <c r="K514" s="1">
        <f t="shared" ca="1" si="138"/>
        <v>0</v>
      </c>
      <c r="L514" s="13">
        <f t="shared" ca="1" si="139"/>
        <v>153</v>
      </c>
      <c r="M514" s="7">
        <f t="shared" ca="1" si="140"/>
        <v>847</v>
      </c>
      <c r="N514" s="44">
        <f t="shared" ca="1" si="141"/>
        <v>11</v>
      </c>
      <c r="O514" s="94">
        <f t="shared" ca="1" si="142"/>
        <v>2.8397004155948178</v>
      </c>
      <c r="P514" s="94">
        <f t="shared" ca="1" si="143"/>
        <v>28.397004155948181</v>
      </c>
      <c r="Q514" s="94">
        <f t="shared" ca="1" si="144"/>
        <v>28.397004155948181</v>
      </c>
      <c r="R514" s="94">
        <f t="shared" ca="1" si="145"/>
        <v>2.8397004155948182</v>
      </c>
      <c r="S514" s="94">
        <f t="shared" ca="1" si="146"/>
        <v>2.8397004155948178</v>
      </c>
      <c r="T514" s="4">
        <f t="shared" ca="1" si="147"/>
        <v>0</v>
      </c>
      <c r="U514" s="46">
        <f t="shared" ca="1" si="148"/>
        <v>1376.1639413314356</v>
      </c>
      <c r="V514" s="4">
        <f t="shared" ca="1" si="149"/>
        <v>0</v>
      </c>
      <c r="W514" s="13">
        <f t="shared" ca="1" si="150"/>
        <v>6469.4270995668039</v>
      </c>
      <c r="X514" s="4">
        <f t="shared" ca="1" si="151"/>
        <v>0</v>
      </c>
      <c r="AE514" s="4"/>
    </row>
    <row r="515" spans="1:31">
      <c r="A515">
        <v>3</v>
      </c>
      <c r="B515">
        <v>3</v>
      </c>
      <c r="C515">
        <f t="shared" si="133"/>
        <v>8</v>
      </c>
      <c r="D515">
        <f t="shared" si="134"/>
        <v>6</v>
      </c>
      <c r="E515">
        <f t="shared" si="135"/>
        <v>3</v>
      </c>
      <c r="F515" s="100">
        <f t="shared" ca="1" si="136"/>
        <v>0</v>
      </c>
      <c r="G515">
        <v>0</v>
      </c>
      <c r="H515">
        <v>1</v>
      </c>
      <c r="I515">
        <v>6</v>
      </c>
      <c r="J515" s="1">
        <f t="shared" ca="1" si="137"/>
        <v>4.66032673953495E-2</v>
      </c>
      <c r="K515" s="1">
        <f t="shared" ca="1" si="138"/>
        <v>0</v>
      </c>
      <c r="L515" s="13">
        <f t="shared" ca="1" si="139"/>
        <v>140</v>
      </c>
      <c r="M515" s="7">
        <f t="shared" ca="1" si="140"/>
        <v>860</v>
      </c>
      <c r="N515" s="44">
        <f t="shared" ca="1" si="141"/>
        <v>11</v>
      </c>
      <c r="O515" s="94">
        <f t="shared" ca="1" si="142"/>
        <v>2.8397004155948178</v>
      </c>
      <c r="P515" s="94">
        <f t="shared" ca="1" si="143"/>
        <v>28.397004155948181</v>
      </c>
      <c r="Q515" s="94">
        <f t="shared" ca="1" si="144"/>
        <v>28.397004155948181</v>
      </c>
      <c r="R515" s="94">
        <f t="shared" ca="1" si="145"/>
        <v>2.8397004155948182</v>
      </c>
      <c r="S515" s="94">
        <f t="shared" ca="1" si="146"/>
        <v>2.8397004155948178</v>
      </c>
      <c r="T515" s="4">
        <f t="shared" ca="1" si="147"/>
        <v>0</v>
      </c>
      <c r="U515" s="46">
        <f t="shared" ca="1" si="148"/>
        <v>1363.1639413314356</v>
      </c>
      <c r="V515" s="4">
        <f t="shared" ca="1" si="149"/>
        <v>0</v>
      </c>
      <c r="W515" s="13">
        <f t="shared" ca="1" si="150"/>
        <v>5634.6106055198334</v>
      </c>
      <c r="X515" s="4">
        <f t="shared" ca="1" si="151"/>
        <v>0</v>
      </c>
      <c r="AE515" s="4"/>
    </row>
    <row r="516" spans="1:31">
      <c r="A516">
        <v>3</v>
      </c>
      <c r="B516">
        <v>3</v>
      </c>
      <c r="C516">
        <f t="shared" si="133"/>
        <v>8</v>
      </c>
      <c r="D516">
        <f t="shared" si="134"/>
        <v>6</v>
      </c>
      <c r="E516">
        <f t="shared" si="135"/>
        <v>3</v>
      </c>
      <c r="F516" s="100">
        <f t="shared" ca="1" si="136"/>
        <v>0</v>
      </c>
      <c r="G516">
        <v>0</v>
      </c>
      <c r="H516">
        <v>1</v>
      </c>
      <c r="I516">
        <v>5</v>
      </c>
      <c r="J516" s="1">
        <f t="shared" ca="1" si="137"/>
        <v>2.8244404482030022E-3</v>
      </c>
      <c r="K516" s="1">
        <f t="shared" ca="1" si="138"/>
        <v>0</v>
      </c>
      <c r="L516" s="13">
        <f t="shared" ca="1" si="139"/>
        <v>127</v>
      </c>
      <c r="M516" s="7">
        <f t="shared" ca="1" si="140"/>
        <v>873</v>
      </c>
      <c r="N516" s="44">
        <f t="shared" ca="1" si="141"/>
        <v>11</v>
      </c>
      <c r="O516" s="94">
        <f t="shared" ca="1" si="142"/>
        <v>2.8397004155948178</v>
      </c>
      <c r="P516" s="94">
        <f t="shared" ca="1" si="143"/>
        <v>28.397004155948181</v>
      </c>
      <c r="Q516" s="94">
        <f t="shared" ca="1" si="144"/>
        <v>28.397004155948181</v>
      </c>
      <c r="R516" s="94">
        <f t="shared" ca="1" si="145"/>
        <v>2.8397004155948182</v>
      </c>
      <c r="S516" s="94">
        <f t="shared" ca="1" si="146"/>
        <v>2.8397004155948178</v>
      </c>
      <c r="T516" s="4">
        <f t="shared" ca="1" si="147"/>
        <v>0</v>
      </c>
      <c r="U516" s="46">
        <f t="shared" ca="1" si="148"/>
        <v>1350.1639413314356</v>
      </c>
      <c r="V516" s="4">
        <f t="shared" ca="1" si="149"/>
        <v>0</v>
      </c>
      <c r="W516" s="13">
        <f t="shared" ca="1" si="150"/>
        <v>4799.7941114728637</v>
      </c>
      <c r="X516" s="4">
        <f t="shared" ca="1" si="151"/>
        <v>0</v>
      </c>
      <c r="AE516" s="4"/>
    </row>
    <row r="517" spans="1:31">
      <c r="A517">
        <v>3</v>
      </c>
      <c r="B517">
        <v>3</v>
      </c>
      <c r="C517">
        <f t="shared" si="133"/>
        <v>8</v>
      </c>
      <c r="D517">
        <f t="shared" si="134"/>
        <v>6</v>
      </c>
      <c r="E517">
        <f t="shared" si="135"/>
        <v>3</v>
      </c>
      <c r="F517" s="100">
        <f t="shared" ca="1" si="136"/>
        <v>0</v>
      </c>
      <c r="G517">
        <v>0</v>
      </c>
      <c r="H517">
        <v>1</v>
      </c>
      <c r="I517">
        <v>4</v>
      </c>
      <c r="J517" s="1">
        <f t="shared" ca="1" si="137"/>
        <v>7.1324253742500139E-5</v>
      </c>
      <c r="K517" s="1">
        <f t="shared" ca="1" si="138"/>
        <v>0</v>
      </c>
      <c r="L517" s="13">
        <f t="shared" ca="1" si="139"/>
        <v>114</v>
      </c>
      <c r="M517" s="7">
        <f t="shared" ca="1" si="140"/>
        <v>886</v>
      </c>
      <c r="N517" s="44">
        <f t="shared" ca="1" si="141"/>
        <v>12</v>
      </c>
      <c r="O517" s="94">
        <f t="shared" ca="1" si="142"/>
        <v>3.0624018806381534</v>
      </c>
      <c r="P517" s="94">
        <f t="shared" ca="1" si="143"/>
        <v>29.510511481164862</v>
      </c>
      <c r="Q517" s="94">
        <f t="shared" ca="1" si="144"/>
        <v>28.397004155948181</v>
      </c>
      <c r="R517" s="94">
        <f t="shared" ca="1" si="145"/>
        <v>2.8953757818556523</v>
      </c>
      <c r="S517" s="94">
        <f t="shared" ca="1" si="146"/>
        <v>3.0624018806381534</v>
      </c>
      <c r="T517" s="4">
        <f t="shared" ca="1" si="147"/>
        <v>0</v>
      </c>
      <c r="U517" s="46">
        <f t="shared" ca="1" si="148"/>
        <v>1418.7282638229713</v>
      </c>
      <c r="V517" s="4">
        <f t="shared" ca="1" si="149"/>
        <v>0</v>
      </c>
      <c r="W517" s="13">
        <f t="shared" ca="1" si="150"/>
        <v>3964.9776174258936</v>
      </c>
      <c r="X517" s="4">
        <f t="shared" ca="1" si="151"/>
        <v>0</v>
      </c>
      <c r="AE517" s="4"/>
    </row>
    <row r="518" spans="1:31">
      <c r="A518">
        <v>3</v>
      </c>
      <c r="B518">
        <v>3</v>
      </c>
      <c r="C518">
        <f t="shared" si="133"/>
        <v>8</v>
      </c>
      <c r="D518">
        <f t="shared" si="134"/>
        <v>6</v>
      </c>
      <c r="E518">
        <f t="shared" si="135"/>
        <v>3</v>
      </c>
      <c r="F518" s="100">
        <f t="shared" ca="1" si="136"/>
        <v>0</v>
      </c>
      <c r="G518">
        <v>0</v>
      </c>
      <c r="H518">
        <v>1</v>
      </c>
      <c r="I518">
        <v>3</v>
      </c>
      <c r="J518" s="1">
        <f t="shared" ca="1" si="137"/>
        <v>9.6059601000000243E-7</v>
      </c>
      <c r="K518" s="1">
        <f t="shared" ca="1" si="138"/>
        <v>0</v>
      </c>
      <c r="L518" s="13">
        <f t="shared" ca="1" si="139"/>
        <v>101</v>
      </c>
      <c r="M518" s="7">
        <f t="shared" ca="1" si="140"/>
        <v>899</v>
      </c>
      <c r="N518" s="44">
        <f t="shared" ca="1" si="141"/>
        <v>12</v>
      </c>
      <c r="O518" s="94">
        <f t="shared" ca="1" si="142"/>
        <v>3.0624018806381534</v>
      </c>
      <c r="P518" s="94">
        <f t="shared" ca="1" si="143"/>
        <v>30.624018806381528</v>
      </c>
      <c r="Q518" s="94">
        <f t="shared" ca="1" si="144"/>
        <v>30.178615876294863</v>
      </c>
      <c r="R518" s="94">
        <f t="shared" ca="1" si="145"/>
        <v>3.0401317341338197</v>
      </c>
      <c r="S518" s="94">
        <f t="shared" ca="1" si="146"/>
        <v>3.0624018806381534</v>
      </c>
      <c r="T518" s="4">
        <f t="shared" ca="1" si="147"/>
        <v>0</v>
      </c>
      <c r="U518" s="46">
        <f t="shared" ca="1" si="148"/>
        <v>1405.7282638229713</v>
      </c>
      <c r="V518" s="4">
        <f t="shared" ca="1" si="149"/>
        <v>0</v>
      </c>
      <c r="W518" s="13">
        <f t="shared" ca="1" si="150"/>
        <v>3130.1611233789231</v>
      </c>
      <c r="X518" s="4">
        <f t="shared" ca="1" si="151"/>
        <v>0</v>
      </c>
      <c r="AE518" s="4"/>
    </row>
    <row r="519" spans="1:31">
      <c r="A519">
        <v>3</v>
      </c>
      <c r="B519">
        <v>3</v>
      </c>
      <c r="C519">
        <f t="shared" si="133"/>
        <v>8</v>
      </c>
      <c r="D519">
        <f t="shared" si="134"/>
        <v>6</v>
      </c>
      <c r="E519">
        <f t="shared" si="135"/>
        <v>3</v>
      </c>
      <c r="F519" s="100">
        <f t="shared" ca="1" si="136"/>
        <v>0</v>
      </c>
      <c r="G519">
        <v>0</v>
      </c>
      <c r="H519">
        <v>1</v>
      </c>
      <c r="I519">
        <v>2</v>
      </c>
      <c r="J519" s="1">
        <f t="shared" ca="1" si="137"/>
        <v>7.2772425000000281E-9</v>
      </c>
      <c r="K519" s="1">
        <f t="shared" ca="1" si="138"/>
        <v>0</v>
      </c>
      <c r="L519" s="13">
        <f t="shared" ca="1" si="139"/>
        <v>88</v>
      </c>
      <c r="M519" s="7">
        <f t="shared" ca="1" si="140"/>
        <v>912</v>
      </c>
      <c r="N519" s="44">
        <f t="shared" ca="1" si="141"/>
        <v>12</v>
      </c>
      <c r="O519" s="94">
        <f t="shared" ca="1" si="142"/>
        <v>3.0624018806381534</v>
      </c>
      <c r="P519" s="94">
        <f t="shared" ca="1" si="143"/>
        <v>30.624018806381528</v>
      </c>
      <c r="Q519" s="94">
        <f t="shared" ca="1" si="144"/>
        <v>30.624018806381528</v>
      </c>
      <c r="R519" s="94">
        <f t="shared" ca="1" si="145"/>
        <v>3.062401880638153</v>
      </c>
      <c r="S519" s="94">
        <f t="shared" ca="1" si="146"/>
        <v>3.0624018806381534</v>
      </c>
      <c r="T519" s="4">
        <f t="shared" ca="1" si="147"/>
        <v>0</v>
      </c>
      <c r="U519" s="46">
        <f t="shared" ca="1" si="148"/>
        <v>1392.7282638229713</v>
      </c>
      <c r="V519" s="4">
        <f t="shared" ca="1" si="149"/>
        <v>0</v>
      </c>
      <c r="W519" s="13">
        <f t="shared" ca="1" si="150"/>
        <v>2295.344629331953</v>
      </c>
      <c r="X519" s="4">
        <f t="shared" ca="1" si="151"/>
        <v>0</v>
      </c>
      <c r="AE519" s="4"/>
    </row>
    <row r="520" spans="1:31">
      <c r="A520">
        <v>3</v>
      </c>
      <c r="B520">
        <v>3</v>
      </c>
      <c r="C520">
        <f t="shared" si="133"/>
        <v>8</v>
      </c>
      <c r="D520">
        <f t="shared" si="134"/>
        <v>6</v>
      </c>
      <c r="E520">
        <f t="shared" si="135"/>
        <v>3</v>
      </c>
      <c r="F520" s="100">
        <f t="shared" ca="1" si="136"/>
        <v>0</v>
      </c>
      <c r="G520">
        <v>0</v>
      </c>
      <c r="H520">
        <v>1</v>
      </c>
      <c r="I520">
        <v>1</v>
      </c>
      <c r="J520" s="1">
        <f t="shared" ca="1" si="137"/>
        <v>2.9403000000000132E-11</v>
      </c>
      <c r="K520" s="1">
        <f t="shared" ca="1" si="138"/>
        <v>0</v>
      </c>
      <c r="L520" s="13">
        <f t="shared" ca="1" si="139"/>
        <v>75</v>
      </c>
      <c r="M520" s="7">
        <f t="shared" ca="1" si="140"/>
        <v>925</v>
      </c>
      <c r="N520" s="44">
        <f t="shared" ca="1" si="141"/>
        <v>12</v>
      </c>
      <c r="O520" s="94">
        <f t="shared" ca="1" si="142"/>
        <v>3.0624018806381534</v>
      </c>
      <c r="P520" s="94">
        <f t="shared" ca="1" si="143"/>
        <v>30.624018806381528</v>
      </c>
      <c r="Q520" s="94">
        <f t="shared" ca="1" si="144"/>
        <v>30.624018806381528</v>
      </c>
      <c r="R520" s="94">
        <f t="shared" ca="1" si="145"/>
        <v>3.062401880638153</v>
      </c>
      <c r="S520" s="94">
        <f t="shared" ca="1" si="146"/>
        <v>3.0624018806381534</v>
      </c>
      <c r="T520" s="4">
        <f t="shared" ca="1" si="147"/>
        <v>0</v>
      </c>
      <c r="U520" s="46">
        <f t="shared" ca="1" si="148"/>
        <v>1379.7282638229713</v>
      </c>
      <c r="V520" s="4">
        <f t="shared" ca="1" si="149"/>
        <v>0</v>
      </c>
      <c r="W520" s="13">
        <f t="shared" ca="1" si="150"/>
        <v>1460.5281352849825</v>
      </c>
      <c r="X520" s="4">
        <f t="shared" ca="1" si="151"/>
        <v>0</v>
      </c>
      <c r="AE520" s="4"/>
    </row>
    <row r="521" spans="1:31">
      <c r="A521">
        <v>3</v>
      </c>
      <c r="B521">
        <v>3</v>
      </c>
      <c r="C521">
        <f t="shared" si="133"/>
        <v>8</v>
      </c>
      <c r="D521">
        <f t="shared" si="134"/>
        <v>6</v>
      </c>
      <c r="E521">
        <f t="shared" si="135"/>
        <v>3</v>
      </c>
      <c r="F521" s="100">
        <f t="shared" ca="1" si="136"/>
        <v>0</v>
      </c>
      <c r="G521">
        <v>0</v>
      </c>
      <c r="H521">
        <v>1</v>
      </c>
      <c r="I521">
        <v>0</v>
      </c>
      <c r="J521" s="1">
        <f t="shared" ca="1" si="137"/>
        <v>4.9500000000000269E-14</v>
      </c>
      <c r="K521" s="1">
        <f t="shared" ca="1" si="138"/>
        <v>0</v>
      </c>
      <c r="L521" s="13">
        <f t="shared" ca="1" si="139"/>
        <v>62</v>
      </c>
      <c r="M521" s="7">
        <f t="shared" ca="1" si="140"/>
        <v>938</v>
      </c>
      <c r="N521" s="44">
        <f t="shared" ca="1" si="141"/>
        <v>12</v>
      </c>
      <c r="O521" s="94">
        <f t="shared" ca="1" si="142"/>
        <v>3.0624018806381534</v>
      </c>
      <c r="P521" s="94">
        <f t="shared" ca="1" si="143"/>
        <v>30.624018806381528</v>
      </c>
      <c r="Q521" s="94">
        <f t="shared" ca="1" si="144"/>
        <v>30.624018806381528</v>
      </c>
      <c r="R521" s="94">
        <f t="shared" ca="1" si="145"/>
        <v>3.062401880638153</v>
      </c>
      <c r="S521" s="94">
        <f t="shared" ca="1" si="146"/>
        <v>3.0624018806381534</v>
      </c>
      <c r="T521" s="4">
        <f t="shared" ca="1" si="147"/>
        <v>0</v>
      </c>
      <c r="U521" s="46">
        <f t="shared" ca="1" si="148"/>
        <v>1366.7282638229713</v>
      </c>
      <c r="V521" s="4">
        <f t="shared" ca="1" si="149"/>
        <v>0</v>
      </c>
      <c r="W521" s="13">
        <f t="shared" ca="1" si="150"/>
        <v>625.71164123801225</v>
      </c>
      <c r="X521" s="4">
        <f t="shared" ca="1" si="151"/>
        <v>0</v>
      </c>
      <c r="AE521" s="4"/>
    </row>
    <row r="522" spans="1:31">
      <c r="A522">
        <v>3</v>
      </c>
      <c r="B522">
        <v>3</v>
      </c>
      <c r="C522">
        <f t="shared" si="133"/>
        <v>8</v>
      </c>
      <c r="D522">
        <f t="shared" si="134"/>
        <v>6</v>
      </c>
      <c r="E522">
        <f t="shared" si="135"/>
        <v>3</v>
      </c>
      <c r="F522" s="100">
        <f t="shared" ca="1" si="136"/>
        <v>0</v>
      </c>
      <c r="G522">
        <v>0</v>
      </c>
      <c r="H522">
        <v>0</v>
      </c>
      <c r="I522">
        <v>7</v>
      </c>
      <c r="J522" s="1">
        <f t="shared" ca="1" si="137"/>
        <v>0</v>
      </c>
      <c r="K522" s="1">
        <f t="shared" ca="1" si="138"/>
        <v>0</v>
      </c>
      <c r="L522" s="13">
        <f t="shared" ca="1" si="139"/>
        <v>91</v>
      </c>
      <c r="M522" s="7">
        <f t="shared" ca="1" si="140"/>
        <v>909</v>
      </c>
      <c r="N522" s="44">
        <f t="shared" ca="1" si="141"/>
        <v>12</v>
      </c>
      <c r="O522" s="94">
        <f t="shared" ca="1" si="142"/>
        <v>3.0624018806381534</v>
      </c>
      <c r="P522" s="94">
        <f t="shared" ca="1" si="143"/>
        <v>30.624018806381528</v>
      </c>
      <c r="Q522" s="94">
        <f t="shared" ca="1" si="144"/>
        <v>30.624018806381528</v>
      </c>
      <c r="R522" s="94">
        <f t="shared" ca="1" si="145"/>
        <v>3.062401880638153</v>
      </c>
      <c r="S522" s="94">
        <f t="shared" ca="1" si="146"/>
        <v>3.0624018806381534</v>
      </c>
      <c r="T522" s="4">
        <f t="shared" ca="1" si="147"/>
        <v>0</v>
      </c>
      <c r="U522" s="46">
        <f t="shared" ca="1" si="148"/>
        <v>1395.7282638229713</v>
      </c>
      <c r="V522" s="4">
        <f t="shared" ca="1" si="149"/>
        <v>0</v>
      </c>
      <c r="W522" s="13">
        <f t="shared" ca="1" si="150"/>
        <v>5843.715458328792</v>
      </c>
      <c r="X522" s="4">
        <f t="shared" ca="1" si="151"/>
        <v>0</v>
      </c>
      <c r="AE522" s="4"/>
    </row>
    <row r="523" spans="1:31">
      <c r="A523">
        <v>3</v>
      </c>
      <c r="B523">
        <v>3</v>
      </c>
      <c r="C523">
        <f t="shared" si="133"/>
        <v>8</v>
      </c>
      <c r="D523">
        <f t="shared" si="134"/>
        <v>6</v>
      </c>
      <c r="E523">
        <f t="shared" si="135"/>
        <v>3</v>
      </c>
      <c r="F523" s="100">
        <f t="shared" ca="1" si="136"/>
        <v>0</v>
      </c>
      <c r="G523">
        <v>0</v>
      </c>
      <c r="H523">
        <v>0</v>
      </c>
      <c r="I523">
        <v>6</v>
      </c>
      <c r="J523" s="1">
        <f t="shared" ca="1" si="137"/>
        <v>4.7074007470050038E-4</v>
      </c>
      <c r="K523" s="1">
        <f t="shared" ca="1" si="138"/>
        <v>0</v>
      </c>
      <c r="L523" s="13">
        <f t="shared" ca="1" si="139"/>
        <v>78</v>
      </c>
      <c r="M523" s="7">
        <f t="shared" ca="1" si="140"/>
        <v>922</v>
      </c>
      <c r="N523" s="44">
        <f t="shared" ca="1" si="141"/>
        <v>12</v>
      </c>
      <c r="O523" s="94">
        <f t="shared" ca="1" si="142"/>
        <v>3.0624018806381534</v>
      </c>
      <c r="P523" s="94">
        <f t="shared" ca="1" si="143"/>
        <v>30.624018806381528</v>
      </c>
      <c r="Q523" s="94">
        <f t="shared" ca="1" si="144"/>
        <v>30.624018806381528</v>
      </c>
      <c r="R523" s="94">
        <f t="shared" ca="1" si="145"/>
        <v>3.062401880638153</v>
      </c>
      <c r="S523" s="94">
        <f t="shared" ca="1" si="146"/>
        <v>3.0624018806381534</v>
      </c>
      <c r="T523" s="4">
        <f t="shared" ca="1" si="147"/>
        <v>0</v>
      </c>
      <c r="U523" s="46">
        <f t="shared" ca="1" si="148"/>
        <v>1382.7282638229713</v>
      </c>
      <c r="V523" s="4">
        <f t="shared" ca="1" si="149"/>
        <v>0</v>
      </c>
      <c r="W523" s="13">
        <f t="shared" ca="1" si="150"/>
        <v>5008.8989642818215</v>
      </c>
      <c r="X523" s="4">
        <f t="shared" ca="1" si="151"/>
        <v>0</v>
      </c>
      <c r="AE523" s="4"/>
    </row>
    <row r="524" spans="1:31">
      <c r="A524">
        <v>3</v>
      </c>
      <c r="B524">
        <v>3</v>
      </c>
      <c r="C524">
        <f t="shared" si="133"/>
        <v>8</v>
      </c>
      <c r="D524">
        <f t="shared" si="134"/>
        <v>6</v>
      </c>
      <c r="E524">
        <f t="shared" si="135"/>
        <v>3</v>
      </c>
      <c r="F524" s="100">
        <f t="shared" ca="1" si="136"/>
        <v>0</v>
      </c>
      <c r="G524">
        <v>0</v>
      </c>
      <c r="H524">
        <v>0</v>
      </c>
      <c r="I524">
        <v>5</v>
      </c>
      <c r="J524" s="1">
        <f t="shared" ca="1" si="137"/>
        <v>2.8529701497000046E-5</v>
      </c>
      <c r="K524" s="1">
        <f t="shared" ca="1" si="138"/>
        <v>0</v>
      </c>
      <c r="L524" s="13">
        <f t="shared" ca="1" si="139"/>
        <v>65</v>
      </c>
      <c r="M524" s="7">
        <f t="shared" ca="1" si="140"/>
        <v>935</v>
      </c>
      <c r="N524" s="44">
        <f t="shared" ca="1" si="141"/>
        <v>12</v>
      </c>
      <c r="O524" s="94">
        <f t="shared" ca="1" si="142"/>
        <v>3.0624018806381534</v>
      </c>
      <c r="P524" s="94">
        <f t="shared" ca="1" si="143"/>
        <v>30.624018806381528</v>
      </c>
      <c r="Q524" s="94">
        <f t="shared" ca="1" si="144"/>
        <v>30.624018806381528</v>
      </c>
      <c r="R524" s="94">
        <f t="shared" ca="1" si="145"/>
        <v>3.062401880638153</v>
      </c>
      <c r="S524" s="94">
        <f t="shared" ca="1" si="146"/>
        <v>3.0624018806381534</v>
      </c>
      <c r="T524" s="4">
        <f t="shared" ca="1" si="147"/>
        <v>0</v>
      </c>
      <c r="U524" s="46">
        <f t="shared" ca="1" si="148"/>
        <v>1369.7282638229713</v>
      </c>
      <c r="V524" s="4">
        <f t="shared" ca="1" si="149"/>
        <v>0</v>
      </c>
      <c r="W524" s="13">
        <f t="shared" ca="1" si="150"/>
        <v>4174.0824702348518</v>
      </c>
      <c r="X524" s="4">
        <f t="shared" ca="1" si="151"/>
        <v>0</v>
      </c>
      <c r="AE524" s="4"/>
    </row>
    <row r="525" spans="1:31">
      <c r="A525">
        <v>3</v>
      </c>
      <c r="B525">
        <v>3</v>
      </c>
      <c r="C525">
        <f t="shared" si="133"/>
        <v>8</v>
      </c>
      <c r="D525">
        <f t="shared" si="134"/>
        <v>6</v>
      </c>
      <c r="E525">
        <f t="shared" si="135"/>
        <v>3</v>
      </c>
      <c r="F525" s="100">
        <f t="shared" ca="1" si="136"/>
        <v>0</v>
      </c>
      <c r="G525">
        <v>0</v>
      </c>
      <c r="H525">
        <v>0</v>
      </c>
      <c r="I525">
        <v>4</v>
      </c>
      <c r="J525" s="1">
        <f t="shared" ca="1" si="137"/>
        <v>7.2044700750000193E-7</v>
      </c>
      <c r="K525" s="1">
        <f t="shared" ca="1" si="138"/>
        <v>0</v>
      </c>
      <c r="L525" s="13">
        <f t="shared" ca="1" si="139"/>
        <v>52</v>
      </c>
      <c r="M525" s="7">
        <f t="shared" ca="1" si="140"/>
        <v>948</v>
      </c>
      <c r="N525" s="44">
        <f t="shared" ca="1" si="141"/>
        <v>12</v>
      </c>
      <c r="O525" s="94">
        <f t="shared" ca="1" si="142"/>
        <v>3.0624018806381534</v>
      </c>
      <c r="P525" s="94">
        <f t="shared" ca="1" si="143"/>
        <v>30.624018806381528</v>
      </c>
      <c r="Q525" s="94">
        <f t="shared" ca="1" si="144"/>
        <v>30.624018806381528</v>
      </c>
      <c r="R525" s="94">
        <f t="shared" ca="1" si="145"/>
        <v>3.062401880638153</v>
      </c>
      <c r="S525" s="94">
        <f t="shared" ca="1" si="146"/>
        <v>3.0624018806381534</v>
      </c>
      <c r="T525" s="4">
        <f t="shared" ca="1" si="147"/>
        <v>0</v>
      </c>
      <c r="U525" s="46">
        <f t="shared" ca="1" si="148"/>
        <v>1356.7282638229713</v>
      </c>
      <c r="V525" s="4">
        <f t="shared" ca="1" si="149"/>
        <v>0</v>
      </c>
      <c r="W525" s="13">
        <f t="shared" ca="1" si="150"/>
        <v>3339.2659761878813</v>
      </c>
      <c r="X525" s="4">
        <f t="shared" ca="1" si="151"/>
        <v>0</v>
      </c>
      <c r="AE525" s="4"/>
    </row>
    <row r="526" spans="1:31">
      <c r="A526">
        <v>3</v>
      </c>
      <c r="B526">
        <v>3</v>
      </c>
      <c r="C526">
        <f t="shared" si="133"/>
        <v>8</v>
      </c>
      <c r="D526">
        <f t="shared" si="134"/>
        <v>6</v>
      </c>
      <c r="E526">
        <f t="shared" si="135"/>
        <v>3</v>
      </c>
      <c r="F526" s="100">
        <f t="shared" ca="1" si="136"/>
        <v>0</v>
      </c>
      <c r="G526">
        <v>0</v>
      </c>
      <c r="H526">
        <v>0</v>
      </c>
      <c r="I526">
        <v>3</v>
      </c>
      <c r="J526" s="1">
        <f t="shared" ca="1" si="137"/>
        <v>9.7029900000000341E-9</v>
      </c>
      <c r="K526" s="1">
        <f t="shared" ca="1" si="138"/>
        <v>0</v>
      </c>
      <c r="L526" s="13">
        <f t="shared" ca="1" si="139"/>
        <v>39</v>
      </c>
      <c r="M526" s="7">
        <f t="shared" ca="1" si="140"/>
        <v>961</v>
      </c>
      <c r="N526" s="44">
        <f t="shared" ca="1" si="141"/>
        <v>13</v>
      </c>
      <c r="O526" s="94">
        <f t="shared" ca="1" si="142"/>
        <v>3.2733204919050856</v>
      </c>
      <c r="P526" s="94">
        <f t="shared" ca="1" si="143"/>
        <v>30.624018806381528</v>
      </c>
      <c r="Q526" s="94">
        <f t="shared" ca="1" si="144"/>
        <v>30.624018806381528</v>
      </c>
      <c r="R526" s="94">
        <f t="shared" ca="1" si="145"/>
        <v>3.062401880638153</v>
      </c>
      <c r="S526" s="94">
        <f t="shared" ca="1" si="146"/>
        <v>3.2733204919050856</v>
      </c>
      <c r="T526" s="4">
        <f t="shared" ca="1" si="147"/>
        <v>0</v>
      </c>
      <c r="U526" s="46">
        <f t="shared" ca="1" si="148"/>
        <v>1420.9771208320408</v>
      </c>
      <c r="V526" s="4">
        <f t="shared" ca="1" si="149"/>
        <v>0</v>
      </c>
      <c r="W526" s="13">
        <f t="shared" ca="1" si="150"/>
        <v>2504.4494821409107</v>
      </c>
      <c r="X526" s="4">
        <f t="shared" ca="1" si="151"/>
        <v>0</v>
      </c>
      <c r="AE526" s="4"/>
    </row>
    <row r="527" spans="1:31">
      <c r="A527">
        <v>3</v>
      </c>
      <c r="B527">
        <v>3</v>
      </c>
      <c r="C527">
        <f t="shared" si="133"/>
        <v>8</v>
      </c>
      <c r="D527">
        <f t="shared" si="134"/>
        <v>6</v>
      </c>
      <c r="E527">
        <f t="shared" si="135"/>
        <v>3</v>
      </c>
      <c r="F527" s="100">
        <f t="shared" ca="1" si="136"/>
        <v>0</v>
      </c>
      <c r="G527">
        <v>0</v>
      </c>
      <c r="H527">
        <v>0</v>
      </c>
      <c r="I527">
        <v>2</v>
      </c>
      <c r="J527" s="1">
        <f t="shared" ca="1" si="137"/>
        <v>7.350750000000034E-11</v>
      </c>
      <c r="K527" s="1">
        <f t="shared" ca="1" si="138"/>
        <v>0</v>
      </c>
      <c r="L527" s="13">
        <f t="shared" ca="1" si="139"/>
        <v>26</v>
      </c>
      <c r="M527" s="7">
        <f t="shared" ca="1" si="140"/>
        <v>974</v>
      </c>
      <c r="N527" s="44">
        <f t="shared" ca="1" si="141"/>
        <v>13</v>
      </c>
      <c r="O527" s="94">
        <f t="shared" ca="1" si="142"/>
        <v>3.2733204919050856</v>
      </c>
      <c r="P527" s="94">
        <f t="shared" ca="1" si="143"/>
        <v>32.733204919050856</v>
      </c>
      <c r="Q527" s="94">
        <f t="shared" ca="1" si="144"/>
        <v>31.256774640182325</v>
      </c>
      <c r="R527" s="94">
        <f t="shared" ca="1" si="145"/>
        <v>3.1994989779616589</v>
      </c>
      <c r="S527" s="94">
        <f t="shared" ca="1" si="146"/>
        <v>3.2733204919050856</v>
      </c>
      <c r="T527" s="4">
        <f t="shared" ca="1" si="147"/>
        <v>0</v>
      </c>
      <c r="U527" s="46">
        <f t="shared" ca="1" si="148"/>
        <v>1407.9771208320408</v>
      </c>
      <c r="V527" s="4">
        <f t="shared" ca="1" si="149"/>
        <v>0</v>
      </c>
      <c r="W527" s="13">
        <f t="shared" ca="1" si="150"/>
        <v>1669.6329880939406</v>
      </c>
      <c r="X527" s="4">
        <f t="shared" ca="1" si="151"/>
        <v>0</v>
      </c>
      <c r="AE527" s="4"/>
    </row>
    <row r="528" spans="1:31">
      <c r="A528">
        <v>3</v>
      </c>
      <c r="B528">
        <v>3</v>
      </c>
      <c r="C528">
        <f t="shared" si="133"/>
        <v>8</v>
      </c>
      <c r="D528">
        <f t="shared" si="134"/>
        <v>6</v>
      </c>
      <c r="E528">
        <f t="shared" si="135"/>
        <v>3</v>
      </c>
      <c r="F528" s="100">
        <f t="shared" ca="1" si="136"/>
        <v>0</v>
      </c>
      <c r="G528">
        <v>0</v>
      </c>
      <c r="H528">
        <v>0</v>
      </c>
      <c r="I528">
        <v>1</v>
      </c>
      <c r="J528" s="1">
        <f t="shared" ca="1" si="137"/>
        <v>2.9700000000000161E-13</v>
      </c>
      <c r="K528" s="1">
        <f t="shared" ca="1" si="138"/>
        <v>0</v>
      </c>
      <c r="L528" s="13">
        <f t="shared" ca="1" si="139"/>
        <v>13</v>
      </c>
      <c r="M528" s="7">
        <f t="shared" ca="1" si="140"/>
        <v>987</v>
      </c>
      <c r="N528" s="44">
        <f t="shared" ca="1" si="141"/>
        <v>13</v>
      </c>
      <c r="O528" s="94">
        <f t="shared" ca="1" si="142"/>
        <v>3.2733204919050856</v>
      </c>
      <c r="P528" s="94">
        <f t="shared" ca="1" si="143"/>
        <v>32.733204919050856</v>
      </c>
      <c r="Q528" s="94">
        <f t="shared" ca="1" si="144"/>
        <v>32.733204919050856</v>
      </c>
      <c r="R528" s="94">
        <f t="shared" ca="1" si="145"/>
        <v>3.2733204919050856</v>
      </c>
      <c r="S528" s="94">
        <f t="shared" ca="1" si="146"/>
        <v>3.2733204919050856</v>
      </c>
      <c r="T528" s="4">
        <f t="shared" ca="1" si="147"/>
        <v>0</v>
      </c>
      <c r="U528" s="46">
        <f t="shared" ca="1" si="148"/>
        <v>1394.9771208320408</v>
      </c>
      <c r="V528" s="4">
        <f t="shared" ca="1" si="149"/>
        <v>0</v>
      </c>
      <c r="W528" s="13">
        <f t="shared" ca="1" si="150"/>
        <v>834.81649404697032</v>
      </c>
      <c r="X528" s="4">
        <f t="shared" ca="1" si="151"/>
        <v>0</v>
      </c>
      <c r="AE528" s="4"/>
    </row>
    <row r="529" spans="1:31">
      <c r="A529">
        <v>3</v>
      </c>
      <c r="B529">
        <v>3</v>
      </c>
      <c r="C529">
        <f t="shared" si="133"/>
        <v>8</v>
      </c>
      <c r="D529">
        <f t="shared" si="134"/>
        <v>6</v>
      </c>
      <c r="E529">
        <f t="shared" si="135"/>
        <v>3</v>
      </c>
      <c r="F529" s="100">
        <f t="shared" ca="1" si="136"/>
        <v>0</v>
      </c>
      <c r="G529">
        <v>0</v>
      </c>
      <c r="H529">
        <v>0</v>
      </c>
      <c r="I529">
        <v>0</v>
      </c>
      <c r="J529" s="1">
        <f t="shared" ca="1" si="137"/>
        <v>5.0000000000000319E-16</v>
      </c>
      <c r="K529" s="1">
        <f t="shared" ca="1" si="138"/>
        <v>0</v>
      </c>
      <c r="L529" s="13">
        <f t="shared" ca="1" si="139"/>
        <v>0</v>
      </c>
      <c r="M529" s="7">
        <f t="shared" ca="1" si="140"/>
        <v>1000</v>
      </c>
      <c r="N529" s="44">
        <f t="shared" ca="1" si="141"/>
        <v>13</v>
      </c>
      <c r="O529" s="94">
        <f t="shared" ca="1" si="142"/>
        <v>3.2733204919050856</v>
      </c>
      <c r="P529" s="94">
        <f t="shared" ca="1" si="143"/>
        <v>32.733204919050856</v>
      </c>
      <c r="Q529" s="94">
        <f t="shared" ca="1" si="144"/>
        <v>32.733204919050856</v>
      </c>
      <c r="R529" s="94">
        <f t="shared" ca="1" si="145"/>
        <v>3.2733204919050856</v>
      </c>
      <c r="S529" s="94">
        <f t="shared" ca="1" si="146"/>
        <v>3.2733204919050856</v>
      </c>
      <c r="T529" s="4">
        <f t="shared" ca="1" si="147"/>
        <v>0</v>
      </c>
      <c r="U529" s="46">
        <f t="shared" ca="1" si="148"/>
        <v>1381.9771208320408</v>
      </c>
      <c r="V529" s="4">
        <f t="shared" ca="1" si="149"/>
        <v>0</v>
      </c>
      <c r="W529" s="13">
        <f t="shared" ca="1" si="150"/>
        <v>0</v>
      </c>
      <c r="X529" s="4">
        <f t="shared" ca="1" si="151"/>
        <v>0</v>
      </c>
      <c r="AE529" s="4"/>
    </row>
    <row r="531" spans="1:31">
      <c r="J531" s="2" t="s">
        <v>335</v>
      </c>
      <c r="K531" s="40">
        <f ca="1">SUM(K18:K529)</f>
        <v>0.99999999999999956</v>
      </c>
      <c r="O531" s="44"/>
      <c r="P531" s="44"/>
      <c r="Q531" s="44"/>
      <c r="R531" s="44"/>
      <c r="S531" s="44" t="s">
        <v>336</v>
      </c>
      <c r="T531" s="4">
        <f ca="1">SUM(T18:T529)</f>
        <v>2.8530553862946908</v>
      </c>
      <c r="U531" t="s">
        <v>159</v>
      </c>
      <c r="V531" s="4">
        <f ca="1">SUM(V18:V529)</f>
        <v>1362.0160040082765</v>
      </c>
      <c r="W531" t="s">
        <v>337</v>
      </c>
      <c r="X531" s="4">
        <f ca="1">SUM(X18:X529)</f>
        <v>7049.5200440781946</v>
      </c>
      <c r="AE531" s="4"/>
    </row>
    <row r="534" spans="1:31">
      <c r="A534" t="s">
        <v>365</v>
      </c>
      <c r="Q534" s="44"/>
      <c r="R534" s="44"/>
    </row>
    <row r="535" spans="1:31">
      <c r="A535" s="9" t="str">
        <f>Setup!C24</f>
        <v>Blade: Ten</v>
      </c>
      <c r="F535" s="2"/>
      <c r="I535" t="str">
        <f>VLOOKUP($A$535, WeaponskillData, MATCH("WSC1 Name", WeaponskillDataCols, 0), 0)</f>
        <v>Str</v>
      </c>
      <c r="J535" s="7">
        <f ca="1">INDIRECT($A$534 &amp; "WS" &amp; I535)</f>
        <v>377</v>
      </c>
      <c r="K535" s="92">
        <f>VLOOKUP($A$535, WeaponskillData, MATCH("WSC1 Value", WeaponskillDataCols, 0), 0)</f>
        <v>0.3</v>
      </c>
      <c r="P535" s="44"/>
      <c r="Q535" s="93"/>
      <c r="R535" s="93"/>
    </row>
    <row r="536" spans="1:31">
      <c r="A536" t="s">
        <v>49</v>
      </c>
      <c r="B536" s="35">
        <f ca="1">Set2MeleeTP</f>
        <v>89</v>
      </c>
      <c r="D536" t="s">
        <v>43</v>
      </c>
      <c r="E536" s="2">
        <f ca="1">Set2DA</f>
        <v>0.35</v>
      </c>
      <c r="F536" s="2"/>
      <c r="I536" t="str">
        <f>VLOOKUP($A$535, WeaponskillData, MATCH("WSC2 Name", WeaponskillDataCols, 0), 0)</f>
        <v>Dex</v>
      </c>
      <c r="J536" s="7">
        <f ca="1">IF(I536&lt;&gt;"N/A", INDIRECT($A$534 &amp; "WS" &amp; I536), 0)</f>
        <v>306</v>
      </c>
      <c r="K536" s="92">
        <f>IF(I536&lt;&gt;"N/A", VLOOKUP($A$535, WeaponskillData, MATCH("WSC2 Value", WeaponskillDataCols, 0), 0), 0)</f>
        <v>0.3</v>
      </c>
      <c r="P536" s="44"/>
      <c r="Q536" s="46"/>
      <c r="R536" s="46"/>
    </row>
    <row r="537" spans="1:31">
      <c r="A537" t="s">
        <v>50</v>
      </c>
      <c r="B537">
        <f ca="1">Set2WSTP</f>
        <v>65</v>
      </c>
      <c r="D537" t="s">
        <v>150</v>
      </c>
      <c r="E537" s="2">
        <f ca="1">Set2TA</f>
        <v>0.11</v>
      </c>
      <c r="F537" s="2"/>
      <c r="I537" t="s">
        <v>98</v>
      </c>
      <c r="J537">
        <f ca="1">TRUNC(J535*K535+J536*K536)</f>
        <v>204</v>
      </c>
    </row>
    <row r="538" spans="1:31">
      <c r="A538" t="s">
        <v>361</v>
      </c>
      <c r="B538">
        <f ca="1">Set2WSStoreTP</f>
        <v>37</v>
      </c>
      <c r="D538" t="s">
        <v>309</v>
      </c>
      <c r="E538" s="2">
        <f ca="1">Set2QA</f>
        <v>0</v>
      </c>
      <c r="I538" t="s">
        <v>99</v>
      </c>
      <c r="J538" s="3">
        <f>VLOOKUP($A$535, WeaponskillData, MATCH("FTP1", WeaponskillDataCols, 0), 0)</f>
        <v>4.5</v>
      </c>
      <c r="K538" s="3">
        <f>VLOOKUP($A$535, WeaponskillData, MATCH("FTP2", WeaponskillDataCols, 0), 0)</f>
        <v>11.5</v>
      </c>
      <c r="L538" s="3">
        <f>VLOOKUP($A$535, WeaponskillData, MATCH("FTP3", WeaponskillDataCols, 0), 0)</f>
        <v>15.5</v>
      </c>
      <c r="M538" s="31" t="s">
        <v>567</v>
      </c>
      <c r="N538" s="144">
        <f ca="1">(MIN(MAX((J540-1000), 0), 1000)/1000)*VLOOKUP($A$535, WeaponskillData, MATCH("Att1", WeaponskillDataCols, 0), 0) + (MIN(MAX((J540-2000), 0), 1000)/1000)*VLOOKUP($A$535, WeaponskillData, MATCH("Att2", WeaponskillDataCols, 0), 0)</f>
        <v>0</v>
      </c>
    </row>
    <row r="539" spans="1:31">
      <c r="A539" t="s">
        <v>310</v>
      </c>
      <c r="B539">
        <f ca="1">TRUNC(10*(1+B538/100))</f>
        <v>13</v>
      </c>
      <c r="D539" t="s">
        <v>439</v>
      </c>
      <c r="E539" s="2">
        <f ca="1">Melee!B65</f>
        <v>0</v>
      </c>
      <c r="I539" s="30" t="s">
        <v>311</v>
      </c>
      <c r="J539" s="3">
        <f ca="1">J538+Set2FTP</f>
        <v>4.5</v>
      </c>
      <c r="K539" s="3">
        <f ca="1">K538+Set2FTP</f>
        <v>11.5</v>
      </c>
      <c r="L539" s="3">
        <f ca="1">L538+Set2FTP</f>
        <v>15.5</v>
      </c>
      <c r="M539" s="6"/>
    </row>
    <row r="540" spans="1:31">
      <c r="A540" t="s">
        <v>52</v>
      </c>
      <c r="B540" s="5">
        <f ca="1">Set2WSHitRate</f>
        <v>0.99</v>
      </c>
      <c r="D540" t="s">
        <v>440</v>
      </c>
      <c r="E540" s="2">
        <f ca="1">Melee!B66</f>
        <v>0</v>
      </c>
      <c r="I540" t="s">
        <v>159</v>
      </c>
      <c r="J540" s="4">
        <f ca="1">MIN(TRUNC(V1064+Set2TPBonus), 3000)</f>
        <v>2160</v>
      </c>
      <c r="K540" t="s">
        <v>312</v>
      </c>
      <c r="L540" s="3">
        <f ca="1">IF(J540&lt;1000, 0, IF(J540&lt;2000, J539+(J540-1000)/1000*(K539-J539), K539+(J540-2000)/1000*(L539-K539)))</f>
        <v>12.14</v>
      </c>
    </row>
    <row r="541" spans="1:31">
      <c r="D541" t="s">
        <v>441</v>
      </c>
      <c r="E541" s="2">
        <f ca="1">Melee!B67</f>
        <v>0</v>
      </c>
      <c r="I541" t="s">
        <v>314</v>
      </c>
      <c r="J541" s="92">
        <f>VLOOKUP($A$535, WeaponskillData, MATCH("Crit0", WeaponskillDataCols, 0), 0)</f>
        <v>0</v>
      </c>
      <c r="K541" s="1">
        <f ca="1">(MIN(J540-1000, 1000)/1000)*VLOOKUP($A$535, WeaponskillData, MATCH("Crit1", WeaponskillDataCols, 0), 0) + (MAX(J540-2000, 0)/1000)*VLOOKUP($A$535, WeaponskillData, MATCH("Crit2", WeaponskillDataCols, 0), 0)</f>
        <v>0</v>
      </c>
      <c r="P541" t="s">
        <v>315</v>
      </c>
      <c r="Q541" s="4">
        <f>Set2OverTP</f>
        <v>0.5</v>
      </c>
    </row>
    <row r="542" spans="1:31">
      <c r="A542" t="s">
        <v>313</v>
      </c>
      <c r="B542">
        <f>VLOOKUP($A$535, WeaponskillData, MATCH("Extra Hits", WeaponskillDataCols, 0), 0)</f>
        <v>0</v>
      </c>
      <c r="K542" t="s">
        <v>139</v>
      </c>
      <c r="L542" t="s">
        <v>100</v>
      </c>
      <c r="M542" t="s">
        <v>108</v>
      </c>
      <c r="P542" t="s">
        <v>344</v>
      </c>
      <c r="Q542" s="2">
        <f ca="1">Set2ConserveTP</f>
        <v>0</v>
      </c>
    </row>
    <row r="543" spans="1:31">
      <c r="A543" t="s">
        <v>316</v>
      </c>
      <c r="B543">
        <f>IF(VLOOKUP($A$535, WeaponskillData, MATCH("Offhand", WeaponskillDataCols, 0), 0) = 1, IF(Gear!Z4="None", 0, 1), 0)</f>
        <v>1</v>
      </c>
      <c r="I543" t="s">
        <v>317</v>
      </c>
      <c r="J543">
        <f ca="1">Data!E116</f>
        <v>191</v>
      </c>
      <c r="K543">
        <f ca="1">FLOOR((J543+J537)*L540, 1)</f>
        <v>4795</v>
      </c>
      <c r="L543" s="1">
        <f>IF(J541=0, 0, MAX(MIN($J$541+$K$541+Data!E243, 100%), 1%))</f>
        <v>0</v>
      </c>
      <c r="M543" s="2">
        <f ca="1">Data!E246</f>
        <v>1</v>
      </c>
      <c r="P543" t="s">
        <v>343</v>
      </c>
      <c r="Q543">
        <f ca="1">Set2SaveTP</f>
        <v>0</v>
      </c>
    </row>
    <row r="544" spans="1:31">
      <c r="I544" t="s">
        <v>138</v>
      </c>
      <c r="J544">
        <f ca="1">Data!E116</f>
        <v>191</v>
      </c>
      <c r="K544">
        <f ca="1">IF(J544&gt;0, FLOOR((J544+$J$537) * IF(VLOOKUP($A$535, WeaponskillData, MATCH("FTPCarry", WeaponskillDataCols, 0), 0)=1, $L$540, 1), 1), 0)</f>
        <v>395</v>
      </c>
      <c r="L544" s="1">
        <f>IF(J541=0, 0, MAX(MIN($J$541+$K$541+Data!E243, 100%), 1%))</f>
        <v>0</v>
      </c>
      <c r="M544" s="2">
        <f ca="1">Data!E246</f>
        <v>1</v>
      </c>
      <c r="P544" t="s">
        <v>355</v>
      </c>
      <c r="Q544">
        <f>Set2MinTP</f>
        <v>1000</v>
      </c>
    </row>
    <row r="545" spans="1:24">
      <c r="I545" t="s">
        <v>318</v>
      </c>
      <c r="J545">
        <v>0</v>
      </c>
      <c r="K545">
        <f>IF(J545&gt;0, FLOOR((J545+$J$537) * IF(VLOOKUP($A$535, WeaponskillData, MATCH("FTPCarry", WeaponskillDataCols, 0), 0)=1, $L$540, 1), 1), 0)</f>
        <v>0</v>
      </c>
      <c r="L545" s="1">
        <f>IF(J541=0, 0, MAX(MIN($J$541+$K$541+Data!E243, 100%), 1%))</f>
        <v>0</v>
      </c>
      <c r="P545" t="s">
        <v>391</v>
      </c>
      <c r="Q545" s="89">
        <f ca="1">Set2WSDmg</f>
        <v>1.4000000000000001</v>
      </c>
      <c r="V545" s="35"/>
    </row>
    <row r="546" spans="1:24">
      <c r="I546" t="s">
        <v>137</v>
      </c>
      <c r="J546">
        <f ca="1">Data!E178</f>
        <v>138</v>
      </c>
      <c r="K546">
        <f ca="1">IF(J546&gt;0, FLOOR((J546+$J$537) * IF(VLOOKUP($A$535, WeaponskillData, MATCH("FTPCarry", WeaponskillDataCols, 0), 0)=1, $L$540, 1), 1), 0)</f>
        <v>342</v>
      </c>
      <c r="L546" s="1">
        <f>IF(J541=0, 0, MAX(MIN($J$541+$K$541+Data!E244, 100%), 1%))</f>
        <v>0</v>
      </c>
    </row>
    <row r="547" spans="1:24">
      <c r="I547" t="s">
        <v>37</v>
      </c>
      <c r="J547" s="6">
        <f ca="1">Data!E76</f>
        <v>1.7053182214472538</v>
      </c>
      <c r="K547" s="31" t="s">
        <v>565</v>
      </c>
      <c r="L547" s="6">
        <f ca="1">Data!E94</f>
        <v>1.6852412543591979</v>
      </c>
      <c r="M547" s="6">
        <f ca="1">Data!E110</f>
        <v>2.7594245858761988</v>
      </c>
    </row>
    <row r="548" spans="1:24">
      <c r="I548" t="s">
        <v>117</v>
      </c>
      <c r="J548" s="7">
        <f ca="1">Set2Regain</f>
        <v>0</v>
      </c>
      <c r="K548" s="31" t="s">
        <v>566</v>
      </c>
      <c r="L548" s="6">
        <f ca="1">Data!E156</f>
        <v>1.3612399603529621</v>
      </c>
      <c r="M548" s="6">
        <f ca="1">Data!E172</f>
        <v>2.4513736922406277</v>
      </c>
    </row>
    <row r="550" spans="1:24">
      <c r="A550" t="s">
        <v>362</v>
      </c>
      <c r="B550" t="s">
        <v>363</v>
      </c>
      <c r="C550" t="s">
        <v>44</v>
      </c>
      <c r="D550" s="30" t="s">
        <v>320</v>
      </c>
      <c r="E550" t="s">
        <v>319</v>
      </c>
      <c r="F550" t="s">
        <v>364</v>
      </c>
      <c r="G550" t="s">
        <v>321</v>
      </c>
      <c r="H550" t="s">
        <v>322</v>
      </c>
      <c r="I550" t="s">
        <v>323</v>
      </c>
      <c r="J550" t="s">
        <v>324</v>
      </c>
      <c r="K550" s="2" t="s">
        <v>325</v>
      </c>
      <c r="L550" t="s">
        <v>326</v>
      </c>
      <c r="M550" t="s">
        <v>356</v>
      </c>
      <c r="N550" s="44" t="s">
        <v>357</v>
      </c>
      <c r="O550" s="19" t="s">
        <v>327</v>
      </c>
      <c r="P550" s="19" t="s">
        <v>328</v>
      </c>
      <c r="Q550" s="19" t="s">
        <v>329</v>
      </c>
      <c r="R550" s="19" t="s">
        <v>330</v>
      </c>
      <c r="S550" s="19" t="s">
        <v>331</v>
      </c>
      <c r="T550" s="24" t="s">
        <v>332</v>
      </c>
      <c r="U550" s="24" t="s">
        <v>158</v>
      </c>
      <c r="V550" s="24" t="s">
        <v>333</v>
      </c>
      <c r="W550" s="24" t="s">
        <v>61</v>
      </c>
      <c r="X550" s="24" t="s">
        <v>334</v>
      </c>
    </row>
    <row r="551" spans="1:24">
      <c r="A551">
        <v>0</v>
      </c>
      <c r="B551">
        <v>0</v>
      </c>
      <c r="C551">
        <f t="shared" ref="C551:C614" si="152">MIN(8, 1+$B$543+$B$542+A551+B551)</f>
        <v>2</v>
      </c>
      <c r="D551">
        <f t="shared" ref="D551:D614" si="153">C551-(1+$B$543)</f>
        <v>0</v>
      </c>
      <c r="E551">
        <f>MIN(A551, C551-(1+$B$543+$B$542))</f>
        <v>0</v>
      </c>
      <c r="F551" s="100">
        <f t="shared" ref="F551:F614" ca="1" si="154">IF(A551=3, Set2QA, IF(A551=2, (1-Set2QA)*Set2TA + (1-Set2QA)*(1-Set2TA)*(1-Set2DA)*Set2AM3*Set2AM33, IF(A551=1, (1-Set2QA)*(1-Set2TA)*Set2DA + (1-Set2QA)*(1-Set2TA)*(1-Set2DA)*Set2AM3*Set2AM32, (1-Set2QA)*(1-Set2TA)*(1-Set2DA)*(1-Set2AM3)))) * IF($B$542+$B$543&gt;0, IF(B551=3, Set2QA, IF(B551=2, (1-Set2QA)*Set2TA, IF(B551=1, (1-Set2QA)*(1-Set2TA)*Set2DA, (1-Set2QA)*(1-Set2TA)*(1-Set2DA)))), IF(B551=0, 1, 0))</f>
        <v>0.33466224999999999</v>
      </c>
      <c r="G551">
        <v>1</v>
      </c>
      <c r="H551">
        <v>1</v>
      </c>
      <c r="I551">
        <v>7</v>
      </c>
      <c r="J551" s="1">
        <f t="shared" ref="J551:J614" ca="1" si="155">POWER(95%,G551)*POWER(5%, 1-G551) * IF($B$543=0, IF(H551=0, 1, 0), POWER(Set2WSHitRate,H551)*POWER(1-Set2WSHitRate, 1-H551)) * IF(I551&lt;=D551, POWER(Set2WSHitRate, I551)*POWER(1-Set2WSHitRate, D551-I551)*COMBIN(D551,I551), 0)</f>
        <v>0</v>
      </c>
      <c r="K551" s="1">
        <f t="shared" ref="K551:K614" ca="1" si="156">F551*J551</f>
        <v>0</v>
      </c>
      <c r="L551" s="13">
        <f t="shared" ref="L551:L614" ca="1" si="157">MAX((G551+H551)*Set2WSTP + I551*$B$539, Set2SaveTP)</f>
        <v>221</v>
      </c>
      <c r="M551" s="7">
        <f t="shared" ref="M551:M614" ca="1" si="158">MAX(Set2MinTP-(L551+Set2Regain), 0)</f>
        <v>779</v>
      </c>
      <c r="N551" s="44">
        <f t="shared" ref="N551:N614" ca="1" si="159">CEILING(M551/Set2MeleeTP, 1)</f>
        <v>9</v>
      </c>
      <c r="O551" s="94">
        <f t="shared" ref="O551:O614" ca="1" si="160">VLOOKUP(N551, AvgRoundsSet2, 2)</f>
        <v>2.3639647217884514</v>
      </c>
      <c r="P551" s="94">
        <f t="shared" ref="P551:P614" ca="1" si="161">VLOOKUP(CEILING(MAX(M551-1, 0)/Set2MeleeTP, 1), AvgRoundsSet2, 2) + VLOOKUP(CEILING(MAX(M551-2, 0)/Set2MeleeTP, 1), AvgRoundsSet2, 2) + VLOOKUP(CEILING(MAX(M551-3, 0)/Set2MeleeTP, 1), AvgRoundsSet2, 2) + VLOOKUP(CEILING(MAX(M551-4, 0)/Set2MeleeTP, 1), AvgRoundsSet2, 2) + VLOOKUP(CEILING(MAX(M551-5, 0)/Set2MeleeTP, 1), AvgRoundsSet2, 2) + VLOOKUP(CEILING(MAX(M551-6, 0)/Set2MeleeTP, 1), AvgRoundsSet2, 2) + VLOOKUP(CEILING(MAX(M551-7, 0)/Set2MeleeTP, 1), AvgRoundsSet2, 2) + VLOOKUP(CEILING(MAX(M551-8, 0)/Set2MeleeTP, 1), AvgRoundsSet2, 2) + VLOOKUP(CEILING(MAX(M551-9, 0)/Set2MeleeTP, 1), AvgRoundsSet2, 2) + VLOOKUP(CEILING(MAX(M551-10, 0)/Set2MeleeTP, 1), AvgRoundsSet2, 2)</f>
        <v>23.639647217884519</v>
      </c>
      <c r="Q551" s="94">
        <f t="shared" ref="Q551:Q614" ca="1" si="162">VLOOKUP(CEILING(MAX(M551-11, 0)/Set2MeleeTP, 1), AvgRoundsSet2, 2) + VLOOKUP(CEILING(MAX(M551-12, 0)/Set2MeleeTP, 1), AvgRoundsSet2, 2) + VLOOKUP(CEILING(MAX(M551-13, 0)/Set2MeleeTP, 1), AvgRoundsSet2, 2) + VLOOKUP(CEILING(MAX(M551-14, 0)/Set2MeleeTP, 1), AvgRoundsSet2, 2) + VLOOKUP(CEILING(MAX(M551-15, 0)/Set2MeleeTP, 1), AvgRoundsSet2, 2) + VLOOKUP(CEILING(MAX(M551-16, 0)/Set2MeleeTP, 1), AvgRoundsSet2, 2) + VLOOKUP(CEILING(MAX(M551-17, 0)/Set2MeleeTP, 1), AvgRoundsSet2, 2) + VLOOKUP(CEILING(MAX(M551-18, 0)/Set2MeleeTP, 1), AvgRoundsSet2, 2) + VLOOKUP(CEILING(MAX(M551-19, 0)/Set2MeleeTP, 1), AvgRoundsSet2, 2) + VLOOKUP(CEILING(MAX(M551-20, 0)/Set2MeleeTP, 1), AvgRoundsSet2, 2)</f>
        <v>23.639647217884519</v>
      </c>
      <c r="R551" s="94">
        <f t="shared" ref="R551:R614" ca="1" si="163">(P551+Q551)/20</f>
        <v>2.3639647217884519</v>
      </c>
      <c r="S551" s="94">
        <f t="shared" ref="S551:S614" ca="1" si="164">R551*Set2ConserveTP + O551*(1-Set2ConserveTP)</f>
        <v>2.3639647217884514</v>
      </c>
      <c r="T551" s="4">
        <f t="shared" ref="T551:T614" ca="1" si="165">K551*S551</f>
        <v>0</v>
      </c>
      <c r="U551" s="46">
        <f t="shared" ref="U551:U614" ca="1" si="166">MIN(L551+(S551+Set2OverTP)*AvgHitsPerRound2*Set2MeleeTP + Set2Regain + 10.5*Set2ConserveTP, 3000)</f>
        <v>1394.2101516087316</v>
      </c>
      <c r="V551" s="4">
        <f t="shared" ref="V551:V614" ca="1" si="167">U551*K551</f>
        <v>0</v>
      </c>
      <c r="W551" s="13">
        <f ca="1">G551*$K$543*((1-$L$543)*$L$547 + $L$543*$M$547*$M$543)*Set2WSDmg + H551*$K$546*((1-$L$546)*$L$548 + $L$546*$M$548*$M$544) + I551*$K$544*((1-$L$544)*$L$547 + $L$544*$M$547*$M$544) + E551*$K$545*$L$545*$M$543</f>
        <v>16438.260675257192</v>
      </c>
      <c r="X551" s="4">
        <f t="shared" ref="X551:X614" ca="1" si="168">K551*W551</f>
        <v>0</v>
      </c>
    </row>
    <row r="552" spans="1:24">
      <c r="A552">
        <v>0</v>
      </c>
      <c r="B552">
        <v>0</v>
      </c>
      <c r="C552">
        <f t="shared" si="152"/>
        <v>2</v>
      </c>
      <c r="D552">
        <f t="shared" si="153"/>
        <v>0</v>
      </c>
      <c r="E552">
        <f t="shared" ref="E552:E614" si="169">MIN(A552, C552-(1+$B$543+$B$542))</f>
        <v>0</v>
      </c>
      <c r="F552" s="100">
        <f t="shared" ca="1" si="154"/>
        <v>0.33466224999999999</v>
      </c>
      <c r="G552">
        <v>1</v>
      </c>
      <c r="H552">
        <v>1</v>
      </c>
      <c r="I552">
        <v>6</v>
      </c>
      <c r="J552" s="1">
        <f t="shared" ca="1" si="155"/>
        <v>0</v>
      </c>
      <c r="K552" s="1">
        <f t="shared" ca="1" si="156"/>
        <v>0</v>
      </c>
      <c r="L552" s="13">
        <f t="shared" ca="1" si="157"/>
        <v>208</v>
      </c>
      <c r="M552" s="7">
        <f t="shared" ca="1" si="158"/>
        <v>792</v>
      </c>
      <c r="N552" s="44">
        <f t="shared" ca="1" si="159"/>
        <v>9</v>
      </c>
      <c r="O552" s="94">
        <f t="shared" ca="1" si="160"/>
        <v>2.3639647217884514</v>
      </c>
      <c r="P552" s="94">
        <f t="shared" ca="1" si="161"/>
        <v>23.639647217884519</v>
      </c>
      <c r="Q552" s="94">
        <f t="shared" ca="1" si="162"/>
        <v>23.639647217884519</v>
      </c>
      <c r="R552" s="94">
        <f t="shared" ca="1" si="163"/>
        <v>2.3639647217884519</v>
      </c>
      <c r="S552" s="94">
        <f t="shared" ca="1" si="164"/>
        <v>2.3639647217884514</v>
      </c>
      <c r="T552" s="4">
        <f t="shared" ca="1" si="165"/>
        <v>0</v>
      </c>
      <c r="U552" s="46">
        <f t="shared" ca="1" si="166"/>
        <v>1381.2101516087316</v>
      </c>
      <c r="V552" s="4">
        <f t="shared" ca="1" si="167"/>
        <v>0</v>
      </c>
      <c r="W552" s="13">
        <f t="shared" ref="W552:W614" ca="1" si="170">G552*$K$543*((1-$L$543)*$L$547 + $L$543*$M$547*$M$543)*Set2WSDmg + H552*$K$546*((1-$L$546)*$L$548 + $L$546*$M$548*$M$544) + I552*$K$544*((1-$L$544)*$L$547 + $L$544*$M$547*$M$544) + E552*$K$545*$L$545*$M$543</f>
        <v>15772.59037978531</v>
      </c>
      <c r="X552" s="4">
        <f t="shared" ca="1" si="168"/>
        <v>0</v>
      </c>
    </row>
    <row r="553" spans="1:24">
      <c r="A553">
        <v>0</v>
      </c>
      <c r="B553">
        <v>0</v>
      </c>
      <c r="C553">
        <f t="shared" si="152"/>
        <v>2</v>
      </c>
      <c r="D553">
        <f t="shared" si="153"/>
        <v>0</v>
      </c>
      <c r="E553">
        <f t="shared" si="169"/>
        <v>0</v>
      </c>
      <c r="F553" s="100">
        <f t="shared" ca="1" si="154"/>
        <v>0.33466224999999999</v>
      </c>
      <c r="G553">
        <v>1</v>
      </c>
      <c r="H553">
        <v>1</v>
      </c>
      <c r="I553">
        <v>5</v>
      </c>
      <c r="J553" s="1">
        <f t="shared" ca="1" si="155"/>
        <v>0</v>
      </c>
      <c r="K553" s="1">
        <f t="shared" ca="1" si="156"/>
        <v>0</v>
      </c>
      <c r="L553" s="13">
        <f t="shared" ca="1" si="157"/>
        <v>195</v>
      </c>
      <c r="M553" s="7">
        <f t="shared" ca="1" si="158"/>
        <v>805</v>
      </c>
      <c r="N553" s="44">
        <f t="shared" ca="1" si="159"/>
        <v>10</v>
      </c>
      <c r="O553" s="94">
        <f t="shared" ca="1" si="160"/>
        <v>2.5877599795741038</v>
      </c>
      <c r="P553" s="94">
        <f t="shared" ca="1" si="161"/>
        <v>24.311032991241476</v>
      </c>
      <c r="Q553" s="94">
        <f t="shared" ca="1" si="162"/>
        <v>23.639647217884519</v>
      </c>
      <c r="R553" s="94">
        <f t="shared" ca="1" si="163"/>
        <v>2.3975340104562997</v>
      </c>
      <c r="S553" s="94">
        <f t="shared" ca="1" si="164"/>
        <v>2.5877599795741038</v>
      </c>
      <c r="T553" s="4">
        <f t="shared" ca="1" si="165"/>
        <v>0</v>
      </c>
      <c r="U553" s="46">
        <f t="shared" ca="1" si="166"/>
        <v>1459.8868633777442</v>
      </c>
      <c r="V553" s="4">
        <f t="shared" ca="1" si="167"/>
        <v>0</v>
      </c>
      <c r="W553" s="13">
        <f t="shared" ca="1" si="170"/>
        <v>15106.920084313426</v>
      </c>
      <c r="X553" s="4">
        <f t="shared" ca="1" si="168"/>
        <v>0</v>
      </c>
    </row>
    <row r="554" spans="1:24">
      <c r="A554">
        <v>0</v>
      </c>
      <c r="B554">
        <v>0</v>
      </c>
      <c r="C554">
        <f t="shared" si="152"/>
        <v>2</v>
      </c>
      <c r="D554">
        <f t="shared" si="153"/>
        <v>0</v>
      </c>
      <c r="E554">
        <f t="shared" si="169"/>
        <v>0</v>
      </c>
      <c r="F554" s="100">
        <f t="shared" ca="1" si="154"/>
        <v>0.33466224999999999</v>
      </c>
      <c r="G554">
        <v>1</v>
      </c>
      <c r="H554">
        <v>1</v>
      </c>
      <c r="I554">
        <v>4</v>
      </c>
      <c r="J554" s="1">
        <f t="shared" ca="1" si="155"/>
        <v>0</v>
      </c>
      <c r="K554" s="1">
        <f t="shared" ca="1" si="156"/>
        <v>0</v>
      </c>
      <c r="L554" s="13">
        <f t="shared" ca="1" si="157"/>
        <v>182</v>
      </c>
      <c r="M554" s="7">
        <f t="shared" ca="1" si="158"/>
        <v>818</v>
      </c>
      <c r="N554" s="44">
        <f t="shared" ca="1" si="159"/>
        <v>10</v>
      </c>
      <c r="O554" s="94">
        <f t="shared" ca="1" si="160"/>
        <v>2.5877599795741038</v>
      </c>
      <c r="P554" s="94">
        <f t="shared" ca="1" si="161"/>
        <v>25.877599795741034</v>
      </c>
      <c r="Q554" s="94">
        <f t="shared" ca="1" si="162"/>
        <v>24.982418764598432</v>
      </c>
      <c r="R554" s="94">
        <f t="shared" ca="1" si="163"/>
        <v>2.5430009280169736</v>
      </c>
      <c r="S554" s="94">
        <f t="shared" ca="1" si="164"/>
        <v>2.5877599795741038</v>
      </c>
      <c r="T554" s="4">
        <f t="shared" ca="1" si="165"/>
        <v>0</v>
      </c>
      <c r="U554" s="46">
        <f t="shared" ca="1" si="166"/>
        <v>1446.8868633777442</v>
      </c>
      <c r="V554" s="4">
        <f t="shared" ca="1" si="167"/>
        <v>0</v>
      </c>
      <c r="W554" s="13">
        <f t="shared" ca="1" si="170"/>
        <v>14441.249788841542</v>
      </c>
      <c r="X554" s="4">
        <f t="shared" ca="1" si="168"/>
        <v>0</v>
      </c>
    </row>
    <row r="555" spans="1:24">
      <c r="A555">
        <v>0</v>
      </c>
      <c r="B555">
        <v>0</v>
      </c>
      <c r="C555">
        <f t="shared" si="152"/>
        <v>2</v>
      </c>
      <c r="D555">
        <f t="shared" si="153"/>
        <v>0</v>
      </c>
      <c r="E555">
        <f t="shared" si="169"/>
        <v>0</v>
      </c>
      <c r="F555" s="100">
        <f t="shared" ca="1" si="154"/>
        <v>0.33466224999999999</v>
      </c>
      <c r="G555">
        <v>1</v>
      </c>
      <c r="H555">
        <v>1</v>
      </c>
      <c r="I555">
        <v>3</v>
      </c>
      <c r="J555" s="1">
        <f t="shared" ca="1" si="155"/>
        <v>0</v>
      </c>
      <c r="K555" s="1">
        <f t="shared" ca="1" si="156"/>
        <v>0</v>
      </c>
      <c r="L555" s="13">
        <f t="shared" ca="1" si="157"/>
        <v>169</v>
      </c>
      <c r="M555" s="7">
        <f t="shared" ca="1" si="158"/>
        <v>831</v>
      </c>
      <c r="N555" s="44">
        <f t="shared" ca="1" si="159"/>
        <v>10</v>
      </c>
      <c r="O555" s="94">
        <f t="shared" ca="1" si="160"/>
        <v>2.5877599795741038</v>
      </c>
      <c r="P555" s="94">
        <f t="shared" ca="1" si="161"/>
        <v>25.877599795741034</v>
      </c>
      <c r="Q555" s="94">
        <f t="shared" ca="1" si="162"/>
        <v>25.877599795741034</v>
      </c>
      <c r="R555" s="94">
        <f t="shared" ca="1" si="163"/>
        <v>2.5877599795741033</v>
      </c>
      <c r="S555" s="94">
        <f t="shared" ca="1" si="164"/>
        <v>2.5877599795741038</v>
      </c>
      <c r="T555" s="4">
        <f t="shared" ca="1" si="165"/>
        <v>0</v>
      </c>
      <c r="U555" s="46">
        <f t="shared" ca="1" si="166"/>
        <v>1433.8868633777442</v>
      </c>
      <c r="V555" s="4">
        <f t="shared" ca="1" si="167"/>
        <v>0</v>
      </c>
      <c r="W555" s="13">
        <f t="shared" ca="1" si="170"/>
        <v>13775.57949336966</v>
      </c>
      <c r="X555" s="4">
        <f t="shared" ca="1" si="168"/>
        <v>0</v>
      </c>
    </row>
    <row r="556" spans="1:24">
      <c r="A556">
        <v>0</v>
      </c>
      <c r="B556">
        <v>0</v>
      </c>
      <c r="C556">
        <f t="shared" si="152"/>
        <v>2</v>
      </c>
      <c r="D556">
        <f t="shared" si="153"/>
        <v>0</v>
      </c>
      <c r="E556">
        <f t="shared" si="169"/>
        <v>0</v>
      </c>
      <c r="F556" s="100">
        <f t="shared" ca="1" si="154"/>
        <v>0.33466224999999999</v>
      </c>
      <c r="G556">
        <v>1</v>
      </c>
      <c r="H556">
        <v>1</v>
      </c>
      <c r="I556">
        <v>2</v>
      </c>
      <c r="J556" s="1">
        <f t="shared" ca="1" si="155"/>
        <v>0</v>
      </c>
      <c r="K556" s="1">
        <f t="shared" ca="1" si="156"/>
        <v>0</v>
      </c>
      <c r="L556" s="13">
        <f t="shared" ca="1" si="157"/>
        <v>156</v>
      </c>
      <c r="M556" s="7">
        <f t="shared" ca="1" si="158"/>
        <v>844</v>
      </c>
      <c r="N556" s="44">
        <f t="shared" ca="1" si="159"/>
        <v>10</v>
      </c>
      <c r="O556" s="94">
        <f t="shared" ca="1" si="160"/>
        <v>2.5877599795741038</v>
      </c>
      <c r="P556" s="94">
        <f t="shared" ca="1" si="161"/>
        <v>25.877599795741034</v>
      </c>
      <c r="Q556" s="94">
        <f t="shared" ca="1" si="162"/>
        <v>25.877599795741034</v>
      </c>
      <c r="R556" s="94">
        <f t="shared" ca="1" si="163"/>
        <v>2.5877599795741033</v>
      </c>
      <c r="S556" s="94">
        <f t="shared" ca="1" si="164"/>
        <v>2.5877599795741038</v>
      </c>
      <c r="T556" s="4">
        <f t="shared" ca="1" si="165"/>
        <v>0</v>
      </c>
      <c r="U556" s="46">
        <f t="shared" ca="1" si="166"/>
        <v>1420.8868633777442</v>
      </c>
      <c r="V556" s="4">
        <f t="shared" ca="1" si="167"/>
        <v>0</v>
      </c>
      <c r="W556" s="13">
        <f t="shared" ca="1" si="170"/>
        <v>13109.909197897776</v>
      </c>
      <c r="X556" s="4">
        <f t="shared" ca="1" si="168"/>
        <v>0</v>
      </c>
    </row>
    <row r="557" spans="1:24">
      <c r="A557">
        <v>0</v>
      </c>
      <c r="B557">
        <v>0</v>
      </c>
      <c r="C557">
        <f t="shared" si="152"/>
        <v>2</v>
      </c>
      <c r="D557">
        <f t="shared" si="153"/>
        <v>0</v>
      </c>
      <c r="E557">
        <f t="shared" si="169"/>
        <v>0</v>
      </c>
      <c r="F557" s="100">
        <f t="shared" ca="1" si="154"/>
        <v>0.33466224999999999</v>
      </c>
      <c r="G557">
        <v>1</v>
      </c>
      <c r="H557">
        <v>1</v>
      </c>
      <c r="I557">
        <v>1</v>
      </c>
      <c r="J557" s="1">
        <f t="shared" ca="1" si="155"/>
        <v>0</v>
      </c>
      <c r="K557" s="1">
        <f t="shared" ca="1" si="156"/>
        <v>0</v>
      </c>
      <c r="L557" s="13">
        <f t="shared" ca="1" si="157"/>
        <v>143</v>
      </c>
      <c r="M557" s="7">
        <f t="shared" ca="1" si="158"/>
        <v>857</v>
      </c>
      <c r="N557" s="44">
        <f t="shared" ca="1" si="159"/>
        <v>10</v>
      </c>
      <c r="O557" s="94">
        <f t="shared" ca="1" si="160"/>
        <v>2.5877599795741038</v>
      </c>
      <c r="P557" s="94">
        <f t="shared" ca="1" si="161"/>
        <v>25.877599795741034</v>
      </c>
      <c r="Q557" s="94">
        <f t="shared" ca="1" si="162"/>
        <v>25.877599795741034</v>
      </c>
      <c r="R557" s="94">
        <f t="shared" ca="1" si="163"/>
        <v>2.5877599795741033</v>
      </c>
      <c r="S557" s="94">
        <f t="shared" ca="1" si="164"/>
        <v>2.5877599795741038</v>
      </c>
      <c r="T557" s="4">
        <f t="shared" ca="1" si="165"/>
        <v>0</v>
      </c>
      <c r="U557" s="46">
        <f t="shared" ca="1" si="166"/>
        <v>1407.8868633777442</v>
      </c>
      <c r="V557" s="4">
        <f t="shared" ca="1" si="167"/>
        <v>0</v>
      </c>
      <c r="W557" s="13">
        <f t="shared" ca="1" si="170"/>
        <v>12444.238902425894</v>
      </c>
      <c r="X557" s="4">
        <f t="shared" ca="1" si="168"/>
        <v>0</v>
      </c>
    </row>
    <row r="558" spans="1:24">
      <c r="A558">
        <v>0</v>
      </c>
      <c r="B558">
        <v>0</v>
      </c>
      <c r="C558">
        <f t="shared" si="152"/>
        <v>2</v>
      </c>
      <c r="D558">
        <f t="shared" si="153"/>
        <v>0</v>
      </c>
      <c r="E558">
        <f t="shared" si="169"/>
        <v>0</v>
      </c>
      <c r="F558" s="100">
        <f t="shared" ca="1" si="154"/>
        <v>0.33466224999999999</v>
      </c>
      <c r="G558">
        <v>1</v>
      </c>
      <c r="H558">
        <v>1</v>
      </c>
      <c r="I558">
        <v>0</v>
      </c>
      <c r="J558" s="1">
        <f t="shared" ca="1" si="155"/>
        <v>0.9405</v>
      </c>
      <c r="K558" s="1">
        <f t="shared" ca="1" si="156"/>
        <v>0.31474984612500001</v>
      </c>
      <c r="L558" s="13">
        <f ca="1">MAX((G558+H558)*Set2WSTP + I558*$B$539, Set2SaveTP)</f>
        <v>130</v>
      </c>
      <c r="M558" s="7">
        <f t="shared" ca="1" si="158"/>
        <v>870</v>
      </c>
      <c r="N558" s="44">
        <f t="shared" ca="1" si="159"/>
        <v>10</v>
      </c>
      <c r="O558" s="94">
        <f ca="1">VLOOKUP(N558, AvgRoundsSet2, 2)</f>
        <v>2.5877599795741038</v>
      </c>
      <c r="P558" s="94">
        <f ca="1">VLOOKUP(CEILING(MAX(M558-1, 0)/Set2MeleeTP, 1), AvgRoundsSet2, 2) + VLOOKUP(CEILING(MAX(M558-2, 0)/Set2MeleeTP, 1), AvgRoundsSet2, 2) + VLOOKUP(CEILING(MAX(M558-3, 0)/Set2MeleeTP, 1), AvgRoundsSet2, 2) + VLOOKUP(CEILING(MAX(M558-4, 0)/Set2MeleeTP, 1), AvgRoundsSet2, 2) + VLOOKUP(CEILING(MAX(M558-5, 0)/Set2MeleeTP, 1), AvgRoundsSet2, 2) + VLOOKUP(CEILING(MAX(M558-6, 0)/Set2MeleeTP, 1), AvgRoundsSet2, 2) + VLOOKUP(CEILING(MAX(M558-7, 0)/Set2MeleeTP, 1), AvgRoundsSet2, 2) + VLOOKUP(CEILING(MAX(M558-8, 0)/Set2MeleeTP, 1), AvgRoundsSet2, 2) + VLOOKUP(CEILING(MAX(M558-9, 0)/Set2MeleeTP, 1), AvgRoundsSet2, 2) + VLOOKUP(CEILING(MAX(M558-10, 0)/Set2MeleeTP, 1), AvgRoundsSet2, 2)</f>
        <v>25.877599795741034</v>
      </c>
      <c r="Q558" s="94">
        <f t="shared" ca="1" si="162"/>
        <v>25.877599795741034</v>
      </c>
      <c r="R558" s="94">
        <f t="shared" ca="1" si="163"/>
        <v>2.5877599795741033</v>
      </c>
      <c r="S558" s="94">
        <f t="shared" ca="1" si="164"/>
        <v>2.5877599795741038</v>
      </c>
      <c r="T558" s="4">
        <f t="shared" ca="1" si="165"/>
        <v>0.81449705537938233</v>
      </c>
      <c r="U558" s="46">
        <f t="shared" ca="1" si="166"/>
        <v>1394.8868633777442</v>
      </c>
      <c r="V558" s="4">
        <f ca="1">U558*K558</f>
        <v>439.04042560992889</v>
      </c>
      <c r="W558" s="13">
        <f ca="1">G558*$K$543*((1-$L$543)*$L$547 + $L$543*$M$547*$M$543)*Set2WSDmg + H558*$K$546*((1-$L$546)*$L$548 + $L$546*$M$548*$M$544) + I558*$K$544*((1-$L$544)*$L$547 + $L$544*$M$547*$M$544) + E558*$K$545*$L$545*$M$543</f>
        <v>11778.56860695401</v>
      </c>
      <c r="X558" s="4">
        <f t="shared" ca="1" si="168"/>
        <v>3707.3026566115304</v>
      </c>
    </row>
    <row r="559" spans="1:24">
      <c r="A559">
        <v>0</v>
      </c>
      <c r="B559">
        <v>0</v>
      </c>
      <c r="C559">
        <f t="shared" si="152"/>
        <v>2</v>
      </c>
      <c r="D559">
        <f t="shared" si="153"/>
        <v>0</v>
      </c>
      <c r="E559">
        <f t="shared" si="169"/>
        <v>0</v>
      </c>
      <c r="F559" s="100">
        <f t="shared" ca="1" si="154"/>
        <v>0.33466224999999999</v>
      </c>
      <c r="G559">
        <v>1</v>
      </c>
      <c r="H559">
        <v>0</v>
      </c>
      <c r="I559">
        <v>7</v>
      </c>
      <c r="J559" s="1">
        <f t="shared" ca="1" si="155"/>
        <v>0</v>
      </c>
      <c r="K559" s="1">
        <f t="shared" ca="1" si="156"/>
        <v>0</v>
      </c>
      <c r="L559" s="13">
        <f t="shared" ca="1" si="157"/>
        <v>156</v>
      </c>
      <c r="M559" s="7">
        <f t="shared" ca="1" si="158"/>
        <v>844</v>
      </c>
      <c r="N559" s="44">
        <f t="shared" ca="1" si="159"/>
        <v>10</v>
      </c>
      <c r="O559" s="94">
        <f t="shared" ca="1" si="160"/>
        <v>2.5877599795741038</v>
      </c>
      <c r="P559" s="94">
        <f t="shared" ca="1" si="161"/>
        <v>25.877599795741034</v>
      </c>
      <c r="Q559" s="94">
        <f t="shared" ca="1" si="162"/>
        <v>25.877599795741034</v>
      </c>
      <c r="R559" s="94">
        <f t="shared" ca="1" si="163"/>
        <v>2.5877599795741033</v>
      </c>
      <c r="S559" s="94">
        <f t="shared" ca="1" si="164"/>
        <v>2.5877599795741038</v>
      </c>
      <c r="T559" s="4">
        <f t="shared" ca="1" si="165"/>
        <v>0</v>
      </c>
      <c r="U559" s="46">
        <f t="shared" ca="1" si="166"/>
        <v>1420.8868633777442</v>
      </c>
      <c r="V559" s="4">
        <f t="shared" ca="1" si="167"/>
        <v>0</v>
      </c>
      <c r="W559" s="13">
        <f t="shared" ca="1" si="170"/>
        <v>15972.716608816479</v>
      </c>
      <c r="X559" s="4">
        <f t="shared" ca="1" si="168"/>
        <v>0</v>
      </c>
    </row>
    <row r="560" spans="1:24">
      <c r="A560">
        <v>0</v>
      </c>
      <c r="B560">
        <v>0</v>
      </c>
      <c r="C560">
        <f t="shared" si="152"/>
        <v>2</v>
      </c>
      <c r="D560">
        <f t="shared" si="153"/>
        <v>0</v>
      </c>
      <c r="E560">
        <f t="shared" si="169"/>
        <v>0</v>
      </c>
      <c r="F560" s="100">
        <f t="shared" ca="1" si="154"/>
        <v>0.33466224999999999</v>
      </c>
      <c r="G560">
        <v>1</v>
      </c>
      <c r="H560">
        <v>0</v>
      </c>
      <c r="I560">
        <v>6</v>
      </c>
      <c r="J560" s="1">
        <f t="shared" ca="1" si="155"/>
        <v>0</v>
      </c>
      <c r="K560" s="1">
        <f t="shared" ca="1" si="156"/>
        <v>0</v>
      </c>
      <c r="L560" s="13">
        <f t="shared" ca="1" si="157"/>
        <v>143</v>
      </c>
      <c r="M560" s="7">
        <f t="shared" ca="1" si="158"/>
        <v>857</v>
      </c>
      <c r="N560" s="44">
        <f t="shared" ca="1" si="159"/>
        <v>10</v>
      </c>
      <c r="O560" s="94">
        <f t="shared" ca="1" si="160"/>
        <v>2.5877599795741038</v>
      </c>
      <c r="P560" s="94">
        <f t="shared" ca="1" si="161"/>
        <v>25.877599795741034</v>
      </c>
      <c r="Q560" s="94">
        <f ca="1">VLOOKUP(CEILING(MAX(M560-11, 0)/Set2MeleeTP, 1), AvgRoundsSet2, 2) + VLOOKUP(CEILING(MAX(M560-12, 0)/Set2MeleeTP, 1), AvgRoundsSet2, 2) + VLOOKUP(CEILING(MAX(M560-13, 0)/Set2MeleeTP, 1), AvgRoundsSet2, 2) + VLOOKUP(CEILING(MAX(M560-14, 0)/Set2MeleeTP, 1), AvgRoundsSet2, 2) + VLOOKUP(CEILING(MAX(M560-15, 0)/Set2MeleeTP, 1), AvgRoundsSet2, 2) + VLOOKUP(CEILING(MAX(M560-16, 0)/Set2MeleeTP, 1), AvgRoundsSet2, 2) + VLOOKUP(CEILING(MAX(M560-17, 0)/Set2MeleeTP, 1), AvgRoundsSet2, 2) + VLOOKUP(CEILING(MAX(M560-18, 0)/Set2MeleeTP, 1), AvgRoundsSet2, 2) + VLOOKUP(CEILING(MAX(M560-19, 0)/Set2MeleeTP, 1), AvgRoundsSet2, 2) + VLOOKUP(CEILING(MAX(M560-20, 0)/Set2MeleeTP, 1), AvgRoundsSet2, 2)</f>
        <v>25.877599795741034</v>
      </c>
      <c r="R560" s="94">
        <f ca="1">(P560+Q560)/20</f>
        <v>2.5877599795741033</v>
      </c>
      <c r="S560" s="94">
        <f t="shared" ca="1" si="164"/>
        <v>2.5877599795741038</v>
      </c>
      <c r="T560" s="4">
        <f t="shared" ca="1" si="165"/>
        <v>0</v>
      </c>
      <c r="U560" s="46">
        <f t="shared" ca="1" si="166"/>
        <v>1407.8868633777442</v>
      </c>
      <c r="V560" s="4">
        <f t="shared" ca="1" si="167"/>
        <v>0</v>
      </c>
      <c r="W560" s="13">
        <f t="shared" ca="1" si="170"/>
        <v>15307.046313344596</v>
      </c>
      <c r="X560" s="4">
        <f t="shared" ca="1" si="168"/>
        <v>0</v>
      </c>
    </row>
    <row r="561" spans="1:24">
      <c r="A561">
        <v>0</v>
      </c>
      <c r="B561">
        <v>0</v>
      </c>
      <c r="C561">
        <f t="shared" si="152"/>
        <v>2</v>
      </c>
      <c r="D561">
        <f t="shared" si="153"/>
        <v>0</v>
      </c>
      <c r="E561">
        <f t="shared" si="169"/>
        <v>0</v>
      </c>
      <c r="F561" s="100">
        <f t="shared" ca="1" si="154"/>
        <v>0.33466224999999999</v>
      </c>
      <c r="G561">
        <v>1</v>
      </c>
      <c r="H561">
        <v>0</v>
      </c>
      <c r="I561">
        <v>5</v>
      </c>
      <c r="J561" s="1">
        <f t="shared" ca="1" si="155"/>
        <v>0</v>
      </c>
      <c r="K561" s="1">
        <f t="shared" ca="1" si="156"/>
        <v>0</v>
      </c>
      <c r="L561" s="13">
        <f t="shared" ca="1" si="157"/>
        <v>130</v>
      </c>
      <c r="M561" s="7">
        <f t="shared" ca="1" si="158"/>
        <v>870</v>
      </c>
      <c r="N561" s="44">
        <f t="shared" ca="1" si="159"/>
        <v>10</v>
      </c>
      <c r="O561" s="94">
        <f ca="1">VLOOKUP(N561, AvgRoundsSet2, 2)</f>
        <v>2.5877599795741038</v>
      </c>
      <c r="P561" s="94">
        <f t="shared" ca="1" si="161"/>
        <v>25.877599795741034</v>
      </c>
      <c r="Q561" s="94">
        <f t="shared" ca="1" si="162"/>
        <v>25.877599795741034</v>
      </c>
      <c r="R561" s="94">
        <f t="shared" ca="1" si="163"/>
        <v>2.5877599795741033</v>
      </c>
      <c r="S561" s="94">
        <f t="shared" ca="1" si="164"/>
        <v>2.5877599795741038</v>
      </c>
      <c r="T561" s="4">
        <f t="shared" ca="1" si="165"/>
        <v>0</v>
      </c>
      <c r="U561" s="46">
        <f t="shared" ca="1" si="166"/>
        <v>1394.8868633777442</v>
      </c>
      <c r="V561" s="4">
        <f t="shared" ca="1" si="167"/>
        <v>0</v>
      </c>
      <c r="W561" s="13">
        <f t="shared" ca="1" si="170"/>
        <v>14641.376017872713</v>
      </c>
      <c r="X561" s="4">
        <f t="shared" ca="1" si="168"/>
        <v>0</v>
      </c>
    </row>
    <row r="562" spans="1:24">
      <c r="A562">
        <v>0</v>
      </c>
      <c r="B562">
        <v>0</v>
      </c>
      <c r="C562">
        <f t="shared" si="152"/>
        <v>2</v>
      </c>
      <c r="D562">
        <f t="shared" si="153"/>
        <v>0</v>
      </c>
      <c r="E562">
        <f t="shared" si="169"/>
        <v>0</v>
      </c>
      <c r="F562" s="100">
        <f t="shared" ca="1" si="154"/>
        <v>0.33466224999999999</v>
      </c>
      <c r="G562">
        <v>1</v>
      </c>
      <c r="H562">
        <v>0</v>
      </c>
      <c r="I562">
        <v>4</v>
      </c>
      <c r="J562" s="1">
        <f t="shared" ca="1" si="155"/>
        <v>0</v>
      </c>
      <c r="K562" s="1">
        <f t="shared" ca="1" si="156"/>
        <v>0</v>
      </c>
      <c r="L562" s="13">
        <f t="shared" ca="1" si="157"/>
        <v>117</v>
      </c>
      <c r="M562" s="7">
        <f t="shared" ca="1" si="158"/>
        <v>883</v>
      </c>
      <c r="N562" s="44">
        <f t="shared" ca="1" si="159"/>
        <v>10</v>
      </c>
      <c r="O562" s="94">
        <f t="shared" ca="1" si="160"/>
        <v>2.5877599795741038</v>
      </c>
      <c r="P562" s="94">
        <f t="shared" ca="1" si="161"/>
        <v>25.877599795741034</v>
      </c>
      <c r="Q562" s="94">
        <f t="shared" ca="1" si="162"/>
        <v>25.877599795741034</v>
      </c>
      <c r="R562" s="94">
        <f t="shared" ca="1" si="163"/>
        <v>2.5877599795741033</v>
      </c>
      <c r="S562" s="94">
        <f t="shared" ca="1" si="164"/>
        <v>2.5877599795741038</v>
      </c>
      <c r="T562" s="4">
        <f t="shared" ca="1" si="165"/>
        <v>0</v>
      </c>
      <c r="U562" s="46">
        <f t="shared" ca="1" si="166"/>
        <v>1381.8868633777442</v>
      </c>
      <c r="V562" s="4">
        <f t="shared" ca="1" si="167"/>
        <v>0</v>
      </c>
      <c r="W562" s="13">
        <f t="shared" ca="1" si="170"/>
        <v>13975.705722400829</v>
      </c>
      <c r="X562" s="4">
        <f t="shared" ca="1" si="168"/>
        <v>0</v>
      </c>
    </row>
    <row r="563" spans="1:24">
      <c r="A563">
        <v>0</v>
      </c>
      <c r="B563">
        <v>0</v>
      </c>
      <c r="C563">
        <f t="shared" si="152"/>
        <v>2</v>
      </c>
      <c r="D563">
        <f t="shared" si="153"/>
        <v>0</v>
      </c>
      <c r="E563">
        <f t="shared" si="169"/>
        <v>0</v>
      </c>
      <c r="F563" s="100">
        <f t="shared" ca="1" si="154"/>
        <v>0.33466224999999999</v>
      </c>
      <c r="G563">
        <v>1</v>
      </c>
      <c r="H563">
        <v>0</v>
      </c>
      <c r="I563">
        <v>3</v>
      </c>
      <c r="J563" s="1">
        <f t="shared" ca="1" si="155"/>
        <v>0</v>
      </c>
      <c r="K563" s="1">
        <f t="shared" ca="1" si="156"/>
        <v>0</v>
      </c>
      <c r="L563" s="13">
        <f t="shared" ca="1" si="157"/>
        <v>104</v>
      </c>
      <c r="M563" s="7">
        <f t="shared" ca="1" si="158"/>
        <v>896</v>
      </c>
      <c r="N563" s="44">
        <f t="shared" ca="1" si="159"/>
        <v>11</v>
      </c>
      <c r="O563" s="94">
        <f t="shared" ca="1" si="160"/>
        <v>2.8265749241644089</v>
      </c>
      <c r="P563" s="94">
        <f t="shared" ca="1" si="161"/>
        <v>27.071674518692554</v>
      </c>
      <c r="Q563" s="94">
        <f t="shared" ca="1" si="162"/>
        <v>25.877599795741034</v>
      </c>
      <c r="R563" s="94">
        <f t="shared" ca="1" si="163"/>
        <v>2.6474637157216794</v>
      </c>
      <c r="S563" s="94">
        <f t="shared" ca="1" si="164"/>
        <v>2.8265749241644089</v>
      </c>
      <c r="T563" s="4">
        <f t="shared" ca="1" si="165"/>
        <v>0</v>
      </c>
      <c r="U563" s="46">
        <f t="shared" ca="1" si="166"/>
        <v>1466.7163216869442</v>
      </c>
      <c r="V563" s="4">
        <f t="shared" ca="1" si="167"/>
        <v>0</v>
      </c>
      <c r="W563" s="13">
        <f t="shared" ca="1" si="170"/>
        <v>13310.035426928947</v>
      </c>
      <c r="X563" s="4">
        <f t="shared" ca="1" si="168"/>
        <v>0</v>
      </c>
    </row>
    <row r="564" spans="1:24">
      <c r="A564">
        <v>0</v>
      </c>
      <c r="B564">
        <v>0</v>
      </c>
      <c r="C564">
        <f t="shared" si="152"/>
        <v>2</v>
      </c>
      <c r="D564">
        <f t="shared" si="153"/>
        <v>0</v>
      </c>
      <c r="E564">
        <f t="shared" si="169"/>
        <v>0</v>
      </c>
      <c r="F564" s="100">
        <f t="shared" ca="1" si="154"/>
        <v>0.33466224999999999</v>
      </c>
      <c r="G564">
        <v>1</v>
      </c>
      <c r="H564">
        <v>0</v>
      </c>
      <c r="I564">
        <v>2</v>
      </c>
      <c r="J564" s="1">
        <f t="shared" ca="1" si="155"/>
        <v>0</v>
      </c>
      <c r="K564" s="1">
        <f t="shared" ca="1" si="156"/>
        <v>0</v>
      </c>
      <c r="L564" s="13">
        <f t="shared" ca="1" si="157"/>
        <v>91</v>
      </c>
      <c r="M564" s="7">
        <f t="shared" ca="1" si="158"/>
        <v>909</v>
      </c>
      <c r="N564" s="44">
        <f t="shared" ca="1" si="159"/>
        <v>11</v>
      </c>
      <c r="O564" s="94">
        <f t="shared" ca="1" si="160"/>
        <v>2.8265749241644089</v>
      </c>
      <c r="P564" s="94">
        <f t="shared" ca="1" si="161"/>
        <v>28.265749241644084</v>
      </c>
      <c r="Q564" s="94">
        <f t="shared" ca="1" si="162"/>
        <v>27.788119352463475</v>
      </c>
      <c r="R564" s="94">
        <f t="shared" ca="1" si="163"/>
        <v>2.8026934297053776</v>
      </c>
      <c r="S564" s="94">
        <f t="shared" ca="1" si="164"/>
        <v>2.8265749241644089</v>
      </c>
      <c r="T564" s="4">
        <f t="shared" ca="1" si="165"/>
        <v>0</v>
      </c>
      <c r="U564" s="46">
        <f t="shared" ca="1" si="166"/>
        <v>1453.7163216869442</v>
      </c>
      <c r="V564" s="4">
        <f t="shared" ca="1" si="167"/>
        <v>0</v>
      </c>
      <c r="W564" s="13">
        <f t="shared" ca="1" si="170"/>
        <v>12644.365131457063</v>
      </c>
      <c r="X564" s="4">
        <f t="shared" ca="1" si="168"/>
        <v>0</v>
      </c>
    </row>
    <row r="565" spans="1:24">
      <c r="A565">
        <v>0</v>
      </c>
      <c r="B565">
        <v>0</v>
      </c>
      <c r="C565">
        <f t="shared" si="152"/>
        <v>2</v>
      </c>
      <c r="D565">
        <f t="shared" si="153"/>
        <v>0</v>
      </c>
      <c r="E565">
        <f t="shared" si="169"/>
        <v>0</v>
      </c>
      <c r="F565" s="100">
        <f t="shared" ca="1" si="154"/>
        <v>0.33466224999999999</v>
      </c>
      <c r="G565">
        <v>1</v>
      </c>
      <c r="H565">
        <v>0</v>
      </c>
      <c r="I565">
        <v>1</v>
      </c>
      <c r="J565" s="1">
        <f t="shared" ca="1" si="155"/>
        <v>0</v>
      </c>
      <c r="K565" s="1">
        <f t="shared" ca="1" si="156"/>
        <v>0</v>
      </c>
      <c r="L565" s="13">
        <f t="shared" ca="1" si="157"/>
        <v>78</v>
      </c>
      <c r="M565" s="7">
        <f t="shared" ca="1" si="158"/>
        <v>922</v>
      </c>
      <c r="N565" s="44">
        <f t="shared" ca="1" si="159"/>
        <v>11</v>
      </c>
      <c r="O565" s="94">
        <f t="shared" ca="1" si="160"/>
        <v>2.8265749241644089</v>
      </c>
      <c r="P565" s="94">
        <f t="shared" ca="1" si="161"/>
        <v>28.265749241644084</v>
      </c>
      <c r="Q565" s="94">
        <f t="shared" ca="1" si="162"/>
        <v>28.265749241644084</v>
      </c>
      <c r="R565" s="94">
        <f t="shared" ca="1" si="163"/>
        <v>2.8265749241644085</v>
      </c>
      <c r="S565" s="94">
        <f t="shared" ca="1" si="164"/>
        <v>2.8265749241644089</v>
      </c>
      <c r="T565" s="4">
        <f t="shared" ca="1" si="165"/>
        <v>0</v>
      </c>
      <c r="U565" s="46">
        <f t="shared" ca="1" si="166"/>
        <v>1440.7163216869442</v>
      </c>
      <c r="V565" s="4">
        <f t="shared" ca="1" si="167"/>
        <v>0</v>
      </c>
      <c r="W565" s="13">
        <f t="shared" ca="1" si="170"/>
        <v>11978.694835985181</v>
      </c>
      <c r="X565" s="4">
        <f t="shared" ca="1" si="168"/>
        <v>0</v>
      </c>
    </row>
    <row r="566" spans="1:24">
      <c r="A566">
        <v>0</v>
      </c>
      <c r="B566">
        <v>0</v>
      </c>
      <c r="C566">
        <f t="shared" si="152"/>
        <v>2</v>
      </c>
      <c r="D566">
        <f t="shared" si="153"/>
        <v>0</v>
      </c>
      <c r="E566">
        <f t="shared" si="169"/>
        <v>0</v>
      </c>
      <c r="F566" s="100">
        <f t="shared" ca="1" si="154"/>
        <v>0.33466224999999999</v>
      </c>
      <c r="G566">
        <v>1</v>
      </c>
      <c r="H566">
        <v>0</v>
      </c>
      <c r="I566">
        <v>0</v>
      </c>
      <c r="J566" s="1">
        <f t="shared" ca="1" si="155"/>
        <v>9.5000000000000084E-3</v>
      </c>
      <c r="K566" s="1">
        <f t="shared" ca="1" si="156"/>
        <v>3.1792913750000027E-3</v>
      </c>
      <c r="L566" s="13">
        <f t="shared" ca="1" si="157"/>
        <v>65</v>
      </c>
      <c r="M566" s="7">
        <f t="shared" ca="1" si="158"/>
        <v>935</v>
      </c>
      <c r="N566" s="44">
        <f t="shared" ca="1" si="159"/>
        <v>11</v>
      </c>
      <c r="O566" s="94">
        <f t="shared" ca="1" si="160"/>
        <v>2.8265749241644089</v>
      </c>
      <c r="P566" s="94">
        <f t="shared" ca="1" si="161"/>
        <v>28.265749241644084</v>
      </c>
      <c r="Q566" s="94">
        <f t="shared" ca="1" si="162"/>
        <v>28.265749241644084</v>
      </c>
      <c r="R566" s="94">
        <f t="shared" ca="1" si="163"/>
        <v>2.8265749241644085</v>
      </c>
      <c r="S566" s="94">
        <f t="shared" ca="1" si="164"/>
        <v>2.8265749241644089</v>
      </c>
      <c r="T566" s="4">
        <f t="shared" ca="1" si="165"/>
        <v>8.9865052771871921E-3</v>
      </c>
      <c r="U566" s="46">
        <f t="shared" ca="1" si="166"/>
        <v>1427.7163216869442</v>
      </c>
      <c r="V566" s="4">
        <f t="shared" ca="1" si="167"/>
        <v>4.5391261874860307</v>
      </c>
      <c r="W566" s="13">
        <f t="shared" ca="1" si="170"/>
        <v>11313.024540513297</v>
      </c>
      <c r="X566" s="4">
        <f t="shared" ca="1" si="168"/>
        <v>35.967401346817297</v>
      </c>
    </row>
    <row r="567" spans="1:24">
      <c r="A567">
        <v>0</v>
      </c>
      <c r="B567">
        <v>0</v>
      </c>
      <c r="C567">
        <f t="shared" si="152"/>
        <v>2</v>
      </c>
      <c r="D567">
        <f t="shared" si="153"/>
        <v>0</v>
      </c>
      <c r="E567">
        <f t="shared" si="169"/>
        <v>0</v>
      </c>
      <c r="F567" s="100">
        <f t="shared" ca="1" si="154"/>
        <v>0.33466224999999999</v>
      </c>
      <c r="G567">
        <v>0</v>
      </c>
      <c r="H567">
        <v>1</v>
      </c>
      <c r="I567">
        <v>7</v>
      </c>
      <c r="J567" s="1">
        <f t="shared" ca="1" si="155"/>
        <v>0</v>
      </c>
      <c r="K567" s="1">
        <f t="shared" ca="1" si="156"/>
        <v>0</v>
      </c>
      <c r="L567" s="13">
        <f t="shared" ca="1" si="157"/>
        <v>156</v>
      </c>
      <c r="M567" s="7">
        <f t="shared" ca="1" si="158"/>
        <v>844</v>
      </c>
      <c r="N567" s="44">
        <f t="shared" ca="1" si="159"/>
        <v>10</v>
      </c>
      <c r="O567" s="94">
        <f t="shared" ca="1" si="160"/>
        <v>2.5877599795741038</v>
      </c>
      <c r="P567" s="94">
        <f t="shared" ca="1" si="161"/>
        <v>25.877599795741034</v>
      </c>
      <c r="Q567" s="94">
        <f t="shared" ca="1" si="162"/>
        <v>25.877599795741034</v>
      </c>
      <c r="R567" s="94">
        <f t="shared" ca="1" si="163"/>
        <v>2.5877599795741033</v>
      </c>
      <c r="S567" s="94">
        <f t="shared" ca="1" si="164"/>
        <v>2.5877599795741038</v>
      </c>
      <c r="T567" s="4">
        <f t="shared" ca="1" si="165"/>
        <v>0</v>
      </c>
      <c r="U567" s="46">
        <f t="shared" ca="1" si="166"/>
        <v>1420.8868633777442</v>
      </c>
      <c r="V567" s="4">
        <f t="shared" ca="1" si="167"/>
        <v>0</v>
      </c>
      <c r="W567" s="13">
        <f t="shared" ca="1" si="170"/>
        <v>5125.2361347438955</v>
      </c>
      <c r="X567" s="4">
        <f t="shared" ca="1" si="168"/>
        <v>0</v>
      </c>
    </row>
    <row r="568" spans="1:24">
      <c r="A568">
        <v>0</v>
      </c>
      <c r="B568">
        <v>0</v>
      </c>
      <c r="C568">
        <f t="shared" si="152"/>
        <v>2</v>
      </c>
      <c r="D568">
        <f t="shared" si="153"/>
        <v>0</v>
      </c>
      <c r="E568">
        <f t="shared" si="169"/>
        <v>0</v>
      </c>
      <c r="F568" s="100">
        <f t="shared" ca="1" si="154"/>
        <v>0.33466224999999999</v>
      </c>
      <c r="G568">
        <v>0</v>
      </c>
      <c r="H568">
        <v>1</v>
      </c>
      <c r="I568">
        <v>6</v>
      </c>
      <c r="J568" s="1">
        <f t="shared" ca="1" si="155"/>
        <v>0</v>
      </c>
      <c r="K568" s="1">
        <f t="shared" ca="1" si="156"/>
        <v>0</v>
      </c>
      <c r="L568" s="13">
        <f t="shared" ca="1" si="157"/>
        <v>143</v>
      </c>
      <c r="M568" s="7">
        <f t="shared" ca="1" si="158"/>
        <v>857</v>
      </c>
      <c r="N568" s="44">
        <f t="shared" ca="1" si="159"/>
        <v>10</v>
      </c>
      <c r="O568" s="94">
        <f t="shared" ca="1" si="160"/>
        <v>2.5877599795741038</v>
      </c>
      <c r="P568" s="94">
        <f t="shared" ca="1" si="161"/>
        <v>25.877599795741034</v>
      </c>
      <c r="Q568" s="94">
        <f t="shared" ca="1" si="162"/>
        <v>25.877599795741034</v>
      </c>
      <c r="R568" s="94">
        <f t="shared" ca="1" si="163"/>
        <v>2.5877599795741033</v>
      </c>
      <c r="S568" s="94">
        <f t="shared" ca="1" si="164"/>
        <v>2.5877599795741038</v>
      </c>
      <c r="T568" s="4">
        <f t="shared" ca="1" si="165"/>
        <v>0</v>
      </c>
      <c r="U568" s="46">
        <f t="shared" ca="1" si="166"/>
        <v>1407.8868633777442</v>
      </c>
      <c r="V568" s="4">
        <f t="shared" ca="1" si="167"/>
        <v>0</v>
      </c>
      <c r="W568" s="13">
        <f t="shared" ca="1" si="170"/>
        <v>4459.5658392720125</v>
      </c>
      <c r="X568" s="4">
        <f t="shared" ca="1" si="168"/>
        <v>0</v>
      </c>
    </row>
    <row r="569" spans="1:24">
      <c r="A569">
        <v>0</v>
      </c>
      <c r="B569">
        <v>0</v>
      </c>
      <c r="C569">
        <f t="shared" si="152"/>
        <v>2</v>
      </c>
      <c r="D569">
        <f t="shared" si="153"/>
        <v>0</v>
      </c>
      <c r="E569">
        <f t="shared" si="169"/>
        <v>0</v>
      </c>
      <c r="F569" s="100">
        <f t="shared" ca="1" si="154"/>
        <v>0.33466224999999999</v>
      </c>
      <c r="G569">
        <v>0</v>
      </c>
      <c r="H569">
        <v>1</v>
      </c>
      <c r="I569">
        <v>5</v>
      </c>
      <c r="J569" s="1">
        <f t="shared" ca="1" si="155"/>
        <v>0</v>
      </c>
      <c r="K569" s="1">
        <f t="shared" ca="1" si="156"/>
        <v>0</v>
      </c>
      <c r="L569" s="13">
        <f t="shared" ca="1" si="157"/>
        <v>130</v>
      </c>
      <c r="M569" s="7">
        <f t="shared" ca="1" si="158"/>
        <v>870</v>
      </c>
      <c r="N569" s="44">
        <f t="shared" ca="1" si="159"/>
        <v>10</v>
      </c>
      <c r="O569" s="94">
        <f t="shared" ca="1" si="160"/>
        <v>2.5877599795741038</v>
      </c>
      <c r="P569" s="94">
        <f t="shared" ca="1" si="161"/>
        <v>25.877599795741034</v>
      </c>
      <c r="Q569" s="94">
        <f t="shared" ca="1" si="162"/>
        <v>25.877599795741034</v>
      </c>
      <c r="R569" s="94">
        <f t="shared" ca="1" si="163"/>
        <v>2.5877599795741033</v>
      </c>
      <c r="S569" s="94">
        <f t="shared" ca="1" si="164"/>
        <v>2.5877599795741038</v>
      </c>
      <c r="T569" s="4">
        <f t="shared" ca="1" si="165"/>
        <v>0</v>
      </c>
      <c r="U569" s="46">
        <f t="shared" ca="1" si="166"/>
        <v>1394.8868633777442</v>
      </c>
      <c r="V569" s="4">
        <f t="shared" ca="1" si="167"/>
        <v>0</v>
      </c>
      <c r="W569" s="13">
        <f t="shared" ca="1" si="170"/>
        <v>3793.895543800129</v>
      </c>
      <c r="X569" s="4">
        <f t="shared" ca="1" si="168"/>
        <v>0</v>
      </c>
    </row>
    <row r="570" spans="1:24">
      <c r="A570">
        <v>0</v>
      </c>
      <c r="B570">
        <v>0</v>
      </c>
      <c r="C570">
        <f t="shared" si="152"/>
        <v>2</v>
      </c>
      <c r="D570">
        <f t="shared" si="153"/>
        <v>0</v>
      </c>
      <c r="E570">
        <f t="shared" si="169"/>
        <v>0</v>
      </c>
      <c r="F570" s="100">
        <f t="shared" ca="1" si="154"/>
        <v>0.33466224999999999</v>
      </c>
      <c r="G570">
        <v>0</v>
      </c>
      <c r="H570">
        <v>1</v>
      </c>
      <c r="I570">
        <v>4</v>
      </c>
      <c r="J570" s="1">
        <f t="shared" ca="1" si="155"/>
        <v>0</v>
      </c>
      <c r="K570" s="1">
        <f t="shared" ca="1" si="156"/>
        <v>0</v>
      </c>
      <c r="L570" s="13">
        <f t="shared" ca="1" si="157"/>
        <v>117</v>
      </c>
      <c r="M570" s="7">
        <f t="shared" ca="1" si="158"/>
        <v>883</v>
      </c>
      <c r="N570" s="44">
        <f t="shared" ca="1" si="159"/>
        <v>10</v>
      </c>
      <c r="O570" s="94">
        <f t="shared" ca="1" si="160"/>
        <v>2.5877599795741038</v>
      </c>
      <c r="P570" s="94">
        <f t="shared" ca="1" si="161"/>
        <v>25.877599795741034</v>
      </c>
      <c r="Q570" s="94">
        <f t="shared" ca="1" si="162"/>
        <v>25.877599795741034</v>
      </c>
      <c r="R570" s="94">
        <f t="shared" ca="1" si="163"/>
        <v>2.5877599795741033</v>
      </c>
      <c r="S570" s="94">
        <f t="shared" ca="1" si="164"/>
        <v>2.5877599795741038</v>
      </c>
      <c r="T570" s="4">
        <f t="shared" ca="1" si="165"/>
        <v>0</v>
      </c>
      <c r="U570" s="46">
        <f t="shared" ca="1" si="166"/>
        <v>1381.8868633777442</v>
      </c>
      <c r="V570" s="4">
        <f t="shared" ca="1" si="167"/>
        <v>0</v>
      </c>
      <c r="W570" s="13">
        <f t="shared" ca="1" si="170"/>
        <v>3128.2252483282455</v>
      </c>
      <c r="X570" s="4">
        <f t="shared" ca="1" si="168"/>
        <v>0</v>
      </c>
    </row>
    <row r="571" spans="1:24">
      <c r="A571">
        <v>0</v>
      </c>
      <c r="B571">
        <v>0</v>
      </c>
      <c r="C571">
        <f t="shared" si="152"/>
        <v>2</v>
      </c>
      <c r="D571">
        <f t="shared" si="153"/>
        <v>0</v>
      </c>
      <c r="E571">
        <f t="shared" si="169"/>
        <v>0</v>
      </c>
      <c r="F571" s="100">
        <f t="shared" ca="1" si="154"/>
        <v>0.33466224999999999</v>
      </c>
      <c r="G571">
        <v>0</v>
      </c>
      <c r="H571">
        <v>1</v>
      </c>
      <c r="I571">
        <v>3</v>
      </c>
      <c r="J571" s="1">
        <f t="shared" ca="1" si="155"/>
        <v>0</v>
      </c>
      <c r="K571" s="1">
        <f t="shared" ca="1" si="156"/>
        <v>0</v>
      </c>
      <c r="L571" s="13">
        <f t="shared" ca="1" si="157"/>
        <v>104</v>
      </c>
      <c r="M571" s="7">
        <f t="shared" ca="1" si="158"/>
        <v>896</v>
      </c>
      <c r="N571" s="44">
        <f t="shared" ca="1" si="159"/>
        <v>11</v>
      </c>
      <c r="O571" s="94">
        <f t="shared" ca="1" si="160"/>
        <v>2.8265749241644089</v>
      </c>
      <c r="P571" s="94">
        <f t="shared" ca="1" si="161"/>
        <v>27.071674518692554</v>
      </c>
      <c r="Q571" s="94">
        <f t="shared" ca="1" si="162"/>
        <v>25.877599795741034</v>
      </c>
      <c r="R571" s="94">
        <f t="shared" ca="1" si="163"/>
        <v>2.6474637157216794</v>
      </c>
      <c r="S571" s="94">
        <f t="shared" ca="1" si="164"/>
        <v>2.8265749241644089</v>
      </c>
      <c r="T571" s="4">
        <f t="shared" ca="1" si="165"/>
        <v>0</v>
      </c>
      <c r="U571" s="46">
        <f t="shared" ca="1" si="166"/>
        <v>1466.7163216869442</v>
      </c>
      <c r="V571" s="4">
        <f t="shared" ca="1" si="167"/>
        <v>0</v>
      </c>
      <c r="W571" s="13">
        <f t="shared" ca="1" si="170"/>
        <v>2462.5549528563624</v>
      </c>
      <c r="X571" s="4">
        <f t="shared" ca="1" si="168"/>
        <v>0</v>
      </c>
    </row>
    <row r="572" spans="1:24">
      <c r="A572">
        <v>0</v>
      </c>
      <c r="B572">
        <v>0</v>
      </c>
      <c r="C572">
        <f t="shared" si="152"/>
        <v>2</v>
      </c>
      <c r="D572">
        <f t="shared" si="153"/>
        <v>0</v>
      </c>
      <c r="E572">
        <f t="shared" si="169"/>
        <v>0</v>
      </c>
      <c r="F572" s="100">
        <f t="shared" ca="1" si="154"/>
        <v>0.33466224999999999</v>
      </c>
      <c r="G572">
        <v>0</v>
      </c>
      <c r="H572">
        <v>1</v>
      </c>
      <c r="I572">
        <v>2</v>
      </c>
      <c r="J572" s="1">
        <f t="shared" ca="1" si="155"/>
        <v>0</v>
      </c>
      <c r="K572" s="1">
        <f t="shared" ca="1" si="156"/>
        <v>0</v>
      </c>
      <c r="L572" s="13">
        <f t="shared" ca="1" si="157"/>
        <v>91</v>
      </c>
      <c r="M572" s="7">
        <f t="shared" ca="1" si="158"/>
        <v>909</v>
      </c>
      <c r="N572" s="44">
        <f t="shared" ca="1" si="159"/>
        <v>11</v>
      </c>
      <c r="O572" s="94">
        <f t="shared" ca="1" si="160"/>
        <v>2.8265749241644089</v>
      </c>
      <c r="P572" s="94">
        <f t="shared" ca="1" si="161"/>
        <v>28.265749241644084</v>
      </c>
      <c r="Q572" s="94">
        <f t="shared" ca="1" si="162"/>
        <v>27.788119352463475</v>
      </c>
      <c r="R572" s="94">
        <f t="shared" ca="1" si="163"/>
        <v>2.8026934297053776</v>
      </c>
      <c r="S572" s="94">
        <f t="shared" ca="1" si="164"/>
        <v>2.8265749241644089</v>
      </c>
      <c r="T572" s="4">
        <f t="shared" ca="1" si="165"/>
        <v>0</v>
      </c>
      <c r="U572" s="46">
        <f t="shared" ca="1" si="166"/>
        <v>1453.7163216869442</v>
      </c>
      <c r="V572" s="4">
        <f t="shared" ca="1" si="167"/>
        <v>0</v>
      </c>
      <c r="W572" s="13">
        <f t="shared" ca="1" si="170"/>
        <v>1796.8846573844794</v>
      </c>
      <c r="X572" s="4">
        <f t="shared" ca="1" si="168"/>
        <v>0</v>
      </c>
    </row>
    <row r="573" spans="1:24">
      <c r="A573">
        <v>0</v>
      </c>
      <c r="B573">
        <v>0</v>
      </c>
      <c r="C573">
        <f t="shared" si="152"/>
        <v>2</v>
      </c>
      <c r="D573">
        <f t="shared" si="153"/>
        <v>0</v>
      </c>
      <c r="E573">
        <f t="shared" si="169"/>
        <v>0</v>
      </c>
      <c r="F573" s="100">
        <f t="shared" ca="1" si="154"/>
        <v>0.33466224999999999</v>
      </c>
      <c r="G573">
        <v>0</v>
      </c>
      <c r="H573">
        <v>1</v>
      </c>
      <c r="I573">
        <v>1</v>
      </c>
      <c r="J573" s="1">
        <f t="shared" ca="1" si="155"/>
        <v>0</v>
      </c>
      <c r="K573" s="1">
        <f t="shared" ca="1" si="156"/>
        <v>0</v>
      </c>
      <c r="L573" s="13">
        <f t="shared" ca="1" si="157"/>
        <v>78</v>
      </c>
      <c r="M573" s="7">
        <f t="shared" ca="1" si="158"/>
        <v>922</v>
      </c>
      <c r="N573" s="44">
        <f t="shared" ca="1" si="159"/>
        <v>11</v>
      </c>
      <c r="O573" s="94">
        <f t="shared" ca="1" si="160"/>
        <v>2.8265749241644089</v>
      </c>
      <c r="P573" s="94">
        <f t="shared" ca="1" si="161"/>
        <v>28.265749241644084</v>
      </c>
      <c r="Q573" s="94">
        <f t="shared" ca="1" si="162"/>
        <v>28.265749241644084</v>
      </c>
      <c r="R573" s="94">
        <f t="shared" ca="1" si="163"/>
        <v>2.8265749241644085</v>
      </c>
      <c r="S573" s="94">
        <f t="shared" ca="1" si="164"/>
        <v>2.8265749241644089</v>
      </c>
      <c r="T573" s="4">
        <f t="shared" ca="1" si="165"/>
        <v>0</v>
      </c>
      <c r="U573" s="46">
        <f t="shared" ca="1" si="166"/>
        <v>1440.7163216869442</v>
      </c>
      <c r="V573" s="4">
        <f t="shared" ca="1" si="167"/>
        <v>0</v>
      </c>
      <c r="W573" s="13">
        <f t="shared" ca="1" si="170"/>
        <v>1131.2143619125961</v>
      </c>
      <c r="X573" s="4">
        <f t="shared" ca="1" si="168"/>
        <v>0</v>
      </c>
    </row>
    <row r="574" spans="1:24">
      <c r="A574">
        <v>0</v>
      </c>
      <c r="B574">
        <v>0</v>
      </c>
      <c r="C574">
        <f t="shared" si="152"/>
        <v>2</v>
      </c>
      <c r="D574">
        <f t="shared" si="153"/>
        <v>0</v>
      </c>
      <c r="E574">
        <f t="shared" si="169"/>
        <v>0</v>
      </c>
      <c r="F574" s="100">
        <f t="shared" ca="1" si="154"/>
        <v>0.33466224999999999</v>
      </c>
      <c r="G574">
        <v>0</v>
      </c>
      <c r="H574">
        <v>1</v>
      </c>
      <c r="I574">
        <v>0</v>
      </c>
      <c r="J574" s="1">
        <f t="shared" ca="1" si="155"/>
        <v>4.9500000000000002E-2</v>
      </c>
      <c r="K574" s="1">
        <f t="shared" ca="1" si="156"/>
        <v>1.6565781375000001E-2</v>
      </c>
      <c r="L574" s="13">
        <f t="shared" ca="1" si="157"/>
        <v>65</v>
      </c>
      <c r="M574" s="7">
        <f t="shared" ca="1" si="158"/>
        <v>935</v>
      </c>
      <c r="N574" s="44">
        <f t="shared" ca="1" si="159"/>
        <v>11</v>
      </c>
      <c r="O574" s="94">
        <f t="shared" ca="1" si="160"/>
        <v>2.8265749241644089</v>
      </c>
      <c r="P574" s="94">
        <f t="shared" ca="1" si="161"/>
        <v>28.265749241644084</v>
      </c>
      <c r="Q574" s="94">
        <f t="shared" ca="1" si="162"/>
        <v>28.265749241644084</v>
      </c>
      <c r="R574" s="94">
        <f t="shared" ca="1" si="163"/>
        <v>2.8265749241644085</v>
      </c>
      <c r="S574" s="94">
        <f t="shared" ca="1" si="164"/>
        <v>2.8265749241644089</v>
      </c>
      <c r="T574" s="4">
        <f t="shared" ca="1" si="165"/>
        <v>4.6824422233764804E-2</v>
      </c>
      <c r="U574" s="46">
        <f t="shared" ca="1" si="166"/>
        <v>1427.7163216869442</v>
      </c>
      <c r="V574" s="4">
        <f t="shared" ca="1" si="167"/>
        <v>23.651236450585092</v>
      </c>
      <c r="W574" s="13">
        <f t="shared" ca="1" si="170"/>
        <v>465.54406644071304</v>
      </c>
      <c r="X574" s="4">
        <f t="shared" ca="1" si="168"/>
        <v>7.7121012250853269</v>
      </c>
    </row>
    <row r="575" spans="1:24">
      <c r="A575">
        <v>0</v>
      </c>
      <c r="B575">
        <v>0</v>
      </c>
      <c r="C575">
        <f t="shared" si="152"/>
        <v>2</v>
      </c>
      <c r="D575">
        <f t="shared" si="153"/>
        <v>0</v>
      </c>
      <c r="E575">
        <f t="shared" si="169"/>
        <v>0</v>
      </c>
      <c r="F575" s="100">
        <f t="shared" ca="1" si="154"/>
        <v>0.33466224999999999</v>
      </c>
      <c r="G575">
        <v>0</v>
      </c>
      <c r="H575">
        <v>0</v>
      </c>
      <c r="I575">
        <v>7</v>
      </c>
      <c r="J575" s="1">
        <f t="shared" ca="1" si="155"/>
        <v>0</v>
      </c>
      <c r="K575" s="1">
        <f t="shared" ca="1" si="156"/>
        <v>0</v>
      </c>
      <c r="L575" s="13">
        <f t="shared" ca="1" si="157"/>
        <v>91</v>
      </c>
      <c r="M575" s="7">
        <f t="shared" ca="1" si="158"/>
        <v>909</v>
      </c>
      <c r="N575" s="44">
        <f t="shared" ca="1" si="159"/>
        <v>11</v>
      </c>
      <c r="O575" s="94">
        <f t="shared" ca="1" si="160"/>
        <v>2.8265749241644089</v>
      </c>
      <c r="P575" s="94">
        <f t="shared" ca="1" si="161"/>
        <v>28.265749241644084</v>
      </c>
      <c r="Q575" s="94">
        <f t="shared" ca="1" si="162"/>
        <v>27.788119352463475</v>
      </c>
      <c r="R575" s="94">
        <f t="shared" ca="1" si="163"/>
        <v>2.8026934297053776</v>
      </c>
      <c r="S575" s="94">
        <f t="shared" ca="1" si="164"/>
        <v>2.8265749241644089</v>
      </c>
      <c r="T575" s="4">
        <f t="shared" ca="1" si="165"/>
        <v>0</v>
      </c>
      <c r="U575" s="46">
        <f t="shared" ca="1" si="166"/>
        <v>1453.7163216869442</v>
      </c>
      <c r="V575" s="4">
        <f t="shared" ca="1" si="167"/>
        <v>0</v>
      </c>
      <c r="W575" s="13">
        <f t="shared" ca="1" si="170"/>
        <v>4659.6920683031822</v>
      </c>
      <c r="X575" s="4">
        <f t="shared" ca="1" si="168"/>
        <v>0</v>
      </c>
    </row>
    <row r="576" spans="1:24">
      <c r="A576">
        <v>0</v>
      </c>
      <c r="B576">
        <v>0</v>
      </c>
      <c r="C576">
        <f t="shared" si="152"/>
        <v>2</v>
      </c>
      <c r="D576">
        <f t="shared" si="153"/>
        <v>0</v>
      </c>
      <c r="E576">
        <f t="shared" si="169"/>
        <v>0</v>
      </c>
      <c r="F576" s="100">
        <f t="shared" ca="1" si="154"/>
        <v>0.33466224999999999</v>
      </c>
      <c r="G576">
        <v>0</v>
      </c>
      <c r="H576">
        <v>0</v>
      </c>
      <c r="I576">
        <v>6</v>
      </c>
      <c r="J576" s="1">
        <f t="shared" ca="1" si="155"/>
        <v>0</v>
      </c>
      <c r="K576" s="1">
        <f t="shared" ca="1" si="156"/>
        <v>0</v>
      </c>
      <c r="L576" s="13">
        <f t="shared" ca="1" si="157"/>
        <v>78</v>
      </c>
      <c r="M576" s="7">
        <f t="shared" ca="1" si="158"/>
        <v>922</v>
      </c>
      <c r="N576" s="44">
        <f t="shared" ca="1" si="159"/>
        <v>11</v>
      </c>
      <c r="O576" s="94">
        <f t="shared" ca="1" si="160"/>
        <v>2.8265749241644089</v>
      </c>
      <c r="P576" s="94">
        <f t="shared" ca="1" si="161"/>
        <v>28.265749241644084</v>
      </c>
      <c r="Q576" s="94">
        <f t="shared" ca="1" si="162"/>
        <v>28.265749241644084</v>
      </c>
      <c r="R576" s="94">
        <f t="shared" ca="1" si="163"/>
        <v>2.8265749241644085</v>
      </c>
      <c r="S576" s="94">
        <f t="shared" ca="1" si="164"/>
        <v>2.8265749241644089</v>
      </c>
      <c r="T576" s="4">
        <f t="shared" ca="1" si="165"/>
        <v>0</v>
      </c>
      <c r="U576" s="46">
        <f t="shared" ca="1" si="166"/>
        <v>1440.7163216869442</v>
      </c>
      <c r="V576" s="4">
        <f t="shared" ca="1" si="167"/>
        <v>0</v>
      </c>
      <c r="W576" s="13">
        <f t="shared" ca="1" si="170"/>
        <v>3994.0217728312991</v>
      </c>
      <c r="X576" s="4">
        <f t="shared" ca="1" si="168"/>
        <v>0</v>
      </c>
    </row>
    <row r="577" spans="1:24">
      <c r="A577">
        <v>0</v>
      </c>
      <c r="B577">
        <v>0</v>
      </c>
      <c r="C577">
        <f t="shared" si="152"/>
        <v>2</v>
      </c>
      <c r="D577">
        <f t="shared" si="153"/>
        <v>0</v>
      </c>
      <c r="E577">
        <f t="shared" si="169"/>
        <v>0</v>
      </c>
      <c r="F577" s="100">
        <f t="shared" ca="1" si="154"/>
        <v>0.33466224999999999</v>
      </c>
      <c r="G577">
        <v>0</v>
      </c>
      <c r="H577">
        <v>0</v>
      </c>
      <c r="I577">
        <v>5</v>
      </c>
      <c r="J577" s="1">
        <f t="shared" ca="1" si="155"/>
        <v>0</v>
      </c>
      <c r="K577" s="1">
        <f t="shared" ca="1" si="156"/>
        <v>0</v>
      </c>
      <c r="L577" s="13">
        <f t="shared" ca="1" si="157"/>
        <v>65</v>
      </c>
      <c r="M577" s="7">
        <f t="shared" ca="1" si="158"/>
        <v>935</v>
      </c>
      <c r="N577" s="44">
        <f t="shared" ca="1" si="159"/>
        <v>11</v>
      </c>
      <c r="O577" s="94">
        <f t="shared" ca="1" si="160"/>
        <v>2.8265749241644089</v>
      </c>
      <c r="P577" s="94">
        <f t="shared" ca="1" si="161"/>
        <v>28.265749241644084</v>
      </c>
      <c r="Q577" s="94">
        <f t="shared" ca="1" si="162"/>
        <v>28.265749241644084</v>
      </c>
      <c r="R577" s="94">
        <f t="shared" ca="1" si="163"/>
        <v>2.8265749241644085</v>
      </c>
      <c r="S577" s="94">
        <f t="shared" ca="1" si="164"/>
        <v>2.8265749241644089</v>
      </c>
      <c r="T577" s="4">
        <f t="shared" ca="1" si="165"/>
        <v>0</v>
      </c>
      <c r="U577" s="46">
        <f t="shared" ca="1" si="166"/>
        <v>1427.7163216869442</v>
      </c>
      <c r="V577" s="4">
        <f t="shared" ca="1" si="167"/>
        <v>0</v>
      </c>
      <c r="W577" s="13">
        <f t="shared" ca="1" si="170"/>
        <v>3328.3514773594161</v>
      </c>
      <c r="X577" s="4">
        <f t="shared" ca="1" si="168"/>
        <v>0</v>
      </c>
    </row>
    <row r="578" spans="1:24">
      <c r="A578">
        <v>0</v>
      </c>
      <c r="B578">
        <v>0</v>
      </c>
      <c r="C578">
        <f t="shared" si="152"/>
        <v>2</v>
      </c>
      <c r="D578">
        <f t="shared" si="153"/>
        <v>0</v>
      </c>
      <c r="E578">
        <f t="shared" si="169"/>
        <v>0</v>
      </c>
      <c r="F578" s="100">
        <f t="shared" ca="1" si="154"/>
        <v>0.33466224999999999</v>
      </c>
      <c r="G578">
        <v>0</v>
      </c>
      <c r="H578">
        <v>0</v>
      </c>
      <c r="I578">
        <v>4</v>
      </c>
      <c r="J578" s="1">
        <f t="shared" ca="1" si="155"/>
        <v>0</v>
      </c>
      <c r="K578" s="1">
        <f t="shared" ca="1" si="156"/>
        <v>0</v>
      </c>
      <c r="L578" s="13">
        <f t="shared" ca="1" si="157"/>
        <v>52</v>
      </c>
      <c r="M578" s="7">
        <f t="shared" ca="1" si="158"/>
        <v>948</v>
      </c>
      <c r="N578" s="44">
        <f t="shared" ca="1" si="159"/>
        <v>11</v>
      </c>
      <c r="O578" s="94">
        <f t="shared" ca="1" si="160"/>
        <v>2.8265749241644089</v>
      </c>
      <c r="P578" s="94">
        <f t="shared" ca="1" si="161"/>
        <v>28.265749241644084</v>
      </c>
      <c r="Q578" s="94">
        <f t="shared" ca="1" si="162"/>
        <v>28.265749241644084</v>
      </c>
      <c r="R578" s="94">
        <f t="shared" ca="1" si="163"/>
        <v>2.8265749241644085</v>
      </c>
      <c r="S578" s="94">
        <f t="shared" ca="1" si="164"/>
        <v>2.8265749241644089</v>
      </c>
      <c r="T578" s="4">
        <f t="shared" ca="1" si="165"/>
        <v>0</v>
      </c>
      <c r="U578" s="46">
        <f t="shared" ca="1" si="166"/>
        <v>1414.7163216869442</v>
      </c>
      <c r="V578" s="4">
        <f t="shared" ca="1" si="167"/>
        <v>0</v>
      </c>
      <c r="W578" s="13">
        <f t="shared" ca="1" si="170"/>
        <v>2662.6811818875326</v>
      </c>
      <c r="X578" s="4">
        <f t="shared" ca="1" si="168"/>
        <v>0</v>
      </c>
    </row>
    <row r="579" spans="1:24">
      <c r="A579">
        <v>0</v>
      </c>
      <c r="B579">
        <v>0</v>
      </c>
      <c r="C579">
        <f t="shared" si="152"/>
        <v>2</v>
      </c>
      <c r="D579">
        <f t="shared" si="153"/>
        <v>0</v>
      </c>
      <c r="E579">
        <f t="shared" si="169"/>
        <v>0</v>
      </c>
      <c r="F579" s="100">
        <f t="shared" ca="1" si="154"/>
        <v>0.33466224999999999</v>
      </c>
      <c r="G579">
        <v>0</v>
      </c>
      <c r="H579">
        <v>0</v>
      </c>
      <c r="I579">
        <v>3</v>
      </c>
      <c r="J579" s="1">
        <f t="shared" ca="1" si="155"/>
        <v>0</v>
      </c>
      <c r="K579" s="1">
        <f t="shared" ca="1" si="156"/>
        <v>0</v>
      </c>
      <c r="L579" s="13">
        <f t="shared" ca="1" si="157"/>
        <v>39</v>
      </c>
      <c r="M579" s="7">
        <f t="shared" ca="1" si="158"/>
        <v>961</v>
      </c>
      <c r="N579" s="44">
        <f t="shared" ca="1" si="159"/>
        <v>11</v>
      </c>
      <c r="O579" s="94">
        <f t="shared" ca="1" si="160"/>
        <v>2.8265749241644089</v>
      </c>
      <c r="P579" s="94">
        <f t="shared" ca="1" si="161"/>
        <v>28.265749241644084</v>
      </c>
      <c r="Q579" s="94">
        <f t="shared" ca="1" si="162"/>
        <v>28.265749241644084</v>
      </c>
      <c r="R579" s="94">
        <f t="shared" ca="1" si="163"/>
        <v>2.8265749241644085</v>
      </c>
      <c r="S579" s="94">
        <f t="shared" ca="1" si="164"/>
        <v>2.8265749241644089</v>
      </c>
      <c r="T579" s="4">
        <f t="shared" ca="1" si="165"/>
        <v>0</v>
      </c>
      <c r="U579" s="46">
        <f t="shared" ca="1" si="166"/>
        <v>1401.7163216869442</v>
      </c>
      <c r="V579" s="4">
        <f t="shared" ca="1" si="167"/>
        <v>0</v>
      </c>
      <c r="W579" s="13">
        <f t="shared" ca="1" si="170"/>
        <v>1997.0108864156496</v>
      </c>
      <c r="X579" s="4">
        <f t="shared" ca="1" si="168"/>
        <v>0</v>
      </c>
    </row>
    <row r="580" spans="1:24">
      <c r="A580">
        <v>0</v>
      </c>
      <c r="B580">
        <v>0</v>
      </c>
      <c r="C580">
        <f t="shared" si="152"/>
        <v>2</v>
      </c>
      <c r="D580">
        <f t="shared" si="153"/>
        <v>0</v>
      </c>
      <c r="E580">
        <f t="shared" si="169"/>
        <v>0</v>
      </c>
      <c r="F580" s="100">
        <f t="shared" ca="1" si="154"/>
        <v>0.33466224999999999</v>
      </c>
      <c r="G580">
        <v>0</v>
      </c>
      <c r="H580">
        <v>0</v>
      </c>
      <c r="I580">
        <v>2</v>
      </c>
      <c r="J580" s="1">
        <f t="shared" ca="1" si="155"/>
        <v>0</v>
      </c>
      <c r="K580" s="1">
        <f t="shared" ca="1" si="156"/>
        <v>0</v>
      </c>
      <c r="L580" s="13">
        <f t="shared" ca="1" si="157"/>
        <v>26</v>
      </c>
      <c r="M580" s="7">
        <f t="shared" ca="1" si="158"/>
        <v>974</v>
      </c>
      <c r="N580" s="44">
        <f t="shared" ca="1" si="159"/>
        <v>11</v>
      </c>
      <c r="O580" s="94">
        <f t="shared" ca="1" si="160"/>
        <v>2.8265749241644089</v>
      </c>
      <c r="P580" s="94">
        <f t="shared" ca="1" si="161"/>
        <v>28.265749241644084</v>
      </c>
      <c r="Q580" s="94">
        <f t="shared" ca="1" si="162"/>
        <v>28.265749241644084</v>
      </c>
      <c r="R580" s="94">
        <f t="shared" ca="1" si="163"/>
        <v>2.8265749241644085</v>
      </c>
      <c r="S580" s="94">
        <f t="shared" ca="1" si="164"/>
        <v>2.8265749241644089</v>
      </c>
      <c r="T580" s="4">
        <f t="shared" ca="1" si="165"/>
        <v>0</v>
      </c>
      <c r="U580" s="46">
        <f t="shared" ca="1" si="166"/>
        <v>1388.7163216869442</v>
      </c>
      <c r="V580" s="4">
        <f t="shared" ca="1" si="167"/>
        <v>0</v>
      </c>
      <c r="W580" s="13">
        <f t="shared" ca="1" si="170"/>
        <v>1331.3405909437663</v>
      </c>
      <c r="X580" s="4">
        <f t="shared" ca="1" si="168"/>
        <v>0</v>
      </c>
    </row>
    <row r="581" spans="1:24">
      <c r="A581">
        <v>0</v>
      </c>
      <c r="B581">
        <v>0</v>
      </c>
      <c r="C581">
        <f t="shared" si="152"/>
        <v>2</v>
      </c>
      <c r="D581">
        <f t="shared" si="153"/>
        <v>0</v>
      </c>
      <c r="E581">
        <f t="shared" si="169"/>
        <v>0</v>
      </c>
      <c r="F581" s="100">
        <f t="shared" ca="1" si="154"/>
        <v>0.33466224999999999</v>
      </c>
      <c r="G581">
        <v>0</v>
      </c>
      <c r="H581">
        <v>0</v>
      </c>
      <c r="I581">
        <v>1</v>
      </c>
      <c r="J581" s="1">
        <f t="shared" ca="1" si="155"/>
        <v>0</v>
      </c>
      <c r="K581" s="1">
        <f t="shared" ca="1" si="156"/>
        <v>0</v>
      </c>
      <c r="L581" s="13">
        <f t="shared" ca="1" si="157"/>
        <v>13</v>
      </c>
      <c r="M581" s="7">
        <f t="shared" ca="1" si="158"/>
        <v>987</v>
      </c>
      <c r="N581" s="44">
        <f t="shared" ca="1" si="159"/>
        <v>12</v>
      </c>
      <c r="O581" s="94">
        <f t="shared" ca="1" si="160"/>
        <v>3.049271339469791</v>
      </c>
      <c r="P581" s="94">
        <f t="shared" ca="1" si="161"/>
        <v>29.824624148781758</v>
      </c>
      <c r="Q581" s="94">
        <f t="shared" ca="1" si="162"/>
        <v>28.265749241644084</v>
      </c>
      <c r="R581" s="94">
        <f t="shared" ca="1" si="163"/>
        <v>2.9045186695212921</v>
      </c>
      <c r="S581" s="94">
        <f t="shared" ca="1" si="164"/>
        <v>3.049271339469791</v>
      </c>
      <c r="T581" s="4">
        <f t="shared" ca="1" si="165"/>
        <v>0</v>
      </c>
      <c r="U581" s="46">
        <f t="shared" ca="1" si="166"/>
        <v>1466.9428976204611</v>
      </c>
      <c r="V581" s="4">
        <f t="shared" ca="1" si="167"/>
        <v>0</v>
      </c>
      <c r="W581" s="13">
        <f t="shared" ca="1" si="170"/>
        <v>665.67029547188315</v>
      </c>
      <c r="X581" s="4">
        <f t="shared" ca="1" si="168"/>
        <v>0</v>
      </c>
    </row>
    <row r="582" spans="1:24">
      <c r="A582">
        <v>0</v>
      </c>
      <c r="B582">
        <v>0</v>
      </c>
      <c r="C582">
        <f t="shared" si="152"/>
        <v>2</v>
      </c>
      <c r="D582">
        <f t="shared" si="153"/>
        <v>0</v>
      </c>
      <c r="E582">
        <f t="shared" si="169"/>
        <v>0</v>
      </c>
      <c r="F582" s="100">
        <f t="shared" ca="1" si="154"/>
        <v>0.33466224999999999</v>
      </c>
      <c r="G582">
        <v>0</v>
      </c>
      <c r="H582">
        <v>0</v>
      </c>
      <c r="I582">
        <v>0</v>
      </c>
      <c r="J582" s="1">
        <f t="shared" ca="1" si="155"/>
        <v>5.0000000000000044E-4</v>
      </c>
      <c r="K582" s="1">
        <f t="shared" ca="1" si="156"/>
        <v>1.6733112500000015E-4</v>
      </c>
      <c r="L582" s="13">
        <f t="shared" ca="1" si="157"/>
        <v>0</v>
      </c>
      <c r="M582" s="7">
        <f t="shared" ca="1" si="158"/>
        <v>1000</v>
      </c>
      <c r="N582" s="44">
        <f t="shared" ca="1" si="159"/>
        <v>12</v>
      </c>
      <c r="O582" s="94">
        <f t="shared" ca="1" si="160"/>
        <v>3.049271339469791</v>
      </c>
      <c r="P582" s="94">
        <f t="shared" ca="1" si="161"/>
        <v>30.492713394697905</v>
      </c>
      <c r="Q582" s="94">
        <f t="shared" ca="1" si="162"/>
        <v>30.492713394697905</v>
      </c>
      <c r="R582" s="94">
        <f t="shared" ca="1" si="163"/>
        <v>3.0492713394697906</v>
      </c>
      <c r="S582" s="94">
        <f t="shared" ca="1" si="164"/>
        <v>3.049271339469791</v>
      </c>
      <c r="T582" s="4">
        <f t="shared" ca="1" si="165"/>
        <v>5.1023800366373749E-4</v>
      </c>
      <c r="U582" s="46">
        <f t="shared" ca="1" si="166"/>
        <v>1453.9428976204611</v>
      </c>
      <c r="V582" s="4">
        <f t="shared" ca="1" si="167"/>
        <v>0.24328990074459178</v>
      </c>
      <c r="W582" s="13">
        <f t="shared" ca="1" si="170"/>
        <v>0</v>
      </c>
      <c r="X582" s="4">
        <f t="shared" ca="1" si="168"/>
        <v>0</v>
      </c>
    </row>
    <row r="583" spans="1:24">
      <c r="A583">
        <v>0</v>
      </c>
      <c r="B583">
        <v>1</v>
      </c>
      <c r="C583">
        <f t="shared" si="152"/>
        <v>3</v>
      </c>
      <c r="D583">
        <f t="shared" si="153"/>
        <v>1</v>
      </c>
      <c r="E583">
        <f t="shared" si="169"/>
        <v>0</v>
      </c>
      <c r="F583" s="100">
        <f t="shared" ca="1" si="154"/>
        <v>0.18020274999999999</v>
      </c>
      <c r="G583">
        <v>1</v>
      </c>
      <c r="H583">
        <v>1</v>
      </c>
      <c r="I583">
        <v>7</v>
      </c>
      <c r="J583" s="1">
        <f t="shared" ca="1" si="155"/>
        <v>0</v>
      </c>
      <c r="K583" s="1">
        <f t="shared" ca="1" si="156"/>
        <v>0</v>
      </c>
      <c r="L583" s="13">
        <f t="shared" ca="1" si="157"/>
        <v>221</v>
      </c>
      <c r="M583" s="7">
        <f t="shared" ca="1" si="158"/>
        <v>779</v>
      </c>
      <c r="N583" s="44">
        <f t="shared" ca="1" si="159"/>
        <v>9</v>
      </c>
      <c r="O583" s="94">
        <f t="shared" ca="1" si="160"/>
        <v>2.3639647217884514</v>
      </c>
      <c r="P583" s="94">
        <f t="shared" ca="1" si="161"/>
        <v>23.639647217884519</v>
      </c>
      <c r="Q583" s="94">
        <f t="shared" ca="1" si="162"/>
        <v>23.639647217884519</v>
      </c>
      <c r="R583" s="94">
        <f t="shared" ca="1" si="163"/>
        <v>2.3639647217884519</v>
      </c>
      <c r="S583" s="94">
        <f t="shared" ca="1" si="164"/>
        <v>2.3639647217884514</v>
      </c>
      <c r="T583" s="4">
        <f t="shared" ca="1" si="165"/>
        <v>0</v>
      </c>
      <c r="U583" s="46">
        <f t="shared" ca="1" si="166"/>
        <v>1394.2101516087316</v>
      </c>
      <c r="V583" s="4">
        <f t="shared" ca="1" si="167"/>
        <v>0</v>
      </c>
      <c r="W583" s="13">
        <f t="shared" ca="1" si="170"/>
        <v>16438.260675257192</v>
      </c>
      <c r="X583" s="4">
        <f t="shared" ca="1" si="168"/>
        <v>0</v>
      </c>
    </row>
    <row r="584" spans="1:24">
      <c r="A584">
        <v>0</v>
      </c>
      <c r="B584">
        <v>1</v>
      </c>
      <c r="C584">
        <f t="shared" si="152"/>
        <v>3</v>
      </c>
      <c r="D584">
        <f t="shared" si="153"/>
        <v>1</v>
      </c>
      <c r="E584">
        <f t="shared" si="169"/>
        <v>0</v>
      </c>
      <c r="F584" s="100">
        <f t="shared" ca="1" si="154"/>
        <v>0.18020274999999999</v>
      </c>
      <c r="G584">
        <v>1</v>
      </c>
      <c r="H584">
        <v>1</v>
      </c>
      <c r="I584">
        <v>6</v>
      </c>
      <c r="J584" s="1">
        <f t="shared" ca="1" si="155"/>
        <v>0</v>
      </c>
      <c r="K584" s="1">
        <f t="shared" ca="1" si="156"/>
        <v>0</v>
      </c>
      <c r="L584" s="13">
        <f t="shared" ca="1" si="157"/>
        <v>208</v>
      </c>
      <c r="M584" s="7">
        <f t="shared" ca="1" si="158"/>
        <v>792</v>
      </c>
      <c r="N584" s="44">
        <f t="shared" ca="1" si="159"/>
        <v>9</v>
      </c>
      <c r="O584" s="94">
        <f t="shared" ca="1" si="160"/>
        <v>2.3639647217884514</v>
      </c>
      <c r="P584" s="94">
        <f t="shared" ca="1" si="161"/>
        <v>23.639647217884519</v>
      </c>
      <c r="Q584" s="94">
        <f t="shared" ca="1" si="162"/>
        <v>23.639647217884519</v>
      </c>
      <c r="R584" s="94">
        <f t="shared" ca="1" si="163"/>
        <v>2.3639647217884519</v>
      </c>
      <c r="S584" s="94">
        <f t="shared" ca="1" si="164"/>
        <v>2.3639647217884514</v>
      </c>
      <c r="T584" s="4">
        <f t="shared" ca="1" si="165"/>
        <v>0</v>
      </c>
      <c r="U584" s="46">
        <f t="shared" ca="1" si="166"/>
        <v>1381.2101516087316</v>
      </c>
      <c r="V584" s="4">
        <f t="shared" ca="1" si="167"/>
        <v>0</v>
      </c>
      <c r="W584" s="13">
        <f t="shared" ca="1" si="170"/>
        <v>15772.59037978531</v>
      </c>
      <c r="X584" s="4">
        <f t="shared" ca="1" si="168"/>
        <v>0</v>
      </c>
    </row>
    <row r="585" spans="1:24">
      <c r="A585">
        <v>0</v>
      </c>
      <c r="B585">
        <v>1</v>
      </c>
      <c r="C585">
        <f t="shared" si="152"/>
        <v>3</v>
      </c>
      <c r="D585">
        <f t="shared" si="153"/>
        <v>1</v>
      </c>
      <c r="E585">
        <f t="shared" si="169"/>
        <v>0</v>
      </c>
      <c r="F585" s="100">
        <f t="shared" ca="1" si="154"/>
        <v>0.18020274999999999</v>
      </c>
      <c r="G585">
        <v>1</v>
      </c>
      <c r="H585">
        <v>1</v>
      </c>
      <c r="I585">
        <v>5</v>
      </c>
      <c r="J585" s="1">
        <f t="shared" ca="1" si="155"/>
        <v>0</v>
      </c>
      <c r="K585" s="1">
        <f t="shared" ca="1" si="156"/>
        <v>0</v>
      </c>
      <c r="L585" s="13">
        <f t="shared" ca="1" si="157"/>
        <v>195</v>
      </c>
      <c r="M585" s="7">
        <f t="shared" ca="1" si="158"/>
        <v>805</v>
      </c>
      <c r="N585" s="44">
        <f t="shared" ca="1" si="159"/>
        <v>10</v>
      </c>
      <c r="O585" s="94">
        <f t="shared" ca="1" si="160"/>
        <v>2.5877599795741038</v>
      </c>
      <c r="P585" s="94">
        <f t="shared" ca="1" si="161"/>
        <v>24.311032991241476</v>
      </c>
      <c r="Q585" s="94">
        <f t="shared" ca="1" si="162"/>
        <v>23.639647217884519</v>
      </c>
      <c r="R585" s="94">
        <f t="shared" ca="1" si="163"/>
        <v>2.3975340104562997</v>
      </c>
      <c r="S585" s="94">
        <f t="shared" ca="1" si="164"/>
        <v>2.5877599795741038</v>
      </c>
      <c r="T585" s="4">
        <f t="shared" ca="1" si="165"/>
        <v>0</v>
      </c>
      <c r="U585" s="46">
        <f t="shared" ca="1" si="166"/>
        <v>1459.8868633777442</v>
      </c>
      <c r="V585" s="4">
        <f t="shared" ca="1" si="167"/>
        <v>0</v>
      </c>
      <c r="W585" s="13">
        <f t="shared" ca="1" si="170"/>
        <v>15106.920084313426</v>
      </c>
      <c r="X585" s="4">
        <f t="shared" ca="1" si="168"/>
        <v>0</v>
      </c>
    </row>
    <row r="586" spans="1:24">
      <c r="A586">
        <v>0</v>
      </c>
      <c r="B586">
        <v>1</v>
      </c>
      <c r="C586">
        <f t="shared" si="152"/>
        <v>3</v>
      </c>
      <c r="D586">
        <f t="shared" si="153"/>
        <v>1</v>
      </c>
      <c r="E586">
        <f t="shared" si="169"/>
        <v>0</v>
      </c>
      <c r="F586" s="100">
        <f t="shared" ca="1" si="154"/>
        <v>0.18020274999999999</v>
      </c>
      <c r="G586">
        <v>1</v>
      </c>
      <c r="H586">
        <v>1</v>
      </c>
      <c r="I586">
        <v>4</v>
      </c>
      <c r="J586" s="1">
        <f t="shared" ca="1" si="155"/>
        <v>0</v>
      </c>
      <c r="K586" s="1">
        <f t="shared" ca="1" si="156"/>
        <v>0</v>
      </c>
      <c r="L586" s="13">
        <f t="shared" ca="1" si="157"/>
        <v>182</v>
      </c>
      <c r="M586" s="7">
        <f t="shared" ca="1" si="158"/>
        <v>818</v>
      </c>
      <c r="N586" s="44">
        <f t="shared" ca="1" si="159"/>
        <v>10</v>
      </c>
      <c r="O586" s="94">
        <f t="shared" ca="1" si="160"/>
        <v>2.5877599795741038</v>
      </c>
      <c r="P586" s="94">
        <f t="shared" ca="1" si="161"/>
        <v>25.877599795741034</v>
      </c>
      <c r="Q586" s="94">
        <f t="shared" ca="1" si="162"/>
        <v>24.982418764598432</v>
      </c>
      <c r="R586" s="94">
        <f t="shared" ca="1" si="163"/>
        <v>2.5430009280169736</v>
      </c>
      <c r="S586" s="94">
        <f t="shared" ca="1" si="164"/>
        <v>2.5877599795741038</v>
      </c>
      <c r="T586" s="4">
        <f t="shared" ca="1" si="165"/>
        <v>0</v>
      </c>
      <c r="U586" s="46">
        <f t="shared" ca="1" si="166"/>
        <v>1446.8868633777442</v>
      </c>
      <c r="V586" s="4">
        <f t="shared" ca="1" si="167"/>
        <v>0</v>
      </c>
      <c r="W586" s="13">
        <f t="shared" ca="1" si="170"/>
        <v>14441.249788841542</v>
      </c>
      <c r="X586" s="4">
        <f t="shared" ca="1" si="168"/>
        <v>0</v>
      </c>
    </row>
    <row r="587" spans="1:24">
      <c r="A587">
        <v>0</v>
      </c>
      <c r="B587">
        <v>1</v>
      </c>
      <c r="C587">
        <f t="shared" si="152"/>
        <v>3</v>
      </c>
      <c r="D587">
        <f t="shared" si="153"/>
        <v>1</v>
      </c>
      <c r="E587">
        <f t="shared" si="169"/>
        <v>0</v>
      </c>
      <c r="F587" s="100">
        <f t="shared" ca="1" si="154"/>
        <v>0.18020274999999999</v>
      </c>
      <c r="G587">
        <v>1</v>
      </c>
      <c r="H587">
        <v>1</v>
      </c>
      <c r="I587">
        <v>3</v>
      </c>
      <c r="J587" s="1">
        <f t="shared" ca="1" si="155"/>
        <v>0</v>
      </c>
      <c r="K587" s="1">
        <f t="shared" ca="1" si="156"/>
        <v>0</v>
      </c>
      <c r="L587" s="13">
        <f t="shared" ca="1" si="157"/>
        <v>169</v>
      </c>
      <c r="M587" s="7">
        <f t="shared" ca="1" si="158"/>
        <v>831</v>
      </c>
      <c r="N587" s="44">
        <f t="shared" ca="1" si="159"/>
        <v>10</v>
      </c>
      <c r="O587" s="94">
        <f t="shared" ca="1" si="160"/>
        <v>2.5877599795741038</v>
      </c>
      <c r="P587" s="94">
        <f t="shared" ca="1" si="161"/>
        <v>25.877599795741034</v>
      </c>
      <c r="Q587" s="94">
        <f t="shared" ca="1" si="162"/>
        <v>25.877599795741034</v>
      </c>
      <c r="R587" s="94">
        <f t="shared" ca="1" si="163"/>
        <v>2.5877599795741033</v>
      </c>
      <c r="S587" s="94">
        <f t="shared" ca="1" si="164"/>
        <v>2.5877599795741038</v>
      </c>
      <c r="T587" s="4">
        <f t="shared" ca="1" si="165"/>
        <v>0</v>
      </c>
      <c r="U587" s="46">
        <f t="shared" ca="1" si="166"/>
        <v>1433.8868633777442</v>
      </c>
      <c r="V587" s="4">
        <f t="shared" ca="1" si="167"/>
        <v>0</v>
      </c>
      <c r="W587" s="13">
        <f t="shared" ca="1" si="170"/>
        <v>13775.57949336966</v>
      </c>
      <c r="X587" s="4">
        <f t="shared" ca="1" si="168"/>
        <v>0</v>
      </c>
    </row>
    <row r="588" spans="1:24">
      <c r="A588">
        <v>0</v>
      </c>
      <c r="B588">
        <v>1</v>
      </c>
      <c r="C588">
        <f t="shared" si="152"/>
        <v>3</v>
      </c>
      <c r="D588">
        <f t="shared" si="153"/>
        <v>1</v>
      </c>
      <c r="E588">
        <f t="shared" si="169"/>
        <v>0</v>
      </c>
      <c r="F588" s="100">
        <f t="shared" ca="1" si="154"/>
        <v>0.18020274999999999</v>
      </c>
      <c r="G588">
        <v>1</v>
      </c>
      <c r="H588">
        <v>1</v>
      </c>
      <c r="I588">
        <v>2</v>
      </c>
      <c r="J588" s="1">
        <f t="shared" ca="1" si="155"/>
        <v>0</v>
      </c>
      <c r="K588" s="1">
        <f t="shared" ca="1" si="156"/>
        <v>0</v>
      </c>
      <c r="L588" s="13">
        <f t="shared" ca="1" si="157"/>
        <v>156</v>
      </c>
      <c r="M588" s="7">
        <f t="shared" ca="1" si="158"/>
        <v>844</v>
      </c>
      <c r="N588" s="44">
        <f t="shared" ca="1" si="159"/>
        <v>10</v>
      </c>
      <c r="O588" s="94">
        <f t="shared" ca="1" si="160"/>
        <v>2.5877599795741038</v>
      </c>
      <c r="P588" s="94">
        <f t="shared" ca="1" si="161"/>
        <v>25.877599795741034</v>
      </c>
      <c r="Q588" s="94">
        <f t="shared" ca="1" si="162"/>
        <v>25.877599795741034</v>
      </c>
      <c r="R588" s="94">
        <f t="shared" ca="1" si="163"/>
        <v>2.5877599795741033</v>
      </c>
      <c r="S588" s="94">
        <f t="shared" ca="1" si="164"/>
        <v>2.5877599795741038</v>
      </c>
      <c r="T588" s="4">
        <f t="shared" ca="1" si="165"/>
        <v>0</v>
      </c>
      <c r="U588" s="46">
        <f t="shared" ca="1" si="166"/>
        <v>1420.8868633777442</v>
      </c>
      <c r="V588" s="4">
        <f t="shared" ca="1" si="167"/>
        <v>0</v>
      </c>
      <c r="W588" s="13">
        <f t="shared" ca="1" si="170"/>
        <v>13109.909197897776</v>
      </c>
      <c r="X588" s="4">
        <f t="shared" ca="1" si="168"/>
        <v>0</v>
      </c>
    </row>
    <row r="589" spans="1:24">
      <c r="A589">
        <v>0</v>
      </c>
      <c r="B589">
        <v>1</v>
      </c>
      <c r="C589">
        <f t="shared" si="152"/>
        <v>3</v>
      </c>
      <c r="D589">
        <f t="shared" si="153"/>
        <v>1</v>
      </c>
      <c r="E589">
        <f t="shared" si="169"/>
        <v>0</v>
      </c>
      <c r="F589" s="100">
        <f t="shared" ca="1" si="154"/>
        <v>0.18020274999999999</v>
      </c>
      <c r="G589">
        <v>1</v>
      </c>
      <c r="H589">
        <v>1</v>
      </c>
      <c r="I589">
        <v>1</v>
      </c>
      <c r="J589" s="1">
        <f t="shared" ca="1" si="155"/>
        <v>0.93109500000000001</v>
      </c>
      <c r="K589" s="1">
        <f t="shared" ca="1" si="156"/>
        <v>0.16778587951124999</v>
      </c>
      <c r="L589" s="13">
        <f t="shared" ca="1" si="157"/>
        <v>143</v>
      </c>
      <c r="M589" s="7">
        <f t="shared" ca="1" si="158"/>
        <v>857</v>
      </c>
      <c r="N589" s="44">
        <f t="shared" ca="1" si="159"/>
        <v>10</v>
      </c>
      <c r="O589" s="94">
        <f t="shared" ca="1" si="160"/>
        <v>2.5877599795741038</v>
      </c>
      <c r="P589" s="94">
        <f t="shared" ca="1" si="161"/>
        <v>25.877599795741034</v>
      </c>
      <c r="Q589" s="94">
        <f t="shared" ca="1" si="162"/>
        <v>25.877599795741034</v>
      </c>
      <c r="R589" s="94">
        <f t="shared" ca="1" si="163"/>
        <v>2.5877599795741033</v>
      </c>
      <c r="S589" s="94">
        <f t="shared" ca="1" si="164"/>
        <v>2.5877599795741038</v>
      </c>
      <c r="T589" s="4">
        <f t="shared" ca="1" si="165"/>
        <v>0.43418958413685532</v>
      </c>
      <c r="U589" s="46">
        <f t="shared" ca="1" si="166"/>
        <v>1407.8868633777442</v>
      </c>
      <c r="V589" s="4">
        <f t="shared" ca="1" si="167"/>
        <v>236.22353562416987</v>
      </c>
      <c r="W589" s="13">
        <f t="shared" ca="1" si="170"/>
        <v>12444.238902425894</v>
      </c>
      <c r="X589" s="4">
        <f t="shared" ca="1" si="168"/>
        <v>2087.9675690916406</v>
      </c>
    </row>
    <row r="590" spans="1:24">
      <c r="A590">
        <v>0</v>
      </c>
      <c r="B590">
        <v>1</v>
      </c>
      <c r="C590">
        <f t="shared" si="152"/>
        <v>3</v>
      </c>
      <c r="D590">
        <f t="shared" si="153"/>
        <v>1</v>
      </c>
      <c r="E590">
        <f t="shared" si="169"/>
        <v>0</v>
      </c>
      <c r="F590" s="100">
        <f t="shared" ca="1" si="154"/>
        <v>0.18020274999999999</v>
      </c>
      <c r="G590">
        <v>1</v>
      </c>
      <c r="H590">
        <v>1</v>
      </c>
      <c r="I590">
        <v>0</v>
      </c>
      <c r="J590" s="1">
        <f t="shared" ca="1" si="155"/>
        <v>9.4050000000000088E-3</v>
      </c>
      <c r="K590" s="1">
        <f t="shared" ca="1" si="156"/>
        <v>1.6948068637500015E-3</v>
      </c>
      <c r="L590" s="13">
        <f t="shared" ca="1" si="157"/>
        <v>130</v>
      </c>
      <c r="M590" s="7">
        <f t="shared" ca="1" si="158"/>
        <v>870</v>
      </c>
      <c r="N590" s="44">
        <f t="shared" ca="1" si="159"/>
        <v>10</v>
      </c>
      <c r="O590" s="94">
        <f t="shared" ca="1" si="160"/>
        <v>2.5877599795741038</v>
      </c>
      <c r="P590" s="94">
        <f t="shared" ca="1" si="161"/>
        <v>25.877599795741034</v>
      </c>
      <c r="Q590" s="94">
        <f t="shared" ca="1" si="162"/>
        <v>25.877599795741034</v>
      </c>
      <c r="R590" s="94">
        <f t="shared" ca="1" si="163"/>
        <v>2.5877599795741033</v>
      </c>
      <c r="S590" s="94">
        <f t="shared" ca="1" si="164"/>
        <v>2.5877599795741038</v>
      </c>
      <c r="T590" s="4">
        <f t="shared" ca="1" si="165"/>
        <v>4.3857533751197548E-3</v>
      </c>
      <c r="U590" s="46">
        <f t="shared" ca="1" si="166"/>
        <v>1394.8868633777442</v>
      </c>
      <c r="V590" s="4">
        <f t="shared" ca="1" si="167"/>
        <v>2.3640638302073116</v>
      </c>
      <c r="W590" s="13">
        <f t="shared" ca="1" si="170"/>
        <v>11778.56860695401</v>
      </c>
      <c r="X590" s="4">
        <f t="shared" ca="1" si="168"/>
        <v>19.96239892021595</v>
      </c>
    </row>
    <row r="591" spans="1:24">
      <c r="A591">
        <v>0</v>
      </c>
      <c r="B591">
        <v>1</v>
      </c>
      <c r="C591">
        <f t="shared" si="152"/>
        <v>3</v>
      </c>
      <c r="D591">
        <f t="shared" si="153"/>
        <v>1</v>
      </c>
      <c r="E591">
        <f t="shared" si="169"/>
        <v>0</v>
      </c>
      <c r="F591" s="100">
        <f t="shared" ca="1" si="154"/>
        <v>0.18020274999999999</v>
      </c>
      <c r="G591">
        <v>1</v>
      </c>
      <c r="H591">
        <v>0</v>
      </c>
      <c r="I591">
        <v>7</v>
      </c>
      <c r="J591" s="1">
        <f t="shared" ca="1" si="155"/>
        <v>0</v>
      </c>
      <c r="K591" s="1">
        <f t="shared" ca="1" si="156"/>
        <v>0</v>
      </c>
      <c r="L591" s="13">
        <f t="shared" ca="1" si="157"/>
        <v>156</v>
      </c>
      <c r="M591" s="7">
        <f t="shared" ca="1" si="158"/>
        <v>844</v>
      </c>
      <c r="N591" s="44">
        <f t="shared" ca="1" si="159"/>
        <v>10</v>
      </c>
      <c r="O591" s="94">
        <f t="shared" ca="1" si="160"/>
        <v>2.5877599795741038</v>
      </c>
      <c r="P591" s="94">
        <f t="shared" ca="1" si="161"/>
        <v>25.877599795741034</v>
      </c>
      <c r="Q591" s="94">
        <f t="shared" ca="1" si="162"/>
        <v>25.877599795741034</v>
      </c>
      <c r="R591" s="94">
        <f t="shared" ca="1" si="163"/>
        <v>2.5877599795741033</v>
      </c>
      <c r="S591" s="94">
        <f t="shared" ca="1" si="164"/>
        <v>2.5877599795741038</v>
      </c>
      <c r="T591" s="4">
        <f t="shared" ca="1" si="165"/>
        <v>0</v>
      </c>
      <c r="U591" s="46">
        <f t="shared" ca="1" si="166"/>
        <v>1420.8868633777442</v>
      </c>
      <c r="V591" s="4">
        <f t="shared" ca="1" si="167"/>
        <v>0</v>
      </c>
      <c r="W591" s="13">
        <f t="shared" ca="1" si="170"/>
        <v>15972.716608816479</v>
      </c>
      <c r="X591" s="4">
        <f t="shared" ca="1" si="168"/>
        <v>0</v>
      </c>
    </row>
    <row r="592" spans="1:24">
      <c r="A592">
        <v>0</v>
      </c>
      <c r="B592">
        <v>1</v>
      </c>
      <c r="C592">
        <f t="shared" si="152"/>
        <v>3</v>
      </c>
      <c r="D592">
        <f t="shared" si="153"/>
        <v>1</v>
      </c>
      <c r="E592">
        <f t="shared" si="169"/>
        <v>0</v>
      </c>
      <c r="F592" s="100">
        <f t="shared" ca="1" si="154"/>
        <v>0.18020274999999999</v>
      </c>
      <c r="G592">
        <v>1</v>
      </c>
      <c r="H592">
        <v>0</v>
      </c>
      <c r="I592">
        <v>6</v>
      </c>
      <c r="J592" s="1">
        <f t="shared" ca="1" si="155"/>
        <v>0</v>
      </c>
      <c r="K592" s="1">
        <f t="shared" ca="1" si="156"/>
        <v>0</v>
      </c>
      <c r="L592" s="13">
        <f t="shared" ca="1" si="157"/>
        <v>143</v>
      </c>
      <c r="M592" s="7">
        <f t="shared" ca="1" si="158"/>
        <v>857</v>
      </c>
      <c r="N592" s="44">
        <f t="shared" ca="1" si="159"/>
        <v>10</v>
      </c>
      <c r="O592" s="94">
        <f t="shared" ca="1" si="160"/>
        <v>2.5877599795741038</v>
      </c>
      <c r="P592" s="94">
        <f t="shared" ca="1" si="161"/>
        <v>25.877599795741034</v>
      </c>
      <c r="Q592" s="94">
        <f t="shared" ca="1" si="162"/>
        <v>25.877599795741034</v>
      </c>
      <c r="R592" s="94">
        <f t="shared" ca="1" si="163"/>
        <v>2.5877599795741033</v>
      </c>
      <c r="S592" s="94">
        <f t="shared" ca="1" si="164"/>
        <v>2.5877599795741038</v>
      </c>
      <c r="T592" s="4">
        <f t="shared" ca="1" si="165"/>
        <v>0</v>
      </c>
      <c r="U592" s="46">
        <f t="shared" ca="1" si="166"/>
        <v>1407.8868633777442</v>
      </c>
      <c r="V592" s="4">
        <f t="shared" ca="1" si="167"/>
        <v>0</v>
      </c>
      <c r="W592" s="13">
        <f t="shared" ca="1" si="170"/>
        <v>15307.046313344596</v>
      </c>
      <c r="X592" s="4">
        <f t="shared" ca="1" si="168"/>
        <v>0</v>
      </c>
    </row>
    <row r="593" spans="1:24">
      <c r="A593">
        <v>0</v>
      </c>
      <c r="B593">
        <v>1</v>
      </c>
      <c r="C593">
        <f t="shared" si="152"/>
        <v>3</v>
      </c>
      <c r="D593">
        <f t="shared" si="153"/>
        <v>1</v>
      </c>
      <c r="E593">
        <f t="shared" si="169"/>
        <v>0</v>
      </c>
      <c r="F593" s="100">
        <f t="shared" ca="1" si="154"/>
        <v>0.18020274999999999</v>
      </c>
      <c r="G593">
        <v>1</v>
      </c>
      <c r="H593">
        <v>0</v>
      </c>
      <c r="I593">
        <v>5</v>
      </c>
      <c r="J593" s="1">
        <f t="shared" ca="1" si="155"/>
        <v>0</v>
      </c>
      <c r="K593" s="1">
        <f t="shared" ca="1" si="156"/>
        <v>0</v>
      </c>
      <c r="L593" s="13">
        <f t="shared" ca="1" si="157"/>
        <v>130</v>
      </c>
      <c r="M593" s="7">
        <f t="shared" ca="1" si="158"/>
        <v>870</v>
      </c>
      <c r="N593" s="44">
        <f t="shared" ca="1" si="159"/>
        <v>10</v>
      </c>
      <c r="O593" s="94">
        <f t="shared" ca="1" si="160"/>
        <v>2.5877599795741038</v>
      </c>
      <c r="P593" s="94">
        <f t="shared" ca="1" si="161"/>
        <v>25.877599795741034</v>
      </c>
      <c r="Q593" s="94">
        <f t="shared" ca="1" si="162"/>
        <v>25.877599795741034</v>
      </c>
      <c r="R593" s="94">
        <f t="shared" ca="1" si="163"/>
        <v>2.5877599795741033</v>
      </c>
      <c r="S593" s="94">
        <f t="shared" ca="1" si="164"/>
        <v>2.5877599795741038</v>
      </c>
      <c r="T593" s="4">
        <f t="shared" ca="1" si="165"/>
        <v>0</v>
      </c>
      <c r="U593" s="46">
        <f t="shared" ca="1" si="166"/>
        <v>1394.8868633777442</v>
      </c>
      <c r="V593" s="4">
        <f t="shared" ca="1" si="167"/>
        <v>0</v>
      </c>
      <c r="W593" s="13">
        <f t="shared" ca="1" si="170"/>
        <v>14641.376017872713</v>
      </c>
      <c r="X593" s="4">
        <f t="shared" ca="1" si="168"/>
        <v>0</v>
      </c>
    </row>
    <row r="594" spans="1:24">
      <c r="A594">
        <v>0</v>
      </c>
      <c r="B594">
        <v>1</v>
      </c>
      <c r="C594">
        <f t="shared" si="152"/>
        <v>3</v>
      </c>
      <c r="D594">
        <f t="shared" si="153"/>
        <v>1</v>
      </c>
      <c r="E594">
        <f t="shared" si="169"/>
        <v>0</v>
      </c>
      <c r="F594" s="100">
        <f t="shared" ca="1" si="154"/>
        <v>0.18020274999999999</v>
      </c>
      <c r="G594">
        <v>1</v>
      </c>
      <c r="H594">
        <v>0</v>
      </c>
      <c r="I594">
        <v>4</v>
      </c>
      <c r="J594" s="1">
        <f t="shared" ca="1" si="155"/>
        <v>0</v>
      </c>
      <c r="K594" s="1">
        <f t="shared" ca="1" si="156"/>
        <v>0</v>
      </c>
      <c r="L594" s="13">
        <f t="shared" ca="1" si="157"/>
        <v>117</v>
      </c>
      <c r="M594" s="7">
        <f t="shared" ca="1" si="158"/>
        <v>883</v>
      </c>
      <c r="N594" s="44">
        <f t="shared" ca="1" si="159"/>
        <v>10</v>
      </c>
      <c r="O594" s="94">
        <f t="shared" ca="1" si="160"/>
        <v>2.5877599795741038</v>
      </c>
      <c r="P594" s="94">
        <f t="shared" ca="1" si="161"/>
        <v>25.877599795741034</v>
      </c>
      <c r="Q594" s="94">
        <f t="shared" ca="1" si="162"/>
        <v>25.877599795741034</v>
      </c>
      <c r="R594" s="94">
        <f t="shared" ca="1" si="163"/>
        <v>2.5877599795741033</v>
      </c>
      <c r="S594" s="94">
        <f t="shared" ca="1" si="164"/>
        <v>2.5877599795741038</v>
      </c>
      <c r="T594" s="4">
        <f t="shared" ca="1" si="165"/>
        <v>0</v>
      </c>
      <c r="U594" s="46">
        <f t="shared" ca="1" si="166"/>
        <v>1381.8868633777442</v>
      </c>
      <c r="V594" s="4">
        <f t="shared" ca="1" si="167"/>
        <v>0</v>
      </c>
      <c r="W594" s="13">
        <f t="shared" ca="1" si="170"/>
        <v>13975.705722400829</v>
      </c>
      <c r="X594" s="4">
        <f t="shared" ca="1" si="168"/>
        <v>0</v>
      </c>
    </row>
    <row r="595" spans="1:24">
      <c r="A595">
        <v>0</v>
      </c>
      <c r="B595">
        <v>1</v>
      </c>
      <c r="C595">
        <f t="shared" si="152"/>
        <v>3</v>
      </c>
      <c r="D595">
        <f t="shared" si="153"/>
        <v>1</v>
      </c>
      <c r="E595">
        <f t="shared" si="169"/>
        <v>0</v>
      </c>
      <c r="F595" s="100">
        <f t="shared" ca="1" si="154"/>
        <v>0.18020274999999999</v>
      </c>
      <c r="G595">
        <v>1</v>
      </c>
      <c r="H595">
        <v>0</v>
      </c>
      <c r="I595">
        <v>3</v>
      </c>
      <c r="J595" s="1">
        <f t="shared" ca="1" si="155"/>
        <v>0</v>
      </c>
      <c r="K595" s="1">
        <f t="shared" ca="1" si="156"/>
        <v>0</v>
      </c>
      <c r="L595" s="13">
        <f t="shared" ca="1" si="157"/>
        <v>104</v>
      </c>
      <c r="M595" s="7">
        <f t="shared" ca="1" si="158"/>
        <v>896</v>
      </c>
      <c r="N595" s="44">
        <f t="shared" ca="1" si="159"/>
        <v>11</v>
      </c>
      <c r="O595" s="94">
        <f t="shared" ca="1" si="160"/>
        <v>2.8265749241644089</v>
      </c>
      <c r="P595" s="94">
        <f t="shared" ca="1" si="161"/>
        <v>27.071674518692554</v>
      </c>
      <c r="Q595" s="94">
        <f t="shared" ca="1" si="162"/>
        <v>25.877599795741034</v>
      </c>
      <c r="R595" s="94">
        <f t="shared" ca="1" si="163"/>
        <v>2.6474637157216794</v>
      </c>
      <c r="S595" s="94">
        <f t="shared" ca="1" si="164"/>
        <v>2.8265749241644089</v>
      </c>
      <c r="T595" s="4">
        <f t="shared" ca="1" si="165"/>
        <v>0</v>
      </c>
      <c r="U595" s="46">
        <f t="shared" ca="1" si="166"/>
        <v>1466.7163216869442</v>
      </c>
      <c r="V595" s="4">
        <f t="shared" ca="1" si="167"/>
        <v>0</v>
      </c>
      <c r="W595" s="13">
        <f t="shared" ca="1" si="170"/>
        <v>13310.035426928947</v>
      </c>
      <c r="X595" s="4">
        <f t="shared" ca="1" si="168"/>
        <v>0</v>
      </c>
    </row>
    <row r="596" spans="1:24">
      <c r="A596">
        <v>0</v>
      </c>
      <c r="B596">
        <v>1</v>
      </c>
      <c r="C596">
        <f t="shared" si="152"/>
        <v>3</v>
      </c>
      <c r="D596">
        <f t="shared" si="153"/>
        <v>1</v>
      </c>
      <c r="E596">
        <f t="shared" si="169"/>
        <v>0</v>
      </c>
      <c r="F596" s="100">
        <f t="shared" ca="1" si="154"/>
        <v>0.18020274999999999</v>
      </c>
      <c r="G596">
        <v>1</v>
      </c>
      <c r="H596">
        <v>0</v>
      </c>
      <c r="I596">
        <v>2</v>
      </c>
      <c r="J596" s="1">
        <f t="shared" ca="1" si="155"/>
        <v>0</v>
      </c>
      <c r="K596" s="1">
        <f t="shared" ca="1" si="156"/>
        <v>0</v>
      </c>
      <c r="L596" s="13">
        <f t="shared" ca="1" si="157"/>
        <v>91</v>
      </c>
      <c r="M596" s="7">
        <f t="shared" ca="1" si="158"/>
        <v>909</v>
      </c>
      <c r="N596" s="44">
        <f t="shared" ca="1" si="159"/>
        <v>11</v>
      </c>
      <c r="O596" s="94">
        <f t="shared" ca="1" si="160"/>
        <v>2.8265749241644089</v>
      </c>
      <c r="P596" s="94">
        <f t="shared" ca="1" si="161"/>
        <v>28.265749241644084</v>
      </c>
      <c r="Q596" s="94">
        <f t="shared" ca="1" si="162"/>
        <v>27.788119352463475</v>
      </c>
      <c r="R596" s="94">
        <f t="shared" ca="1" si="163"/>
        <v>2.8026934297053776</v>
      </c>
      <c r="S596" s="94">
        <f t="shared" ca="1" si="164"/>
        <v>2.8265749241644089</v>
      </c>
      <c r="T596" s="4">
        <f t="shared" ca="1" si="165"/>
        <v>0</v>
      </c>
      <c r="U596" s="46">
        <f t="shared" ca="1" si="166"/>
        <v>1453.7163216869442</v>
      </c>
      <c r="V596" s="4">
        <f t="shared" ca="1" si="167"/>
        <v>0</v>
      </c>
      <c r="W596" s="13">
        <f t="shared" ca="1" si="170"/>
        <v>12644.365131457063</v>
      </c>
      <c r="X596" s="4">
        <f t="shared" ca="1" si="168"/>
        <v>0</v>
      </c>
    </row>
    <row r="597" spans="1:24">
      <c r="A597">
        <v>0</v>
      </c>
      <c r="B597">
        <v>1</v>
      </c>
      <c r="C597">
        <f t="shared" si="152"/>
        <v>3</v>
      </c>
      <c r="D597">
        <f t="shared" si="153"/>
        <v>1</v>
      </c>
      <c r="E597">
        <f t="shared" si="169"/>
        <v>0</v>
      </c>
      <c r="F597" s="100">
        <f t="shared" ca="1" si="154"/>
        <v>0.18020274999999999</v>
      </c>
      <c r="G597">
        <v>1</v>
      </c>
      <c r="H597">
        <v>0</v>
      </c>
      <c r="I597">
        <v>1</v>
      </c>
      <c r="J597" s="1">
        <f t="shared" ca="1" si="155"/>
        <v>9.4050000000000088E-3</v>
      </c>
      <c r="K597" s="1">
        <f t="shared" ca="1" si="156"/>
        <v>1.6948068637500015E-3</v>
      </c>
      <c r="L597" s="13">
        <f t="shared" ca="1" si="157"/>
        <v>78</v>
      </c>
      <c r="M597" s="7">
        <f t="shared" ca="1" si="158"/>
        <v>922</v>
      </c>
      <c r="N597" s="44">
        <f t="shared" ca="1" si="159"/>
        <v>11</v>
      </c>
      <c r="O597" s="94">
        <f t="shared" ca="1" si="160"/>
        <v>2.8265749241644089</v>
      </c>
      <c r="P597" s="94">
        <f t="shared" ca="1" si="161"/>
        <v>28.265749241644084</v>
      </c>
      <c r="Q597" s="94">
        <f t="shared" ca="1" si="162"/>
        <v>28.265749241644084</v>
      </c>
      <c r="R597" s="94">
        <f t="shared" ca="1" si="163"/>
        <v>2.8265749241644085</v>
      </c>
      <c r="S597" s="94">
        <f t="shared" ca="1" si="164"/>
        <v>2.8265749241644089</v>
      </c>
      <c r="T597" s="4">
        <f t="shared" ca="1" si="165"/>
        <v>4.7904985823774802E-3</v>
      </c>
      <c r="U597" s="46">
        <f t="shared" ca="1" si="166"/>
        <v>1440.7163216869442</v>
      </c>
      <c r="V597" s="4">
        <f t="shared" ca="1" si="167"/>
        <v>2.4417359107116883</v>
      </c>
      <c r="W597" s="13">
        <f t="shared" ca="1" si="170"/>
        <v>11978.694835985181</v>
      </c>
      <c r="X597" s="4">
        <f t="shared" ca="1" si="168"/>
        <v>20.301574226794383</v>
      </c>
    </row>
    <row r="598" spans="1:24">
      <c r="A598">
        <v>0</v>
      </c>
      <c r="B598">
        <v>1</v>
      </c>
      <c r="C598">
        <f t="shared" si="152"/>
        <v>3</v>
      </c>
      <c r="D598">
        <f t="shared" si="153"/>
        <v>1</v>
      </c>
      <c r="E598">
        <f t="shared" si="169"/>
        <v>0</v>
      </c>
      <c r="F598" s="100">
        <f t="shared" ca="1" si="154"/>
        <v>0.18020274999999999</v>
      </c>
      <c r="G598">
        <v>1</v>
      </c>
      <c r="H598">
        <v>0</v>
      </c>
      <c r="I598">
        <v>0</v>
      </c>
      <c r="J598" s="1">
        <f t="shared" ca="1" si="155"/>
        <v>9.5000000000000168E-5</v>
      </c>
      <c r="K598" s="1">
        <f t="shared" ca="1" si="156"/>
        <v>1.711926125000003E-5</v>
      </c>
      <c r="L598" s="13">
        <f t="shared" ca="1" si="157"/>
        <v>65</v>
      </c>
      <c r="M598" s="7">
        <f t="shared" ca="1" si="158"/>
        <v>935</v>
      </c>
      <c r="N598" s="44">
        <f t="shared" ca="1" si="159"/>
        <v>11</v>
      </c>
      <c r="O598" s="94">
        <f t="shared" ca="1" si="160"/>
        <v>2.8265749241644089</v>
      </c>
      <c r="P598" s="94">
        <f t="shared" ca="1" si="161"/>
        <v>28.265749241644084</v>
      </c>
      <c r="Q598" s="94">
        <f t="shared" ca="1" si="162"/>
        <v>28.265749241644084</v>
      </c>
      <c r="R598" s="94">
        <f t="shared" ca="1" si="163"/>
        <v>2.8265749241644085</v>
      </c>
      <c r="S598" s="94">
        <f t="shared" ca="1" si="164"/>
        <v>2.8265749241644089</v>
      </c>
      <c r="T598" s="4">
        <f t="shared" ca="1" si="165"/>
        <v>4.8388874569469536E-5</v>
      </c>
      <c r="U598" s="46">
        <f t="shared" ca="1" si="166"/>
        <v>1427.7163216869442</v>
      </c>
      <c r="V598" s="4">
        <f t="shared" ca="1" si="167"/>
        <v>2.4441448701847879E-2</v>
      </c>
      <c r="W598" s="13">
        <f t="shared" ca="1" si="170"/>
        <v>11313.024540513297</v>
      </c>
      <c r="X598" s="4">
        <f t="shared" ca="1" si="168"/>
        <v>0.19367062263670867</v>
      </c>
    </row>
    <row r="599" spans="1:24">
      <c r="A599">
        <v>0</v>
      </c>
      <c r="B599">
        <v>1</v>
      </c>
      <c r="C599">
        <f t="shared" si="152"/>
        <v>3</v>
      </c>
      <c r="D599">
        <f t="shared" si="153"/>
        <v>1</v>
      </c>
      <c r="E599">
        <f t="shared" si="169"/>
        <v>0</v>
      </c>
      <c r="F599" s="100">
        <f t="shared" ca="1" si="154"/>
        <v>0.18020274999999999</v>
      </c>
      <c r="G599">
        <v>0</v>
      </c>
      <c r="H599">
        <v>1</v>
      </c>
      <c r="I599">
        <v>7</v>
      </c>
      <c r="J599" s="1">
        <f t="shared" ca="1" si="155"/>
        <v>0</v>
      </c>
      <c r="K599" s="1">
        <f t="shared" ca="1" si="156"/>
        <v>0</v>
      </c>
      <c r="L599" s="13">
        <f t="shared" ca="1" si="157"/>
        <v>156</v>
      </c>
      <c r="M599" s="7">
        <f t="shared" ca="1" si="158"/>
        <v>844</v>
      </c>
      <c r="N599" s="44">
        <f t="shared" ca="1" si="159"/>
        <v>10</v>
      </c>
      <c r="O599" s="94">
        <f t="shared" ca="1" si="160"/>
        <v>2.5877599795741038</v>
      </c>
      <c r="P599" s="94">
        <f t="shared" ca="1" si="161"/>
        <v>25.877599795741034</v>
      </c>
      <c r="Q599" s="94">
        <f t="shared" ca="1" si="162"/>
        <v>25.877599795741034</v>
      </c>
      <c r="R599" s="94">
        <f t="shared" ca="1" si="163"/>
        <v>2.5877599795741033</v>
      </c>
      <c r="S599" s="94">
        <f t="shared" ca="1" si="164"/>
        <v>2.5877599795741038</v>
      </c>
      <c r="T599" s="4">
        <f t="shared" ca="1" si="165"/>
        <v>0</v>
      </c>
      <c r="U599" s="46">
        <f t="shared" ca="1" si="166"/>
        <v>1420.8868633777442</v>
      </c>
      <c r="V599" s="4">
        <f t="shared" ca="1" si="167"/>
        <v>0</v>
      </c>
      <c r="W599" s="13">
        <f t="shared" ca="1" si="170"/>
        <v>5125.2361347438955</v>
      </c>
      <c r="X599" s="4">
        <f t="shared" ca="1" si="168"/>
        <v>0</v>
      </c>
    </row>
    <row r="600" spans="1:24">
      <c r="A600">
        <v>0</v>
      </c>
      <c r="B600">
        <v>1</v>
      </c>
      <c r="C600">
        <f t="shared" si="152"/>
        <v>3</v>
      </c>
      <c r="D600">
        <f t="shared" si="153"/>
        <v>1</v>
      </c>
      <c r="E600">
        <f t="shared" si="169"/>
        <v>0</v>
      </c>
      <c r="F600" s="100">
        <f t="shared" ca="1" si="154"/>
        <v>0.18020274999999999</v>
      </c>
      <c r="G600">
        <v>0</v>
      </c>
      <c r="H600">
        <v>1</v>
      </c>
      <c r="I600">
        <v>6</v>
      </c>
      <c r="J600" s="1">
        <f t="shared" ca="1" si="155"/>
        <v>0</v>
      </c>
      <c r="K600" s="1">
        <f t="shared" ca="1" si="156"/>
        <v>0</v>
      </c>
      <c r="L600" s="13">
        <f t="shared" ca="1" si="157"/>
        <v>143</v>
      </c>
      <c r="M600" s="7">
        <f t="shared" ca="1" si="158"/>
        <v>857</v>
      </c>
      <c r="N600" s="44">
        <f t="shared" ca="1" si="159"/>
        <v>10</v>
      </c>
      <c r="O600" s="94">
        <f t="shared" ca="1" si="160"/>
        <v>2.5877599795741038</v>
      </c>
      <c r="P600" s="94">
        <f t="shared" ca="1" si="161"/>
        <v>25.877599795741034</v>
      </c>
      <c r="Q600" s="94">
        <f t="shared" ca="1" si="162"/>
        <v>25.877599795741034</v>
      </c>
      <c r="R600" s="94">
        <f t="shared" ca="1" si="163"/>
        <v>2.5877599795741033</v>
      </c>
      <c r="S600" s="94">
        <f t="shared" ca="1" si="164"/>
        <v>2.5877599795741038</v>
      </c>
      <c r="T600" s="4">
        <f t="shared" ca="1" si="165"/>
        <v>0</v>
      </c>
      <c r="U600" s="46">
        <f t="shared" ca="1" si="166"/>
        <v>1407.8868633777442</v>
      </c>
      <c r="V600" s="4">
        <f t="shared" ca="1" si="167"/>
        <v>0</v>
      </c>
      <c r="W600" s="13">
        <f t="shared" ca="1" si="170"/>
        <v>4459.5658392720125</v>
      </c>
      <c r="X600" s="4">
        <f t="shared" ca="1" si="168"/>
        <v>0</v>
      </c>
    </row>
    <row r="601" spans="1:24">
      <c r="A601">
        <v>0</v>
      </c>
      <c r="B601">
        <v>1</v>
      </c>
      <c r="C601">
        <f t="shared" si="152"/>
        <v>3</v>
      </c>
      <c r="D601">
        <f t="shared" si="153"/>
        <v>1</v>
      </c>
      <c r="E601">
        <f t="shared" si="169"/>
        <v>0</v>
      </c>
      <c r="F601" s="100">
        <f t="shared" ca="1" si="154"/>
        <v>0.18020274999999999</v>
      </c>
      <c r="G601">
        <v>0</v>
      </c>
      <c r="H601">
        <v>1</v>
      </c>
      <c r="I601">
        <v>5</v>
      </c>
      <c r="J601" s="1">
        <f t="shared" ca="1" si="155"/>
        <v>0</v>
      </c>
      <c r="K601" s="1">
        <f t="shared" ca="1" si="156"/>
        <v>0</v>
      </c>
      <c r="L601" s="13">
        <f t="shared" ca="1" si="157"/>
        <v>130</v>
      </c>
      <c r="M601" s="7">
        <f t="shared" ca="1" si="158"/>
        <v>870</v>
      </c>
      <c r="N601" s="44">
        <f t="shared" ca="1" si="159"/>
        <v>10</v>
      </c>
      <c r="O601" s="94">
        <f t="shared" ca="1" si="160"/>
        <v>2.5877599795741038</v>
      </c>
      <c r="P601" s="94">
        <f t="shared" ca="1" si="161"/>
        <v>25.877599795741034</v>
      </c>
      <c r="Q601" s="94">
        <f t="shared" ca="1" si="162"/>
        <v>25.877599795741034</v>
      </c>
      <c r="R601" s="94">
        <f t="shared" ca="1" si="163"/>
        <v>2.5877599795741033</v>
      </c>
      <c r="S601" s="94">
        <f t="shared" ca="1" si="164"/>
        <v>2.5877599795741038</v>
      </c>
      <c r="T601" s="4">
        <f t="shared" ca="1" si="165"/>
        <v>0</v>
      </c>
      <c r="U601" s="46">
        <f t="shared" ca="1" si="166"/>
        <v>1394.8868633777442</v>
      </c>
      <c r="V601" s="4">
        <f t="shared" ca="1" si="167"/>
        <v>0</v>
      </c>
      <c r="W601" s="13">
        <f t="shared" ca="1" si="170"/>
        <v>3793.895543800129</v>
      </c>
      <c r="X601" s="4">
        <f t="shared" ca="1" si="168"/>
        <v>0</v>
      </c>
    </row>
    <row r="602" spans="1:24">
      <c r="A602">
        <v>0</v>
      </c>
      <c r="B602">
        <v>1</v>
      </c>
      <c r="C602">
        <f t="shared" si="152"/>
        <v>3</v>
      </c>
      <c r="D602">
        <f t="shared" si="153"/>
        <v>1</v>
      </c>
      <c r="E602">
        <f t="shared" si="169"/>
        <v>0</v>
      </c>
      <c r="F602" s="100">
        <f t="shared" ca="1" si="154"/>
        <v>0.18020274999999999</v>
      </c>
      <c r="G602">
        <v>0</v>
      </c>
      <c r="H602">
        <v>1</v>
      </c>
      <c r="I602">
        <v>4</v>
      </c>
      <c r="J602" s="1">
        <f t="shared" ca="1" si="155"/>
        <v>0</v>
      </c>
      <c r="K602" s="1">
        <f t="shared" ca="1" si="156"/>
        <v>0</v>
      </c>
      <c r="L602" s="13">
        <f t="shared" ca="1" si="157"/>
        <v>117</v>
      </c>
      <c r="M602" s="7">
        <f t="shared" ca="1" si="158"/>
        <v>883</v>
      </c>
      <c r="N602" s="44">
        <f t="shared" ca="1" si="159"/>
        <v>10</v>
      </c>
      <c r="O602" s="94">
        <f t="shared" ca="1" si="160"/>
        <v>2.5877599795741038</v>
      </c>
      <c r="P602" s="94">
        <f t="shared" ca="1" si="161"/>
        <v>25.877599795741034</v>
      </c>
      <c r="Q602" s="94">
        <f t="shared" ca="1" si="162"/>
        <v>25.877599795741034</v>
      </c>
      <c r="R602" s="94">
        <f t="shared" ca="1" si="163"/>
        <v>2.5877599795741033</v>
      </c>
      <c r="S602" s="94">
        <f t="shared" ca="1" si="164"/>
        <v>2.5877599795741038</v>
      </c>
      <c r="T602" s="4">
        <f t="shared" ca="1" si="165"/>
        <v>0</v>
      </c>
      <c r="U602" s="46">
        <f t="shared" ca="1" si="166"/>
        <v>1381.8868633777442</v>
      </c>
      <c r="V602" s="4">
        <f t="shared" ca="1" si="167"/>
        <v>0</v>
      </c>
      <c r="W602" s="13">
        <f t="shared" ca="1" si="170"/>
        <v>3128.2252483282455</v>
      </c>
      <c r="X602" s="4">
        <f t="shared" ca="1" si="168"/>
        <v>0</v>
      </c>
    </row>
    <row r="603" spans="1:24">
      <c r="A603">
        <v>0</v>
      </c>
      <c r="B603">
        <v>1</v>
      </c>
      <c r="C603">
        <f t="shared" si="152"/>
        <v>3</v>
      </c>
      <c r="D603">
        <f t="shared" si="153"/>
        <v>1</v>
      </c>
      <c r="E603">
        <f t="shared" si="169"/>
        <v>0</v>
      </c>
      <c r="F603" s="100">
        <f t="shared" ca="1" si="154"/>
        <v>0.18020274999999999</v>
      </c>
      <c r="G603">
        <v>0</v>
      </c>
      <c r="H603">
        <v>1</v>
      </c>
      <c r="I603">
        <v>3</v>
      </c>
      <c r="J603" s="1">
        <f t="shared" ca="1" si="155"/>
        <v>0</v>
      </c>
      <c r="K603" s="1">
        <f t="shared" ca="1" si="156"/>
        <v>0</v>
      </c>
      <c r="L603" s="13">
        <f t="shared" ca="1" si="157"/>
        <v>104</v>
      </c>
      <c r="M603" s="7">
        <f t="shared" ca="1" si="158"/>
        <v>896</v>
      </c>
      <c r="N603" s="44">
        <f t="shared" ca="1" si="159"/>
        <v>11</v>
      </c>
      <c r="O603" s="94">
        <f t="shared" ca="1" si="160"/>
        <v>2.8265749241644089</v>
      </c>
      <c r="P603" s="94">
        <f t="shared" ca="1" si="161"/>
        <v>27.071674518692554</v>
      </c>
      <c r="Q603" s="94">
        <f t="shared" ca="1" si="162"/>
        <v>25.877599795741034</v>
      </c>
      <c r="R603" s="94">
        <f t="shared" ca="1" si="163"/>
        <v>2.6474637157216794</v>
      </c>
      <c r="S603" s="94">
        <f t="shared" ca="1" si="164"/>
        <v>2.8265749241644089</v>
      </c>
      <c r="T603" s="4">
        <f t="shared" ca="1" si="165"/>
        <v>0</v>
      </c>
      <c r="U603" s="46">
        <f t="shared" ca="1" si="166"/>
        <v>1466.7163216869442</v>
      </c>
      <c r="V603" s="4">
        <f t="shared" ca="1" si="167"/>
        <v>0</v>
      </c>
      <c r="W603" s="13">
        <f t="shared" ca="1" si="170"/>
        <v>2462.5549528563624</v>
      </c>
      <c r="X603" s="4">
        <f t="shared" ca="1" si="168"/>
        <v>0</v>
      </c>
    </row>
    <row r="604" spans="1:24">
      <c r="A604">
        <v>0</v>
      </c>
      <c r="B604">
        <v>1</v>
      </c>
      <c r="C604">
        <f t="shared" si="152"/>
        <v>3</v>
      </c>
      <c r="D604">
        <f t="shared" si="153"/>
        <v>1</v>
      </c>
      <c r="E604">
        <f t="shared" si="169"/>
        <v>0</v>
      </c>
      <c r="F604" s="100">
        <f t="shared" ca="1" si="154"/>
        <v>0.18020274999999999</v>
      </c>
      <c r="G604">
        <v>0</v>
      </c>
      <c r="H604">
        <v>1</v>
      </c>
      <c r="I604">
        <v>2</v>
      </c>
      <c r="J604" s="1">
        <f t="shared" ca="1" si="155"/>
        <v>0</v>
      </c>
      <c r="K604" s="1">
        <f t="shared" ca="1" si="156"/>
        <v>0</v>
      </c>
      <c r="L604" s="13">
        <f t="shared" ca="1" si="157"/>
        <v>91</v>
      </c>
      <c r="M604" s="7">
        <f t="shared" ca="1" si="158"/>
        <v>909</v>
      </c>
      <c r="N604" s="44">
        <f t="shared" ca="1" si="159"/>
        <v>11</v>
      </c>
      <c r="O604" s="94">
        <f t="shared" ca="1" si="160"/>
        <v>2.8265749241644089</v>
      </c>
      <c r="P604" s="94">
        <f t="shared" ca="1" si="161"/>
        <v>28.265749241644084</v>
      </c>
      <c r="Q604" s="94">
        <f t="shared" ca="1" si="162"/>
        <v>27.788119352463475</v>
      </c>
      <c r="R604" s="94">
        <f t="shared" ca="1" si="163"/>
        <v>2.8026934297053776</v>
      </c>
      <c r="S604" s="94">
        <f t="shared" ca="1" si="164"/>
        <v>2.8265749241644089</v>
      </c>
      <c r="T604" s="4">
        <f t="shared" ca="1" si="165"/>
        <v>0</v>
      </c>
      <c r="U604" s="46">
        <f t="shared" ca="1" si="166"/>
        <v>1453.7163216869442</v>
      </c>
      <c r="V604" s="4">
        <f t="shared" ca="1" si="167"/>
        <v>0</v>
      </c>
      <c r="W604" s="13">
        <f t="shared" ca="1" si="170"/>
        <v>1796.8846573844794</v>
      </c>
      <c r="X604" s="4">
        <f t="shared" ca="1" si="168"/>
        <v>0</v>
      </c>
    </row>
    <row r="605" spans="1:24">
      <c r="A605">
        <v>0</v>
      </c>
      <c r="B605">
        <v>1</v>
      </c>
      <c r="C605">
        <f t="shared" si="152"/>
        <v>3</v>
      </c>
      <c r="D605">
        <f t="shared" si="153"/>
        <v>1</v>
      </c>
      <c r="E605">
        <f t="shared" si="169"/>
        <v>0</v>
      </c>
      <c r="F605" s="100">
        <f t="shared" ca="1" si="154"/>
        <v>0.18020274999999999</v>
      </c>
      <c r="G605">
        <v>0</v>
      </c>
      <c r="H605">
        <v>1</v>
      </c>
      <c r="I605">
        <v>1</v>
      </c>
      <c r="J605" s="1">
        <f t="shared" ca="1" si="155"/>
        <v>4.9005E-2</v>
      </c>
      <c r="K605" s="1">
        <f t="shared" ca="1" si="156"/>
        <v>8.8308357637499994E-3</v>
      </c>
      <c r="L605" s="13">
        <f t="shared" ca="1" si="157"/>
        <v>78</v>
      </c>
      <c r="M605" s="7">
        <f t="shared" ca="1" si="158"/>
        <v>922</v>
      </c>
      <c r="N605" s="44">
        <f t="shared" ca="1" si="159"/>
        <v>11</v>
      </c>
      <c r="O605" s="94">
        <f t="shared" ca="1" si="160"/>
        <v>2.8265749241644089</v>
      </c>
      <c r="P605" s="94">
        <f t="shared" ca="1" si="161"/>
        <v>28.265749241644084</v>
      </c>
      <c r="Q605" s="94">
        <f t="shared" ca="1" si="162"/>
        <v>28.265749241644084</v>
      </c>
      <c r="R605" s="94">
        <f t="shared" ca="1" si="163"/>
        <v>2.8265749241644085</v>
      </c>
      <c r="S605" s="94">
        <f t="shared" ca="1" si="164"/>
        <v>2.8265749241644089</v>
      </c>
      <c r="T605" s="4">
        <f t="shared" ca="1" si="165"/>
        <v>2.4961018929230003E-2</v>
      </c>
      <c r="U605" s="46">
        <f t="shared" ca="1" si="166"/>
        <v>1440.7163216869442</v>
      </c>
      <c r="V605" s="4">
        <f t="shared" ca="1" si="167"/>
        <v>12.722729218971416</v>
      </c>
      <c r="W605" s="13">
        <f t="shared" ca="1" si="170"/>
        <v>1131.2143619125961</v>
      </c>
      <c r="X605" s="4">
        <f t="shared" ca="1" si="168"/>
        <v>9.9895682436453885</v>
      </c>
    </row>
    <row r="606" spans="1:24">
      <c r="A606">
        <v>0</v>
      </c>
      <c r="B606">
        <v>1</v>
      </c>
      <c r="C606">
        <f t="shared" si="152"/>
        <v>3</v>
      </c>
      <c r="D606">
        <f t="shared" si="153"/>
        <v>1</v>
      </c>
      <c r="E606">
        <f t="shared" si="169"/>
        <v>0</v>
      </c>
      <c r="F606" s="100">
        <f t="shared" ca="1" si="154"/>
        <v>0.18020274999999999</v>
      </c>
      <c r="G606">
        <v>0</v>
      </c>
      <c r="H606">
        <v>1</v>
      </c>
      <c r="I606">
        <v>0</v>
      </c>
      <c r="J606" s="1">
        <f t="shared" ca="1" si="155"/>
        <v>4.9500000000000043E-4</v>
      </c>
      <c r="K606" s="1">
        <f t="shared" ca="1" si="156"/>
        <v>8.9200361250000074E-5</v>
      </c>
      <c r="L606" s="13">
        <f t="shared" ca="1" si="157"/>
        <v>65</v>
      </c>
      <c r="M606" s="7">
        <f t="shared" ca="1" si="158"/>
        <v>935</v>
      </c>
      <c r="N606" s="44">
        <f t="shared" ca="1" si="159"/>
        <v>11</v>
      </c>
      <c r="O606" s="94">
        <f t="shared" ca="1" si="160"/>
        <v>2.8265749241644089</v>
      </c>
      <c r="P606" s="94">
        <f t="shared" ca="1" si="161"/>
        <v>28.265749241644084</v>
      </c>
      <c r="Q606" s="94">
        <f t="shared" ca="1" si="162"/>
        <v>28.265749241644084</v>
      </c>
      <c r="R606" s="94">
        <f t="shared" ca="1" si="163"/>
        <v>2.8265749241644085</v>
      </c>
      <c r="S606" s="94">
        <f t="shared" ca="1" si="164"/>
        <v>2.8265749241644089</v>
      </c>
      <c r="T606" s="4">
        <f t="shared" ca="1" si="165"/>
        <v>2.5213150433565684E-4</v>
      </c>
      <c r="U606" s="46">
        <f t="shared" ca="1" si="166"/>
        <v>1427.7163216869442</v>
      </c>
      <c r="V606" s="4">
        <f t="shared" ca="1" si="167"/>
        <v>0.12735281165699674</v>
      </c>
      <c r="W606" s="13">
        <f t="shared" ca="1" si="170"/>
        <v>465.54406644071304</v>
      </c>
      <c r="X606" s="4">
        <f t="shared" ca="1" si="168"/>
        <v>4.1526698904305638E-2</v>
      </c>
    </row>
    <row r="607" spans="1:24">
      <c r="A607">
        <v>0</v>
      </c>
      <c r="B607">
        <v>1</v>
      </c>
      <c r="C607">
        <f t="shared" si="152"/>
        <v>3</v>
      </c>
      <c r="D607">
        <f t="shared" si="153"/>
        <v>1</v>
      </c>
      <c r="E607">
        <f t="shared" si="169"/>
        <v>0</v>
      </c>
      <c r="F607" s="100">
        <f t="shared" ca="1" si="154"/>
        <v>0.18020274999999999</v>
      </c>
      <c r="G607">
        <v>0</v>
      </c>
      <c r="H607">
        <v>0</v>
      </c>
      <c r="I607">
        <v>7</v>
      </c>
      <c r="J607" s="1">
        <f t="shared" ca="1" si="155"/>
        <v>0</v>
      </c>
      <c r="K607" s="1">
        <f t="shared" ca="1" si="156"/>
        <v>0</v>
      </c>
      <c r="L607" s="13">
        <f t="shared" ca="1" si="157"/>
        <v>91</v>
      </c>
      <c r="M607" s="7">
        <f t="shared" ca="1" si="158"/>
        <v>909</v>
      </c>
      <c r="N607" s="44">
        <f t="shared" ca="1" si="159"/>
        <v>11</v>
      </c>
      <c r="O607" s="94">
        <f t="shared" ca="1" si="160"/>
        <v>2.8265749241644089</v>
      </c>
      <c r="P607" s="94">
        <f t="shared" ca="1" si="161"/>
        <v>28.265749241644084</v>
      </c>
      <c r="Q607" s="94">
        <f t="shared" ca="1" si="162"/>
        <v>27.788119352463475</v>
      </c>
      <c r="R607" s="94">
        <f t="shared" ca="1" si="163"/>
        <v>2.8026934297053776</v>
      </c>
      <c r="S607" s="94">
        <f t="shared" ca="1" si="164"/>
        <v>2.8265749241644089</v>
      </c>
      <c r="T607" s="4">
        <f t="shared" ca="1" si="165"/>
        <v>0</v>
      </c>
      <c r="U607" s="46">
        <f t="shared" ca="1" si="166"/>
        <v>1453.7163216869442</v>
      </c>
      <c r="V607" s="4">
        <f t="shared" ca="1" si="167"/>
        <v>0</v>
      </c>
      <c r="W607" s="13">
        <f t="shared" ca="1" si="170"/>
        <v>4659.6920683031822</v>
      </c>
      <c r="X607" s="4">
        <f t="shared" ca="1" si="168"/>
        <v>0</v>
      </c>
    </row>
    <row r="608" spans="1:24">
      <c r="A608">
        <v>0</v>
      </c>
      <c r="B608">
        <v>1</v>
      </c>
      <c r="C608">
        <f t="shared" si="152"/>
        <v>3</v>
      </c>
      <c r="D608">
        <f t="shared" si="153"/>
        <v>1</v>
      </c>
      <c r="E608">
        <f t="shared" si="169"/>
        <v>0</v>
      </c>
      <c r="F608" s="100">
        <f t="shared" ca="1" si="154"/>
        <v>0.18020274999999999</v>
      </c>
      <c r="G608">
        <v>0</v>
      </c>
      <c r="H608">
        <v>0</v>
      </c>
      <c r="I608">
        <v>6</v>
      </c>
      <c r="J608" s="1">
        <f t="shared" ca="1" si="155"/>
        <v>0</v>
      </c>
      <c r="K608" s="1">
        <f t="shared" ca="1" si="156"/>
        <v>0</v>
      </c>
      <c r="L608" s="13">
        <f t="shared" ca="1" si="157"/>
        <v>78</v>
      </c>
      <c r="M608" s="7">
        <f t="shared" ca="1" si="158"/>
        <v>922</v>
      </c>
      <c r="N608" s="44">
        <f t="shared" ca="1" si="159"/>
        <v>11</v>
      </c>
      <c r="O608" s="94">
        <f t="shared" ca="1" si="160"/>
        <v>2.8265749241644089</v>
      </c>
      <c r="P608" s="94">
        <f t="shared" ca="1" si="161"/>
        <v>28.265749241644084</v>
      </c>
      <c r="Q608" s="94">
        <f t="shared" ca="1" si="162"/>
        <v>28.265749241644084</v>
      </c>
      <c r="R608" s="94">
        <f t="shared" ca="1" si="163"/>
        <v>2.8265749241644085</v>
      </c>
      <c r="S608" s="94">
        <f t="shared" ca="1" si="164"/>
        <v>2.8265749241644089</v>
      </c>
      <c r="T608" s="4">
        <f t="shared" ca="1" si="165"/>
        <v>0</v>
      </c>
      <c r="U608" s="46">
        <f t="shared" ca="1" si="166"/>
        <v>1440.7163216869442</v>
      </c>
      <c r="V608" s="4">
        <f t="shared" ca="1" si="167"/>
        <v>0</v>
      </c>
      <c r="W608" s="13">
        <f t="shared" ca="1" si="170"/>
        <v>3994.0217728312991</v>
      </c>
      <c r="X608" s="4">
        <f t="shared" ca="1" si="168"/>
        <v>0</v>
      </c>
    </row>
    <row r="609" spans="1:24">
      <c r="A609">
        <v>0</v>
      </c>
      <c r="B609">
        <v>1</v>
      </c>
      <c r="C609">
        <f t="shared" si="152"/>
        <v>3</v>
      </c>
      <c r="D609">
        <f t="shared" si="153"/>
        <v>1</v>
      </c>
      <c r="E609">
        <f t="shared" si="169"/>
        <v>0</v>
      </c>
      <c r="F609" s="100">
        <f t="shared" ca="1" si="154"/>
        <v>0.18020274999999999</v>
      </c>
      <c r="G609">
        <v>0</v>
      </c>
      <c r="H609">
        <v>0</v>
      </c>
      <c r="I609">
        <v>5</v>
      </c>
      <c r="J609" s="1">
        <f t="shared" ca="1" si="155"/>
        <v>0</v>
      </c>
      <c r="K609" s="1">
        <f t="shared" ca="1" si="156"/>
        <v>0</v>
      </c>
      <c r="L609" s="13">
        <f t="shared" ca="1" si="157"/>
        <v>65</v>
      </c>
      <c r="M609" s="7">
        <f t="shared" ca="1" si="158"/>
        <v>935</v>
      </c>
      <c r="N609" s="44">
        <f t="shared" ca="1" si="159"/>
        <v>11</v>
      </c>
      <c r="O609" s="94">
        <f t="shared" ca="1" si="160"/>
        <v>2.8265749241644089</v>
      </c>
      <c r="P609" s="94">
        <f t="shared" ca="1" si="161"/>
        <v>28.265749241644084</v>
      </c>
      <c r="Q609" s="94">
        <f t="shared" ca="1" si="162"/>
        <v>28.265749241644084</v>
      </c>
      <c r="R609" s="94">
        <f t="shared" ca="1" si="163"/>
        <v>2.8265749241644085</v>
      </c>
      <c r="S609" s="94">
        <f t="shared" ca="1" si="164"/>
        <v>2.8265749241644089</v>
      </c>
      <c r="T609" s="4">
        <f t="shared" ca="1" si="165"/>
        <v>0</v>
      </c>
      <c r="U609" s="46">
        <f t="shared" ca="1" si="166"/>
        <v>1427.7163216869442</v>
      </c>
      <c r="V609" s="4">
        <f t="shared" ca="1" si="167"/>
        <v>0</v>
      </c>
      <c r="W609" s="13">
        <f t="shared" ca="1" si="170"/>
        <v>3328.3514773594161</v>
      </c>
      <c r="X609" s="4">
        <f t="shared" ca="1" si="168"/>
        <v>0</v>
      </c>
    </row>
    <row r="610" spans="1:24">
      <c r="A610">
        <v>0</v>
      </c>
      <c r="B610">
        <v>1</v>
      </c>
      <c r="C610">
        <f t="shared" si="152"/>
        <v>3</v>
      </c>
      <c r="D610">
        <f t="shared" si="153"/>
        <v>1</v>
      </c>
      <c r="E610">
        <f t="shared" si="169"/>
        <v>0</v>
      </c>
      <c r="F610" s="100">
        <f t="shared" ca="1" si="154"/>
        <v>0.18020274999999999</v>
      </c>
      <c r="G610">
        <v>0</v>
      </c>
      <c r="H610">
        <v>0</v>
      </c>
      <c r="I610">
        <v>4</v>
      </c>
      <c r="J610" s="1">
        <f t="shared" ca="1" si="155"/>
        <v>0</v>
      </c>
      <c r="K610" s="1">
        <f t="shared" ca="1" si="156"/>
        <v>0</v>
      </c>
      <c r="L610" s="13">
        <f t="shared" ca="1" si="157"/>
        <v>52</v>
      </c>
      <c r="M610" s="7">
        <f t="shared" ca="1" si="158"/>
        <v>948</v>
      </c>
      <c r="N610" s="44">
        <f t="shared" ca="1" si="159"/>
        <v>11</v>
      </c>
      <c r="O610" s="94">
        <f t="shared" ca="1" si="160"/>
        <v>2.8265749241644089</v>
      </c>
      <c r="P610" s="94">
        <f t="shared" ca="1" si="161"/>
        <v>28.265749241644084</v>
      </c>
      <c r="Q610" s="94">
        <f t="shared" ca="1" si="162"/>
        <v>28.265749241644084</v>
      </c>
      <c r="R610" s="94">
        <f t="shared" ca="1" si="163"/>
        <v>2.8265749241644085</v>
      </c>
      <c r="S610" s="94">
        <f t="shared" ca="1" si="164"/>
        <v>2.8265749241644089</v>
      </c>
      <c r="T610" s="4">
        <f t="shared" ca="1" si="165"/>
        <v>0</v>
      </c>
      <c r="U610" s="46">
        <f t="shared" ca="1" si="166"/>
        <v>1414.7163216869442</v>
      </c>
      <c r="V610" s="4">
        <f t="shared" ca="1" si="167"/>
        <v>0</v>
      </c>
      <c r="W610" s="13">
        <f t="shared" ca="1" si="170"/>
        <v>2662.6811818875326</v>
      </c>
      <c r="X610" s="4">
        <f t="shared" ca="1" si="168"/>
        <v>0</v>
      </c>
    </row>
    <row r="611" spans="1:24">
      <c r="A611">
        <v>0</v>
      </c>
      <c r="B611">
        <v>1</v>
      </c>
      <c r="C611">
        <f t="shared" si="152"/>
        <v>3</v>
      </c>
      <c r="D611">
        <f t="shared" si="153"/>
        <v>1</v>
      </c>
      <c r="E611">
        <f t="shared" si="169"/>
        <v>0</v>
      </c>
      <c r="F611" s="100">
        <f t="shared" ca="1" si="154"/>
        <v>0.18020274999999999</v>
      </c>
      <c r="G611">
        <v>0</v>
      </c>
      <c r="H611">
        <v>0</v>
      </c>
      <c r="I611">
        <v>3</v>
      </c>
      <c r="J611" s="1">
        <f t="shared" ca="1" si="155"/>
        <v>0</v>
      </c>
      <c r="K611" s="1">
        <f t="shared" ca="1" si="156"/>
        <v>0</v>
      </c>
      <c r="L611" s="13">
        <f t="shared" ca="1" si="157"/>
        <v>39</v>
      </c>
      <c r="M611" s="7">
        <f t="shared" ca="1" si="158"/>
        <v>961</v>
      </c>
      <c r="N611" s="44">
        <f t="shared" ca="1" si="159"/>
        <v>11</v>
      </c>
      <c r="O611" s="94">
        <f t="shared" ca="1" si="160"/>
        <v>2.8265749241644089</v>
      </c>
      <c r="P611" s="94">
        <f t="shared" ca="1" si="161"/>
        <v>28.265749241644084</v>
      </c>
      <c r="Q611" s="94">
        <f t="shared" ca="1" si="162"/>
        <v>28.265749241644084</v>
      </c>
      <c r="R611" s="94">
        <f t="shared" ca="1" si="163"/>
        <v>2.8265749241644085</v>
      </c>
      <c r="S611" s="94">
        <f t="shared" ca="1" si="164"/>
        <v>2.8265749241644089</v>
      </c>
      <c r="T611" s="4">
        <f t="shared" ca="1" si="165"/>
        <v>0</v>
      </c>
      <c r="U611" s="46">
        <f t="shared" ca="1" si="166"/>
        <v>1401.7163216869442</v>
      </c>
      <c r="V611" s="4">
        <f t="shared" ca="1" si="167"/>
        <v>0</v>
      </c>
      <c r="W611" s="13">
        <f t="shared" ca="1" si="170"/>
        <v>1997.0108864156496</v>
      </c>
      <c r="X611" s="4">
        <f t="shared" ca="1" si="168"/>
        <v>0</v>
      </c>
    </row>
    <row r="612" spans="1:24">
      <c r="A612">
        <v>0</v>
      </c>
      <c r="B612">
        <v>1</v>
      </c>
      <c r="C612">
        <f t="shared" si="152"/>
        <v>3</v>
      </c>
      <c r="D612">
        <f t="shared" si="153"/>
        <v>1</v>
      </c>
      <c r="E612">
        <f t="shared" si="169"/>
        <v>0</v>
      </c>
      <c r="F612" s="100">
        <f t="shared" ca="1" si="154"/>
        <v>0.18020274999999999</v>
      </c>
      <c r="G612">
        <v>0</v>
      </c>
      <c r="H612">
        <v>0</v>
      </c>
      <c r="I612">
        <v>2</v>
      </c>
      <c r="J612" s="1">
        <f t="shared" ca="1" si="155"/>
        <v>0</v>
      </c>
      <c r="K612" s="1">
        <f t="shared" ca="1" si="156"/>
        <v>0</v>
      </c>
      <c r="L612" s="13">
        <f t="shared" ca="1" si="157"/>
        <v>26</v>
      </c>
      <c r="M612" s="7">
        <f t="shared" ca="1" si="158"/>
        <v>974</v>
      </c>
      <c r="N612" s="44">
        <f t="shared" ca="1" si="159"/>
        <v>11</v>
      </c>
      <c r="O612" s="94">
        <f t="shared" ca="1" si="160"/>
        <v>2.8265749241644089</v>
      </c>
      <c r="P612" s="94">
        <f t="shared" ca="1" si="161"/>
        <v>28.265749241644084</v>
      </c>
      <c r="Q612" s="94">
        <f t="shared" ca="1" si="162"/>
        <v>28.265749241644084</v>
      </c>
      <c r="R612" s="94">
        <f t="shared" ca="1" si="163"/>
        <v>2.8265749241644085</v>
      </c>
      <c r="S612" s="94">
        <f t="shared" ca="1" si="164"/>
        <v>2.8265749241644089</v>
      </c>
      <c r="T612" s="4">
        <f t="shared" ca="1" si="165"/>
        <v>0</v>
      </c>
      <c r="U612" s="46">
        <f t="shared" ca="1" si="166"/>
        <v>1388.7163216869442</v>
      </c>
      <c r="V612" s="4">
        <f t="shared" ca="1" si="167"/>
        <v>0</v>
      </c>
      <c r="W612" s="13">
        <f t="shared" ca="1" si="170"/>
        <v>1331.3405909437663</v>
      </c>
      <c r="X612" s="4">
        <f t="shared" ca="1" si="168"/>
        <v>0</v>
      </c>
    </row>
    <row r="613" spans="1:24">
      <c r="A613">
        <v>0</v>
      </c>
      <c r="B613">
        <v>1</v>
      </c>
      <c r="C613">
        <f t="shared" si="152"/>
        <v>3</v>
      </c>
      <c r="D613">
        <f t="shared" si="153"/>
        <v>1</v>
      </c>
      <c r="E613">
        <f t="shared" si="169"/>
        <v>0</v>
      </c>
      <c r="F613" s="100">
        <f t="shared" ca="1" si="154"/>
        <v>0.18020274999999999</v>
      </c>
      <c r="G613">
        <v>0</v>
      </c>
      <c r="H613">
        <v>0</v>
      </c>
      <c r="I613">
        <v>1</v>
      </c>
      <c r="J613" s="1">
        <f t="shared" ca="1" si="155"/>
        <v>4.9500000000000043E-4</v>
      </c>
      <c r="K613" s="1">
        <f t="shared" ca="1" si="156"/>
        <v>8.9200361250000074E-5</v>
      </c>
      <c r="L613" s="13">
        <f t="shared" ca="1" si="157"/>
        <v>13</v>
      </c>
      <c r="M613" s="7">
        <f t="shared" ca="1" si="158"/>
        <v>987</v>
      </c>
      <c r="N613" s="44">
        <f t="shared" ca="1" si="159"/>
        <v>12</v>
      </c>
      <c r="O613" s="94">
        <f t="shared" ca="1" si="160"/>
        <v>3.049271339469791</v>
      </c>
      <c r="P613" s="94">
        <f t="shared" ca="1" si="161"/>
        <v>29.824624148781758</v>
      </c>
      <c r="Q613" s="94">
        <f t="shared" ca="1" si="162"/>
        <v>28.265749241644084</v>
      </c>
      <c r="R613" s="94">
        <f t="shared" ca="1" si="163"/>
        <v>2.9045186695212921</v>
      </c>
      <c r="S613" s="94">
        <f t="shared" ca="1" si="164"/>
        <v>3.049271339469791</v>
      </c>
      <c r="T613" s="4">
        <f t="shared" ca="1" si="165"/>
        <v>2.7199610502997695E-4</v>
      </c>
      <c r="U613" s="46">
        <f t="shared" ca="1" si="166"/>
        <v>1466.9428976204611</v>
      </c>
      <c r="V613" s="4">
        <f t="shared" ca="1" si="167"/>
        <v>0.13085183640086701</v>
      </c>
      <c r="W613" s="13">
        <f t="shared" ca="1" si="170"/>
        <v>665.67029547188315</v>
      </c>
      <c r="X613" s="4">
        <f t="shared" ca="1" si="168"/>
        <v>5.9378030829486263E-2</v>
      </c>
    </row>
    <row r="614" spans="1:24">
      <c r="A614">
        <v>0</v>
      </c>
      <c r="B614">
        <v>1</v>
      </c>
      <c r="C614">
        <f t="shared" si="152"/>
        <v>3</v>
      </c>
      <c r="D614">
        <f t="shared" si="153"/>
        <v>1</v>
      </c>
      <c r="E614">
        <f t="shared" si="169"/>
        <v>0</v>
      </c>
      <c r="F614" s="100">
        <f t="shared" ca="1" si="154"/>
        <v>0.18020274999999999</v>
      </c>
      <c r="G614">
        <v>0</v>
      </c>
      <c r="H614">
        <v>0</v>
      </c>
      <c r="I614">
        <v>0</v>
      </c>
      <c r="J614" s="1">
        <f t="shared" ca="1" si="155"/>
        <v>5.0000000000000089E-6</v>
      </c>
      <c r="K614" s="1">
        <f t="shared" ca="1" si="156"/>
        <v>9.0101375000000153E-7</v>
      </c>
      <c r="L614" s="13">
        <f t="shared" ca="1" si="157"/>
        <v>0</v>
      </c>
      <c r="M614" s="7">
        <f t="shared" ca="1" si="158"/>
        <v>1000</v>
      </c>
      <c r="N614" s="44">
        <f t="shared" ca="1" si="159"/>
        <v>12</v>
      </c>
      <c r="O614" s="94">
        <f t="shared" ca="1" si="160"/>
        <v>3.049271339469791</v>
      </c>
      <c r="P614" s="94">
        <f t="shared" ca="1" si="161"/>
        <v>30.492713394697905</v>
      </c>
      <c r="Q614" s="94">
        <f t="shared" ca="1" si="162"/>
        <v>30.492713394697905</v>
      </c>
      <c r="R614" s="94">
        <f t="shared" ca="1" si="163"/>
        <v>3.0492713394697906</v>
      </c>
      <c r="S614" s="94">
        <f t="shared" ca="1" si="164"/>
        <v>3.049271339469791</v>
      </c>
      <c r="T614" s="4">
        <f t="shared" ca="1" si="165"/>
        <v>2.747435404343204E-6</v>
      </c>
      <c r="U614" s="46">
        <f t="shared" ca="1" si="166"/>
        <v>1453.9428976204611</v>
      </c>
      <c r="V614" s="4">
        <f t="shared" ca="1" si="167"/>
        <v>1.3100225424708799E-3</v>
      </c>
      <c r="W614" s="13">
        <f t="shared" ca="1" si="170"/>
        <v>0</v>
      </c>
      <c r="X614" s="4">
        <f t="shared" ca="1" si="168"/>
        <v>0</v>
      </c>
    </row>
    <row r="615" spans="1:24">
      <c r="A615">
        <v>0</v>
      </c>
      <c r="B615">
        <v>2</v>
      </c>
      <c r="C615">
        <f t="shared" ref="C615:C678" si="171">MIN(8, 1+$B$543+$B$542+A615+B615)</f>
        <v>4</v>
      </c>
      <c r="D615">
        <f t="shared" ref="D615:D678" si="172">C615-(1+$B$543)</f>
        <v>2</v>
      </c>
      <c r="E615">
        <f t="shared" ref="E615:E678" si="173">MIN(A615, C615-(1+$B$543+$B$542))</f>
        <v>0</v>
      </c>
      <c r="F615" s="100">
        <f t="shared" ref="F615:F678" ca="1" si="174">IF(A615=3, Set2QA, IF(A615=2, (1-Set2QA)*Set2TA + (1-Set2QA)*(1-Set2TA)*(1-Set2DA)*Set2AM3*Set2AM33, IF(A615=1, (1-Set2QA)*(1-Set2TA)*Set2DA + (1-Set2QA)*(1-Set2TA)*(1-Set2DA)*Set2AM3*Set2AM32, (1-Set2QA)*(1-Set2TA)*(1-Set2DA)*(1-Set2AM3)))) * IF($B$542+$B$543&gt;0, IF(B615=3, Set2QA, IF(B615=2, (1-Set2QA)*Set2TA, IF(B615=1, (1-Set2QA)*(1-Set2TA)*Set2DA, (1-Set2QA)*(1-Set2TA)*(1-Set2DA)))), IF(B615=0, 1, 0))</f>
        <v>6.3634999999999997E-2</v>
      </c>
      <c r="G615">
        <v>1</v>
      </c>
      <c r="H615">
        <v>1</v>
      </c>
      <c r="I615">
        <v>7</v>
      </c>
      <c r="J615" s="1">
        <f t="shared" ref="J615:J678" ca="1" si="175">POWER(95%,G615)*POWER(5%, 1-G615) * IF($B$543=0, IF(H615=0, 1, 0), POWER(Set2WSHitRate,H615)*POWER(1-Set2WSHitRate, 1-H615)) * IF(I615&lt;=D615, POWER(Set2WSHitRate, I615)*POWER(1-Set2WSHitRate, D615-I615)*COMBIN(D615,I615), 0)</f>
        <v>0</v>
      </c>
      <c r="K615" s="1">
        <f t="shared" ref="K615:K678" ca="1" si="176">F615*J615</f>
        <v>0</v>
      </c>
      <c r="L615" s="13">
        <f t="shared" ref="L615:L678" ca="1" si="177">MAX((G615+H615)*Set2WSTP + I615*$B$539, Set2SaveTP)</f>
        <v>221</v>
      </c>
      <c r="M615" s="7">
        <f t="shared" ref="M615:M678" ca="1" si="178">MAX(Set2MinTP-(L615+Set2Regain), 0)</f>
        <v>779</v>
      </c>
      <c r="N615" s="44">
        <f t="shared" ref="N615:N678" ca="1" si="179">CEILING(M615/Set2MeleeTP, 1)</f>
        <v>9</v>
      </c>
      <c r="O615" s="94">
        <f t="shared" ref="O615:O678" ca="1" si="180">VLOOKUP(N615, AvgRoundsSet2, 2)</f>
        <v>2.3639647217884514</v>
      </c>
      <c r="P615" s="94">
        <f t="shared" ref="P615:P678" ca="1" si="181">VLOOKUP(CEILING(MAX(M615-1, 0)/Set2MeleeTP, 1), AvgRoundsSet2, 2) + VLOOKUP(CEILING(MAX(M615-2, 0)/Set2MeleeTP, 1), AvgRoundsSet2, 2) + VLOOKUP(CEILING(MAX(M615-3, 0)/Set2MeleeTP, 1), AvgRoundsSet2, 2) + VLOOKUP(CEILING(MAX(M615-4, 0)/Set2MeleeTP, 1), AvgRoundsSet2, 2) + VLOOKUP(CEILING(MAX(M615-5, 0)/Set2MeleeTP, 1), AvgRoundsSet2, 2) + VLOOKUP(CEILING(MAX(M615-6, 0)/Set2MeleeTP, 1), AvgRoundsSet2, 2) + VLOOKUP(CEILING(MAX(M615-7, 0)/Set2MeleeTP, 1), AvgRoundsSet2, 2) + VLOOKUP(CEILING(MAX(M615-8, 0)/Set2MeleeTP, 1), AvgRoundsSet2, 2) + VLOOKUP(CEILING(MAX(M615-9, 0)/Set2MeleeTP, 1), AvgRoundsSet2, 2) + VLOOKUP(CEILING(MAX(M615-10, 0)/Set2MeleeTP, 1), AvgRoundsSet2, 2)</f>
        <v>23.639647217884519</v>
      </c>
      <c r="Q615" s="94">
        <f t="shared" ref="Q615:Q678" ca="1" si="182">VLOOKUP(CEILING(MAX(M615-11, 0)/Set2MeleeTP, 1), AvgRoundsSet2, 2) + VLOOKUP(CEILING(MAX(M615-12, 0)/Set2MeleeTP, 1), AvgRoundsSet2, 2) + VLOOKUP(CEILING(MAX(M615-13, 0)/Set2MeleeTP, 1), AvgRoundsSet2, 2) + VLOOKUP(CEILING(MAX(M615-14, 0)/Set2MeleeTP, 1), AvgRoundsSet2, 2) + VLOOKUP(CEILING(MAX(M615-15, 0)/Set2MeleeTP, 1), AvgRoundsSet2, 2) + VLOOKUP(CEILING(MAX(M615-16, 0)/Set2MeleeTP, 1), AvgRoundsSet2, 2) + VLOOKUP(CEILING(MAX(M615-17, 0)/Set2MeleeTP, 1), AvgRoundsSet2, 2) + VLOOKUP(CEILING(MAX(M615-18, 0)/Set2MeleeTP, 1), AvgRoundsSet2, 2) + VLOOKUP(CEILING(MAX(M615-19, 0)/Set2MeleeTP, 1), AvgRoundsSet2, 2) + VLOOKUP(CEILING(MAX(M615-20, 0)/Set2MeleeTP, 1), AvgRoundsSet2, 2)</f>
        <v>23.639647217884519</v>
      </c>
      <c r="R615" s="94">
        <f t="shared" ref="R615:R678" ca="1" si="183">(P615+Q615)/20</f>
        <v>2.3639647217884519</v>
      </c>
      <c r="S615" s="94">
        <f t="shared" ref="S615:S678" ca="1" si="184">R615*Set2ConserveTP + O615*(1-Set2ConserveTP)</f>
        <v>2.3639647217884514</v>
      </c>
      <c r="T615" s="4">
        <f t="shared" ref="T615:T678" ca="1" si="185">K615*S615</f>
        <v>0</v>
      </c>
      <c r="U615" s="46">
        <f t="shared" ref="U615:U678" ca="1" si="186">MIN(L615+(S615+Set2OverTP)*AvgHitsPerRound2*Set2MeleeTP + Set2Regain + 10.5*Set2ConserveTP, 3000)</f>
        <v>1394.2101516087316</v>
      </c>
      <c r="V615" s="4">
        <f t="shared" ref="V615:V678" ca="1" si="187">U615*K615</f>
        <v>0</v>
      </c>
      <c r="W615" s="13">
        <f t="shared" ref="W615:W678" ca="1" si="188">G615*$K$543*((1-$L$543)*$L$547 + $L$543*$M$547*$M$543)*Set2WSDmg + H615*$K$546*((1-$L$546)*$L$548 + $L$546*$M$548*$M$544) + I615*$K$544*((1-$L$544)*$L$547 + $L$544*$M$547*$M$544) + E615*$K$545*$L$545*$M$543</f>
        <v>16438.260675257192</v>
      </c>
      <c r="X615" s="4">
        <f t="shared" ref="X615:X678" ca="1" si="189">K615*W615</f>
        <v>0</v>
      </c>
    </row>
    <row r="616" spans="1:24">
      <c r="A616">
        <v>0</v>
      </c>
      <c r="B616">
        <v>2</v>
      </c>
      <c r="C616">
        <f t="shared" si="171"/>
        <v>4</v>
      </c>
      <c r="D616">
        <f t="shared" si="172"/>
        <v>2</v>
      </c>
      <c r="E616">
        <f t="shared" si="173"/>
        <v>0</v>
      </c>
      <c r="F616" s="100">
        <f t="shared" ca="1" si="174"/>
        <v>6.3634999999999997E-2</v>
      </c>
      <c r="G616">
        <v>1</v>
      </c>
      <c r="H616">
        <v>1</v>
      </c>
      <c r="I616">
        <v>6</v>
      </c>
      <c r="J616" s="1">
        <f t="shared" ca="1" si="175"/>
        <v>0</v>
      </c>
      <c r="K616" s="1">
        <f t="shared" ca="1" si="176"/>
        <v>0</v>
      </c>
      <c r="L616" s="13">
        <f t="shared" ca="1" si="177"/>
        <v>208</v>
      </c>
      <c r="M616" s="7">
        <f t="shared" ca="1" si="178"/>
        <v>792</v>
      </c>
      <c r="N616" s="44">
        <f t="shared" ca="1" si="179"/>
        <v>9</v>
      </c>
      <c r="O616" s="94">
        <f t="shared" ca="1" si="180"/>
        <v>2.3639647217884514</v>
      </c>
      <c r="P616" s="94">
        <f t="shared" ca="1" si="181"/>
        <v>23.639647217884519</v>
      </c>
      <c r="Q616" s="94">
        <f t="shared" ca="1" si="182"/>
        <v>23.639647217884519</v>
      </c>
      <c r="R616" s="94">
        <f t="shared" ca="1" si="183"/>
        <v>2.3639647217884519</v>
      </c>
      <c r="S616" s="94">
        <f t="shared" ca="1" si="184"/>
        <v>2.3639647217884514</v>
      </c>
      <c r="T616" s="4">
        <f t="shared" ca="1" si="185"/>
        <v>0</v>
      </c>
      <c r="U616" s="46">
        <f t="shared" ca="1" si="186"/>
        <v>1381.2101516087316</v>
      </c>
      <c r="V616" s="4">
        <f t="shared" ca="1" si="187"/>
        <v>0</v>
      </c>
      <c r="W616" s="13">
        <f t="shared" ca="1" si="188"/>
        <v>15772.59037978531</v>
      </c>
      <c r="X616" s="4">
        <f t="shared" ca="1" si="189"/>
        <v>0</v>
      </c>
    </row>
    <row r="617" spans="1:24">
      <c r="A617">
        <v>0</v>
      </c>
      <c r="B617">
        <v>2</v>
      </c>
      <c r="C617">
        <f t="shared" si="171"/>
        <v>4</v>
      </c>
      <c r="D617">
        <f t="shared" si="172"/>
        <v>2</v>
      </c>
      <c r="E617">
        <f t="shared" si="173"/>
        <v>0</v>
      </c>
      <c r="F617" s="100">
        <f t="shared" ca="1" si="174"/>
        <v>6.3634999999999997E-2</v>
      </c>
      <c r="G617">
        <v>1</v>
      </c>
      <c r="H617">
        <v>1</v>
      </c>
      <c r="I617">
        <v>5</v>
      </c>
      <c r="J617" s="1">
        <f t="shared" ca="1" si="175"/>
        <v>0</v>
      </c>
      <c r="K617" s="1">
        <f t="shared" ca="1" si="176"/>
        <v>0</v>
      </c>
      <c r="L617" s="13">
        <f t="shared" ca="1" si="177"/>
        <v>195</v>
      </c>
      <c r="M617" s="7">
        <f t="shared" ca="1" si="178"/>
        <v>805</v>
      </c>
      <c r="N617" s="44">
        <f t="shared" ca="1" si="179"/>
        <v>10</v>
      </c>
      <c r="O617" s="94">
        <f t="shared" ca="1" si="180"/>
        <v>2.5877599795741038</v>
      </c>
      <c r="P617" s="94">
        <f t="shared" ca="1" si="181"/>
        <v>24.311032991241476</v>
      </c>
      <c r="Q617" s="94">
        <f t="shared" ca="1" si="182"/>
        <v>23.639647217884519</v>
      </c>
      <c r="R617" s="94">
        <f t="shared" ca="1" si="183"/>
        <v>2.3975340104562997</v>
      </c>
      <c r="S617" s="94">
        <f t="shared" ca="1" si="184"/>
        <v>2.5877599795741038</v>
      </c>
      <c r="T617" s="4">
        <f t="shared" ca="1" si="185"/>
        <v>0</v>
      </c>
      <c r="U617" s="46">
        <f t="shared" ca="1" si="186"/>
        <v>1459.8868633777442</v>
      </c>
      <c r="V617" s="4">
        <f t="shared" ca="1" si="187"/>
        <v>0</v>
      </c>
      <c r="W617" s="13">
        <f t="shared" ca="1" si="188"/>
        <v>15106.920084313426</v>
      </c>
      <c r="X617" s="4">
        <f t="shared" ca="1" si="189"/>
        <v>0</v>
      </c>
    </row>
    <row r="618" spans="1:24">
      <c r="A618">
        <v>0</v>
      </c>
      <c r="B618">
        <v>2</v>
      </c>
      <c r="C618">
        <f t="shared" si="171"/>
        <v>4</v>
      </c>
      <c r="D618">
        <f t="shared" si="172"/>
        <v>2</v>
      </c>
      <c r="E618">
        <f t="shared" si="173"/>
        <v>0</v>
      </c>
      <c r="F618" s="100">
        <f t="shared" ca="1" si="174"/>
        <v>6.3634999999999997E-2</v>
      </c>
      <c r="G618">
        <v>1</v>
      </c>
      <c r="H618">
        <v>1</v>
      </c>
      <c r="I618">
        <v>4</v>
      </c>
      <c r="J618" s="1">
        <f t="shared" ca="1" si="175"/>
        <v>0</v>
      </c>
      <c r="K618" s="1">
        <f t="shared" ca="1" si="176"/>
        <v>0</v>
      </c>
      <c r="L618" s="13">
        <f t="shared" ca="1" si="177"/>
        <v>182</v>
      </c>
      <c r="M618" s="7">
        <f t="shared" ca="1" si="178"/>
        <v>818</v>
      </c>
      <c r="N618" s="44">
        <f t="shared" ca="1" si="179"/>
        <v>10</v>
      </c>
      <c r="O618" s="94">
        <f t="shared" ca="1" si="180"/>
        <v>2.5877599795741038</v>
      </c>
      <c r="P618" s="94">
        <f t="shared" ca="1" si="181"/>
        <v>25.877599795741034</v>
      </c>
      <c r="Q618" s="94">
        <f t="shared" ca="1" si="182"/>
        <v>24.982418764598432</v>
      </c>
      <c r="R618" s="94">
        <f t="shared" ca="1" si="183"/>
        <v>2.5430009280169736</v>
      </c>
      <c r="S618" s="94">
        <f t="shared" ca="1" si="184"/>
        <v>2.5877599795741038</v>
      </c>
      <c r="T618" s="4">
        <f t="shared" ca="1" si="185"/>
        <v>0</v>
      </c>
      <c r="U618" s="46">
        <f t="shared" ca="1" si="186"/>
        <v>1446.8868633777442</v>
      </c>
      <c r="V618" s="4">
        <f t="shared" ca="1" si="187"/>
        <v>0</v>
      </c>
      <c r="W618" s="13">
        <f t="shared" ca="1" si="188"/>
        <v>14441.249788841542</v>
      </c>
      <c r="X618" s="4">
        <f t="shared" ca="1" si="189"/>
        <v>0</v>
      </c>
    </row>
    <row r="619" spans="1:24">
      <c r="A619">
        <v>0</v>
      </c>
      <c r="B619">
        <v>2</v>
      </c>
      <c r="C619">
        <f t="shared" si="171"/>
        <v>4</v>
      </c>
      <c r="D619">
        <f t="shared" si="172"/>
        <v>2</v>
      </c>
      <c r="E619">
        <f t="shared" si="173"/>
        <v>0</v>
      </c>
      <c r="F619" s="100">
        <f t="shared" ca="1" si="174"/>
        <v>6.3634999999999997E-2</v>
      </c>
      <c r="G619">
        <v>1</v>
      </c>
      <c r="H619">
        <v>1</v>
      </c>
      <c r="I619">
        <v>3</v>
      </c>
      <c r="J619" s="1">
        <f t="shared" ca="1" si="175"/>
        <v>0</v>
      </c>
      <c r="K619" s="1">
        <f t="shared" ca="1" si="176"/>
        <v>0</v>
      </c>
      <c r="L619" s="13">
        <f t="shared" ca="1" si="177"/>
        <v>169</v>
      </c>
      <c r="M619" s="7">
        <f t="shared" ca="1" si="178"/>
        <v>831</v>
      </c>
      <c r="N619" s="44">
        <f t="shared" ca="1" si="179"/>
        <v>10</v>
      </c>
      <c r="O619" s="94">
        <f t="shared" ca="1" si="180"/>
        <v>2.5877599795741038</v>
      </c>
      <c r="P619" s="94">
        <f t="shared" ca="1" si="181"/>
        <v>25.877599795741034</v>
      </c>
      <c r="Q619" s="94">
        <f t="shared" ca="1" si="182"/>
        <v>25.877599795741034</v>
      </c>
      <c r="R619" s="94">
        <f t="shared" ca="1" si="183"/>
        <v>2.5877599795741033</v>
      </c>
      <c r="S619" s="94">
        <f t="shared" ca="1" si="184"/>
        <v>2.5877599795741038</v>
      </c>
      <c r="T619" s="4">
        <f t="shared" ca="1" si="185"/>
        <v>0</v>
      </c>
      <c r="U619" s="46">
        <f t="shared" ca="1" si="186"/>
        <v>1433.8868633777442</v>
      </c>
      <c r="V619" s="4">
        <f t="shared" ca="1" si="187"/>
        <v>0</v>
      </c>
      <c r="W619" s="13">
        <f t="shared" ca="1" si="188"/>
        <v>13775.57949336966</v>
      </c>
      <c r="X619" s="4">
        <f t="shared" ca="1" si="189"/>
        <v>0</v>
      </c>
    </row>
    <row r="620" spans="1:24">
      <c r="A620">
        <v>0</v>
      </c>
      <c r="B620">
        <v>2</v>
      </c>
      <c r="C620">
        <f t="shared" si="171"/>
        <v>4</v>
      </c>
      <c r="D620">
        <f t="shared" si="172"/>
        <v>2</v>
      </c>
      <c r="E620">
        <f t="shared" si="173"/>
        <v>0</v>
      </c>
      <c r="F620" s="100">
        <f t="shared" ca="1" si="174"/>
        <v>6.3634999999999997E-2</v>
      </c>
      <c r="G620">
        <v>1</v>
      </c>
      <c r="H620">
        <v>1</v>
      </c>
      <c r="I620">
        <v>2</v>
      </c>
      <c r="J620" s="1">
        <f t="shared" ca="1" si="175"/>
        <v>0.92178404999999997</v>
      </c>
      <c r="K620" s="1">
        <f t="shared" ca="1" si="176"/>
        <v>5.8657728021749997E-2</v>
      </c>
      <c r="L620" s="13">
        <f t="shared" ca="1" si="177"/>
        <v>156</v>
      </c>
      <c r="M620" s="7">
        <f t="shared" ca="1" si="178"/>
        <v>844</v>
      </c>
      <c r="N620" s="44">
        <f t="shared" ca="1" si="179"/>
        <v>10</v>
      </c>
      <c r="O620" s="94">
        <f t="shared" ca="1" si="180"/>
        <v>2.5877599795741038</v>
      </c>
      <c r="P620" s="94">
        <f t="shared" ca="1" si="181"/>
        <v>25.877599795741034</v>
      </c>
      <c r="Q620" s="94">
        <f t="shared" ca="1" si="182"/>
        <v>25.877599795741034</v>
      </c>
      <c r="R620" s="94">
        <f t="shared" ca="1" si="183"/>
        <v>2.5877599795741033</v>
      </c>
      <c r="S620" s="94">
        <f t="shared" ca="1" si="184"/>
        <v>2.5877599795741038</v>
      </c>
      <c r="T620" s="4">
        <f t="shared" ca="1" si="185"/>
        <v>0.15179212106742709</v>
      </c>
      <c r="U620" s="46">
        <f t="shared" ca="1" si="186"/>
        <v>1420.8868633777442</v>
      </c>
      <c r="V620" s="4">
        <f t="shared" ca="1" si="187"/>
        <v>83.345995181689162</v>
      </c>
      <c r="W620" s="13">
        <f t="shared" ca="1" si="188"/>
        <v>13109.909197897776</v>
      </c>
      <c r="X620" s="4">
        <f t="shared" ca="1" si="189"/>
        <v>768.99748812012638</v>
      </c>
    </row>
    <row r="621" spans="1:24">
      <c r="A621">
        <v>0</v>
      </c>
      <c r="B621">
        <v>2</v>
      </c>
      <c r="C621">
        <f t="shared" si="171"/>
        <v>4</v>
      </c>
      <c r="D621">
        <f t="shared" si="172"/>
        <v>2</v>
      </c>
      <c r="E621">
        <f t="shared" si="173"/>
        <v>0</v>
      </c>
      <c r="F621" s="100">
        <f t="shared" ca="1" si="174"/>
        <v>6.3634999999999997E-2</v>
      </c>
      <c r="G621">
        <v>1</v>
      </c>
      <c r="H621">
        <v>1</v>
      </c>
      <c r="I621">
        <v>1</v>
      </c>
      <c r="J621" s="1">
        <f t="shared" ca="1" si="175"/>
        <v>1.8621900000000018E-2</v>
      </c>
      <c r="K621" s="1">
        <f t="shared" ca="1" si="176"/>
        <v>1.185004606500001E-3</v>
      </c>
      <c r="L621" s="13">
        <f t="shared" ca="1" si="177"/>
        <v>143</v>
      </c>
      <c r="M621" s="7">
        <f t="shared" ca="1" si="178"/>
        <v>857</v>
      </c>
      <c r="N621" s="44">
        <f t="shared" ca="1" si="179"/>
        <v>10</v>
      </c>
      <c r="O621" s="94">
        <f t="shared" ca="1" si="180"/>
        <v>2.5877599795741038</v>
      </c>
      <c r="P621" s="94">
        <f t="shared" ca="1" si="181"/>
        <v>25.877599795741034</v>
      </c>
      <c r="Q621" s="94">
        <f t="shared" ca="1" si="182"/>
        <v>25.877599795741034</v>
      </c>
      <c r="R621" s="94">
        <f t="shared" ca="1" si="183"/>
        <v>2.5877599795741033</v>
      </c>
      <c r="S621" s="94">
        <f t="shared" ca="1" si="184"/>
        <v>2.5877599795741038</v>
      </c>
      <c r="T621" s="4">
        <f t="shared" ca="1" si="185"/>
        <v>3.0665074963116615E-3</v>
      </c>
      <c r="U621" s="46">
        <f t="shared" ca="1" si="186"/>
        <v>1407.8868633777442</v>
      </c>
      <c r="V621" s="4">
        <f t="shared" ca="1" si="187"/>
        <v>1.6683524185334644</v>
      </c>
      <c r="W621" s="13">
        <f t="shared" ca="1" si="188"/>
        <v>12444.238902425894</v>
      </c>
      <c r="X621" s="4">
        <f t="shared" ca="1" si="189"/>
        <v>14.7464804237612</v>
      </c>
    </row>
    <row r="622" spans="1:24">
      <c r="A622">
        <v>0</v>
      </c>
      <c r="B622">
        <v>2</v>
      </c>
      <c r="C622">
        <f t="shared" si="171"/>
        <v>4</v>
      </c>
      <c r="D622">
        <f t="shared" si="172"/>
        <v>2</v>
      </c>
      <c r="E622">
        <f t="shared" si="173"/>
        <v>0</v>
      </c>
      <c r="F622" s="100">
        <f t="shared" ca="1" si="174"/>
        <v>6.3634999999999997E-2</v>
      </c>
      <c r="G622">
        <v>1</v>
      </c>
      <c r="H622">
        <v>1</v>
      </c>
      <c r="I622">
        <v>0</v>
      </c>
      <c r="J622" s="1">
        <f t="shared" ca="1" si="175"/>
        <v>9.4050000000000172E-5</v>
      </c>
      <c r="K622" s="1">
        <f t="shared" ca="1" si="176"/>
        <v>5.9848717500000105E-6</v>
      </c>
      <c r="L622" s="13">
        <f t="shared" ca="1" si="177"/>
        <v>130</v>
      </c>
      <c r="M622" s="7">
        <f t="shared" ca="1" si="178"/>
        <v>870</v>
      </c>
      <c r="N622" s="44">
        <f t="shared" ca="1" si="179"/>
        <v>10</v>
      </c>
      <c r="O622" s="94">
        <f t="shared" ca="1" si="180"/>
        <v>2.5877599795741038</v>
      </c>
      <c r="P622" s="94">
        <f t="shared" ca="1" si="181"/>
        <v>25.877599795741034</v>
      </c>
      <c r="Q622" s="94">
        <f t="shared" ca="1" si="182"/>
        <v>25.877599795741034</v>
      </c>
      <c r="R622" s="94">
        <f t="shared" ca="1" si="183"/>
        <v>2.5877599795741033</v>
      </c>
      <c r="S622" s="94">
        <f t="shared" ca="1" si="184"/>
        <v>2.5877599795741038</v>
      </c>
      <c r="T622" s="4">
        <f t="shared" ca="1" si="185"/>
        <v>1.5487411597533657E-5</v>
      </c>
      <c r="U622" s="46">
        <f t="shared" ca="1" si="186"/>
        <v>1394.8868633777442</v>
      </c>
      <c r="V622" s="4">
        <f t="shared" ca="1" si="187"/>
        <v>8.3482189830755855E-3</v>
      </c>
      <c r="W622" s="13">
        <f t="shared" ca="1" si="188"/>
        <v>11778.56860695401</v>
      </c>
      <c r="X622" s="4">
        <f t="shared" ca="1" si="189"/>
        <v>7.0493222511196024E-2</v>
      </c>
    </row>
    <row r="623" spans="1:24">
      <c r="A623">
        <v>0</v>
      </c>
      <c r="B623">
        <v>2</v>
      </c>
      <c r="C623">
        <f t="shared" si="171"/>
        <v>4</v>
      </c>
      <c r="D623">
        <f t="shared" si="172"/>
        <v>2</v>
      </c>
      <c r="E623">
        <f t="shared" si="173"/>
        <v>0</v>
      </c>
      <c r="F623" s="100">
        <f t="shared" ca="1" si="174"/>
        <v>6.3634999999999997E-2</v>
      </c>
      <c r="G623">
        <v>1</v>
      </c>
      <c r="H623">
        <v>0</v>
      </c>
      <c r="I623">
        <v>7</v>
      </c>
      <c r="J623" s="1">
        <f t="shared" ca="1" si="175"/>
        <v>0</v>
      </c>
      <c r="K623" s="1">
        <f t="shared" ca="1" si="176"/>
        <v>0</v>
      </c>
      <c r="L623" s="13">
        <f t="shared" ca="1" si="177"/>
        <v>156</v>
      </c>
      <c r="M623" s="7">
        <f t="shared" ca="1" si="178"/>
        <v>844</v>
      </c>
      <c r="N623" s="44">
        <f t="shared" ca="1" si="179"/>
        <v>10</v>
      </c>
      <c r="O623" s="94">
        <f t="shared" ca="1" si="180"/>
        <v>2.5877599795741038</v>
      </c>
      <c r="P623" s="94">
        <f t="shared" ca="1" si="181"/>
        <v>25.877599795741034</v>
      </c>
      <c r="Q623" s="94">
        <f t="shared" ca="1" si="182"/>
        <v>25.877599795741034</v>
      </c>
      <c r="R623" s="94">
        <f t="shared" ca="1" si="183"/>
        <v>2.5877599795741033</v>
      </c>
      <c r="S623" s="94">
        <f t="shared" ca="1" si="184"/>
        <v>2.5877599795741038</v>
      </c>
      <c r="T623" s="4">
        <f t="shared" ca="1" si="185"/>
        <v>0</v>
      </c>
      <c r="U623" s="46">
        <f t="shared" ca="1" si="186"/>
        <v>1420.8868633777442</v>
      </c>
      <c r="V623" s="4">
        <f t="shared" ca="1" si="187"/>
        <v>0</v>
      </c>
      <c r="W623" s="13">
        <f t="shared" ca="1" si="188"/>
        <v>15972.716608816479</v>
      </c>
      <c r="X623" s="4">
        <f t="shared" ca="1" si="189"/>
        <v>0</v>
      </c>
    </row>
    <row r="624" spans="1:24">
      <c r="A624">
        <v>0</v>
      </c>
      <c r="B624">
        <v>2</v>
      </c>
      <c r="C624">
        <f t="shared" si="171"/>
        <v>4</v>
      </c>
      <c r="D624">
        <f t="shared" si="172"/>
        <v>2</v>
      </c>
      <c r="E624">
        <f t="shared" si="173"/>
        <v>0</v>
      </c>
      <c r="F624" s="100">
        <f t="shared" ca="1" si="174"/>
        <v>6.3634999999999997E-2</v>
      </c>
      <c r="G624">
        <v>1</v>
      </c>
      <c r="H624">
        <v>0</v>
      </c>
      <c r="I624">
        <v>6</v>
      </c>
      <c r="J624" s="1">
        <f t="shared" ca="1" si="175"/>
        <v>0</v>
      </c>
      <c r="K624" s="1">
        <f t="shared" ca="1" si="176"/>
        <v>0</v>
      </c>
      <c r="L624" s="13">
        <f t="shared" ca="1" si="177"/>
        <v>143</v>
      </c>
      <c r="M624" s="7">
        <f t="shared" ca="1" si="178"/>
        <v>857</v>
      </c>
      <c r="N624" s="44">
        <f t="shared" ca="1" si="179"/>
        <v>10</v>
      </c>
      <c r="O624" s="94">
        <f t="shared" ca="1" si="180"/>
        <v>2.5877599795741038</v>
      </c>
      <c r="P624" s="94">
        <f t="shared" ca="1" si="181"/>
        <v>25.877599795741034</v>
      </c>
      <c r="Q624" s="94">
        <f t="shared" ca="1" si="182"/>
        <v>25.877599795741034</v>
      </c>
      <c r="R624" s="94">
        <f t="shared" ca="1" si="183"/>
        <v>2.5877599795741033</v>
      </c>
      <c r="S624" s="94">
        <f t="shared" ca="1" si="184"/>
        <v>2.5877599795741038</v>
      </c>
      <c r="T624" s="4">
        <f t="shared" ca="1" si="185"/>
        <v>0</v>
      </c>
      <c r="U624" s="46">
        <f t="shared" ca="1" si="186"/>
        <v>1407.8868633777442</v>
      </c>
      <c r="V624" s="4">
        <f t="shared" ca="1" si="187"/>
        <v>0</v>
      </c>
      <c r="W624" s="13">
        <f t="shared" ca="1" si="188"/>
        <v>15307.046313344596</v>
      </c>
      <c r="X624" s="4">
        <f t="shared" ca="1" si="189"/>
        <v>0</v>
      </c>
    </row>
    <row r="625" spans="1:24">
      <c r="A625">
        <v>0</v>
      </c>
      <c r="B625">
        <v>2</v>
      </c>
      <c r="C625">
        <f t="shared" si="171"/>
        <v>4</v>
      </c>
      <c r="D625">
        <f t="shared" si="172"/>
        <v>2</v>
      </c>
      <c r="E625">
        <f t="shared" si="173"/>
        <v>0</v>
      </c>
      <c r="F625" s="100">
        <f t="shared" ca="1" si="174"/>
        <v>6.3634999999999997E-2</v>
      </c>
      <c r="G625">
        <v>1</v>
      </c>
      <c r="H625">
        <v>0</v>
      </c>
      <c r="I625">
        <v>5</v>
      </c>
      <c r="J625" s="1">
        <f t="shared" ca="1" si="175"/>
        <v>0</v>
      </c>
      <c r="K625" s="1">
        <f t="shared" ca="1" si="176"/>
        <v>0</v>
      </c>
      <c r="L625" s="13">
        <f t="shared" ca="1" si="177"/>
        <v>130</v>
      </c>
      <c r="M625" s="7">
        <f t="shared" ca="1" si="178"/>
        <v>870</v>
      </c>
      <c r="N625" s="44">
        <f t="shared" ca="1" si="179"/>
        <v>10</v>
      </c>
      <c r="O625" s="94">
        <f t="shared" ca="1" si="180"/>
        <v>2.5877599795741038</v>
      </c>
      <c r="P625" s="94">
        <f t="shared" ca="1" si="181"/>
        <v>25.877599795741034</v>
      </c>
      <c r="Q625" s="94">
        <f t="shared" ca="1" si="182"/>
        <v>25.877599795741034</v>
      </c>
      <c r="R625" s="94">
        <f t="shared" ca="1" si="183"/>
        <v>2.5877599795741033</v>
      </c>
      <c r="S625" s="94">
        <f t="shared" ca="1" si="184"/>
        <v>2.5877599795741038</v>
      </c>
      <c r="T625" s="4">
        <f t="shared" ca="1" si="185"/>
        <v>0</v>
      </c>
      <c r="U625" s="46">
        <f t="shared" ca="1" si="186"/>
        <v>1394.8868633777442</v>
      </c>
      <c r="V625" s="4">
        <f t="shared" ca="1" si="187"/>
        <v>0</v>
      </c>
      <c r="W625" s="13">
        <f t="shared" ca="1" si="188"/>
        <v>14641.376017872713</v>
      </c>
      <c r="X625" s="4">
        <f t="shared" ca="1" si="189"/>
        <v>0</v>
      </c>
    </row>
    <row r="626" spans="1:24">
      <c r="A626">
        <v>0</v>
      </c>
      <c r="B626">
        <v>2</v>
      </c>
      <c r="C626">
        <f t="shared" si="171"/>
        <v>4</v>
      </c>
      <c r="D626">
        <f t="shared" si="172"/>
        <v>2</v>
      </c>
      <c r="E626">
        <f t="shared" si="173"/>
        <v>0</v>
      </c>
      <c r="F626" s="100">
        <f t="shared" ca="1" si="174"/>
        <v>6.3634999999999997E-2</v>
      </c>
      <c r="G626">
        <v>1</v>
      </c>
      <c r="H626">
        <v>0</v>
      </c>
      <c r="I626">
        <v>4</v>
      </c>
      <c r="J626" s="1">
        <f t="shared" ca="1" si="175"/>
        <v>0</v>
      </c>
      <c r="K626" s="1">
        <f t="shared" ca="1" si="176"/>
        <v>0</v>
      </c>
      <c r="L626" s="13">
        <f t="shared" ca="1" si="177"/>
        <v>117</v>
      </c>
      <c r="M626" s="7">
        <f t="shared" ca="1" si="178"/>
        <v>883</v>
      </c>
      <c r="N626" s="44">
        <f t="shared" ca="1" si="179"/>
        <v>10</v>
      </c>
      <c r="O626" s="94">
        <f t="shared" ca="1" si="180"/>
        <v>2.5877599795741038</v>
      </c>
      <c r="P626" s="94">
        <f t="shared" ca="1" si="181"/>
        <v>25.877599795741034</v>
      </c>
      <c r="Q626" s="94">
        <f t="shared" ca="1" si="182"/>
        <v>25.877599795741034</v>
      </c>
      <c r="R626" s="94">
        <f t="shared" ca="1" si="183"/>
        <v>2.5877599795741033</v>
      </c>
      <c r="S626" s="94">
        <f t="shared" ca="1" si="184"/>
        <v>2.5877599795741038</v>
      </c>
      <c r="T626" s="4">
        <f t="shared" ca="1" si="185"/>
        <v>0</v>
      </c>
      <c r="U626" s="46">
        <f t="shared" ca="1" si="186"/>
        <v>1381.8868633777442</v>
      </c>
      <c r="V626" s="4">
        <f t="shared" ca="1" si="187"/>
        <v>0</v>
      </c>
      <c r="W626" s="13">
        <f t="shared" ca="1" si="188"/>
        <v>13975.705722400829</v>
      </c>
      <c r="X626" s="4">
        <f t="shared" ca="1" si="189"/>
        <v>0</v>
      </c>
    </row>
    <row r="627" spans="1:24">
      <c r="A627">
        <v>0</v>
      </c>
      <c r="B627">
        <v>2</v>
      </c>
      <c r="C627">
        <f t="shared" si="171"/>
        <v>4</v>
      </c>
      <c r="D627">
        <f t="shared" si="172"/>
        <v>2</v>
      </c>
      <c r="E627">
        <f t="shared" si="173"/>
        <v>0</v>
      </c>
      <c r="F627" s="100">
        <f t="shared" ca="1" si="174"/>
        <v>6.3634999999999997E-2</v>
      </c>
      <c r="G627">
        <v>1</v>
      </c>
      <c r="H627">
        <v>0</v>
      </c>
      <c r="I627">
        <v>3</v>
      </c>
      <c r="J627" s="1">
        <f t="shared" ca="1" si="175"/>
        <v>0</v>
      </c>
      <c r="K627" s="1">
        <f t="shared" ca="1" si="176"/>
        <v>0</v>
      </c>
      <c r="L627" s="13">
        <f t="shared" ca="1" si="177"/>
        <v>104</v>
      </c>
      <c r="M627" s="7">
        <f t="shared" ca="1" si="178"/>
        <v>896</v>
      </c>
      <c r="N627" s="44">
        <f t="shared" ca="1" si="179"/>
        <v>11</v>
      </c>
      <c r="O627" s="94">
        <f t="shared" ca="1" si="180"/>
        <v>2.8265749241644089</v>
      </c>
      <c r="P627" s="94">
        <f t="shared" ca="1" si="181"/>
        <v>27.071674518692554</v>
      </c>
      <c r="Q627" s="94">
        <f t="shared" ca="1" si="182"/>
        <v>25.877599795741034</v>
      </c>
      <c r="R627" s="94">
        <f t="shared" ca="1" si="183"/>
        <v>2.6474637157216794</v>
      </c>
      <c r="S627" s="94">
        <f t="shared" ca="1" si="184"/>
        <v>2.8265749241644089</v>
      </c>
      <c r="T627" s="4">
        <f t="shared" ca="1" si="185"/>
        <v>0</v>
      </c>
      <c r="U627" s="46">
        <f t="shared" ca="1" si="186"/>
        <v>1466.7163216869442</v>
      </c>
      <c r="V627" s="4">
        <f t="shared" ca="1" si="187"/>
        <v>0</v>
      </c>
      <c r="W627" s="13">
        <f t="shared" ca="1" si="188"/>
        <v>13310.035426928947</v>
      </c>
      <c r="X627" s="4">
        <f t="shared" ca="1" si="189"/>
        <v>0</v>
      </c>
    </row>
    <row r="628" spans="1:24">
      <c r="A628">
        <v>0</v>
      </c>
      <c r="B628">
        <v>2</v>
      </c>
      <c r="C628">
        <f t="shared" si="171"/>
        <v>4</v>
      </c>
      <c r="D628">
        <f t="shared" si="172"/>
        <v>2</v>
      </c>
      <c r="E628">
        <f t="shared" si="173"/>
        <v>0</v>
      </c>
      <c r="F628" s="100">
        <f t="shared" ca="1" si="174"/>
        <v>6.3634999999999997E-2</v>
      </c>
      <c r="G628">
        <v>1</v>
      </c>
      <c r="H628">
        <v>0</v>
      </c>
      <c r="I628">
        <v>2</v>
      </c>
      <c r="J628" s="1">
        <f t="shared" ca="1" si="175"/>
        <v>9.3109500000000088E-3</v>
      </c>
      <c r="K628" s="1">
        <f t="shared" ca="1" si="176"/>
        <v>5.9250230325000048E-4</v>
      </c>
      <c r="L628" s="13">
        <f t="shared" ca="1" si="177"/>
        <v>91</v>
      </c>
      <c r="M628" s="7">
        <f t="shared" ca="1" si="178"/>
        <v>909</v>
      </c>
      <c r="N628" s="44">
        <f t="shared" ca="1" si="179"/>
        <v>11</v>
      </c>
      <c r="O628" s="94">
        <f t="shared" ca="1" si="180"/>
        <v>2.8265749241644089</v>
      </c>
      <c r="P628" s="94">
        <f t="shared" ca="1" si="181"/>
        <v>28.265749241644084</v>
      </c>
      <c r="Q628" s="94">
        <f t="shared" ca="1" si="182"/>
        <v>27.788119352463475</v>
      </c>
      <c r="R628" s="94">
        <f t="shared" ca="1" si="183"/>
        <v>2.8026934297053776</v>
      </c>
      <c r="S628" s="94">
        <f t="shared" ca="1" si="184"/>
        <v>2.8265749241644089</v>
      </c>
      <c r="T628" s="4">
        <f t="shared" ca="1" si="185"/>
        <v>1.6747521528761077E-3</v>
      </c>
      <c r="U628" s="46">
        <f t="shared" ca="1" si="186"/>
        <v>1453.7163216869442</v>
      </c>
      <c r="V628" s="4">
        <f t="shared" ca="1" si="187"/>
        <v>0.86133026887163311</v>
      </c>
      <c r="W628" s="13">
        <f t="shared" ca="1" si="188"/>
        <v>12644.365131457063</v>
      </c>
      <c r="X628" s="4">
        <f t="shared" ca="1" si="189"/>
        <v>7.4918154635223049</v>
      </c>
    </row>
    <row r="629" spans="1:24">
      <c r="A629">
        <v>0</v>
      </c>
      <c r="B629">
        <v>2</v>
      </c>
      <c r="C629">
        <f t="shared" si="171"/>
        <v>4</v>
      </c>
      <c r="D629">
        <f t="shared" si="172"/>
        <v>2</v>
      </c>
      <c r="E629">
        <f t="shared" si="173"/>
        <v>0</v>
      </c>
      <c r="F629" s="100">
        <f t="shared" ca="1" si="174"/>
        <v>6.3634999999999997E-2</v>
      </c>
      <c r="G629">
        <v>1</v>
      </c>
      <c r="H629">
        <v>0</v>
      </c>
      <c r="I629">
        <v>1</v>
      </c>
      <c r="J629" s="1">
        <f t="shared" ca="1" si="175"/>
        <v>1.8810000000000034E-4</v>
      </c>
      <c r="K629" s="1">
        <f t="shared" ca="1" si="176"/>
        <v>1.1969743500000021E-5</v>
      </c>
      <c r="L629" s="13">
        <f t="shared" ca="1" si="177"/>
        <v>78</v>
      </c>
      <c r="M629" s="7">
        <f t="shared" ca="1" si="178"/>
        <v>922</v>
      </c>
      <c r="N629" s="44">
        <f t="shared" ca="1" si="179"/>
        <v>11</v>
      </c>
      <c r="O629" s="94">
        <f t="shared" ca="1" si="180"/>
        <v>2.8265749241644089</v>
      </c>
      <c r="P629" s="94">
        <f t="shared" ca="1" si="181"/>
        <v>28.265749241644084</v>
      </c>
      <c r="Q629" s="94">
        <f t="shared" ca="1" si="182"/>
        <v>28.265749241644084</v>
      </c>
      <c r="R629" s="94">
        <f t="shared" ca="1" si="183"/>
        <v>2.8265749241644085</v>
      </c>
      <c r="S629" s="94">
        <f t="shared" ca="1" si="184"/>
        <v>2.8265749241644089</v>
      </c>
      <c r="T629" s="4">
        <f t="shared" ca="1" si="185"/>
        <v>3.3833376825779984E-5</v>
      </c>
      <c r="U629" s="46">
        <f t="shared" ca="1" si="186"/>
        <v>1440.7163216869442</v>
      </c>
      <c r="V629" s="4">
        <f t="shared" ca="1" si="187"/>
        <v>1.7245004826856241E-2</v>
      </c>
      <c r="W629" s="13">
        <f t="shared" ca="1" si="188"/>
        <v>11978.694835985181</v>
      </c>
      <c r="X629" s="4">
        <f t="shared" ca="1" si="189"/>
        <v>0.14338190465151743</v>
      </c>
    </row>
    <row r="630" spans="1:24">
      <c r="A630">
        <v>0</v>
      </c>
      <c r="B630">
        <v>2</v>
      </c>
      <c r="C630">
        <f t="shared" si="171"/>
        <v>4</v>
      </c>
      <c r="D630">
        <f t="shared" si="172"/>
        <v>2</v>
      </c>
      <c r="E630">
        <f t="shared" si="173"/>
        <v>0</v>
      </c>
      <c r="F630" s="100">
        <f t="shared" ca="1" si="174"/>
        <v>6.3634999999999997E-2</v>
      </c>
      <c r="G630">
        <v>1</v>
      </c>
      <c r="H630">
        <v>0</v>
      </c>
      <c r="I630">
        <v>0</v>
      </c>
      <c r="J630" s="1">
        <f t="shared" ca="1" si="175"/>
        <v>9.5000000000000255E-7</v>
      </c>
      <c r="K630" s="1">
        <f t="shared" ca="1" si="176"/>
        <v>6.0453250000000158E-8</v>
      </c>
      <c r="L630" s="13">
        <f t="shared" ca="1" si="177"/>
        <v>65</v>
      </c>
      <c r="M630" s="7">
        <f t="shared" ca="1" si="178"/>
        <v>935</v>
      </c>
      <c r="N630" s="44">
        <f t="shared" ca="1" si="179"/>
        <v>11</v>
      </c>
      <c r="O630" s="94">
        <f t="shared" ca="1" si="180"/>
        <v>2.8265749241644089</v>
      </c>
      <c r="P630" s="94">
        <f t="shared" ca="1" si="181"/>
        <v>28.265749241644084</v>
      </c>
      <c r="Q630" s="94">
        <f t="shared" ca="1" si="182"/>
        <v>28.265749241644084</v>
      </c>
      <c r="R630" s="94">
        <f t="shared" ca="1" si="183"/>
        <v>2.8265749241644085</v>
      </c>
      <c r="S630" s="94">
        <f t="shared" ca="1" si="184"/>
        <v>2.8265749241644089</v>
      </c>
      <c r="T630" s="4">
        <f t="shared" ca="1" si="185"/>
        <v>1.7087564053424249E-7</v>
      </c>
      <c r="U630" s="46">
        <f t="shared" ca="1" si="186"/>
        <v>1427.7163216869442</v>
      </c>
      <c r="V630" s="4">
        <f t="shared" ca="1" si="187"/>
        <v>8.6310091724021477E-5</v>
      </c>
      <c r="W630" s="13">
        <f t="shared" ca="1" si="188"/>
        <v>11313.024540513297</v>
      </c>
      <c r="X630" s="4">
        <f t="shared" ca="1" si="189"/>
        <v>6.8390910080378732E-4</v>
      </c>
    </row>
    <row r="631" spans="1:24">
      <c r="A631">
        <v>0</v>
      </c>
      <c r="B631">
        <v>2</v>
      </c>
      <c r="C631">
        <f t="shared" si="171"/>
        <v>4</v>
      </c>
      <c r="D631">
        <f t="shared" si="172"/>
        <v>2</v>
      </c>
      <c r="E631">
        <f t="shared" si="173"/>
        <v>0</v>
      </c>
      <c r="F631" s="100">
        <f t="shared" ca="1" si="174"/>
        <v>6.3634999999999997E-2</v>
      </c>
      <c r="G631">
        <v>0</v>
      </c>
      <c r="H631">
        <v>1</v>
      </c>
      <c r="I631">
        <v>7</v>
      </c>
      <c r="J631" s="1">
        <f t="shared" ca="1" si="175"/>
        <v>0</v>
      </c>
      <c r="K631" s="1">
        <f t="shared" ca="1" si="176"/>
        <v>0</v>
      </c>
      <c r="L631" s="13">
        <f t="shared" ca="1" si="177"/>
        <v>156</v>
      </c>
      <c r="M631" s="7">
        <f t="shared" ca="1" si="178"/>
        <v>844</v>
      </c>
      <c r="N631" s="44">
        <f t="shared" ca="1" si="179"/>
        <v>10</v>
      </c>
      <c r="O631" s="94">
        <f t="shared" ca="1" si="180"/>
        <v>2.5877599795741038</v>
      </c>
      <c r="P631" s="94">
        <f t="shared" ca="1" si="181"/>
        <v>25.877599795741034</v>
      </c>
      <c r="Q631" s="94">
        <f t="shared" ca="1" si="182"/>
        <v>25.877599795741034</v>
      </c>
      <c r="R631" s="94">
        <f t="shared" ca="1" si="183"/>
        <v>2.5877599795741033</v>
      </c>
      <c r="S631" s="94">
        <f t="shared" ca="1" si="184"/>
        <v>2.5877599795741038</v>
      </c>
      <c r="T631" s="4">
        <f t="shared" ca="1" si="185"/>
        <v>0</v>
      </c>
      <c r="U631" s="46">
        <f t="shared" ca="1" si="186"/>
        <v>1420.8868633777442</v>
      </c>
      <c r="V631" s="4">
        <f t="shared" ca="1" si="187"/>
        <v>0</v>
      </c>
      <c r="W631" s="13">
        <f t="shared" ca="1" si="188"/>
        <v>5125.2361347438955</v>
      </c>
      <c r="X631" s="4">
        <f t="shared" ca="1" si="189"/>
        <v>0</v>
      </c>
    </row>
    <row r="632" spans="1:24">
      <c r="A632">
        <v>0</v>
      </c>
      <c r="B632">
        <v>2</v>
      </c>
      <c r="C632">
        <f t="shared" si="171"/>
        <v>4</v>
      </c>
      <c r="D632">
        <f t="shared" si="172"/>
        <v>2</v>
      </c>
      <c r="E632">
        <f t="shared" si="173"/>
        <v>0</v>
      </c>
      <c r="F632" s="100">
        <f t="shared" ca="1" si="174"/>
        <v>6.3634999999999997E-2</v>
      </c>
      <c r="G632">
        <v>0</v>
      </c>
      <c r="H632">
        <v>1</v>
      </c>
      <c r="I632">
        <v>6</v>
      </c>
      <c r="J632" s="1">
        <f t="shared" ca="1" si="175"/>
        <v>0</v>
      </c>
      <c r="K632" s="1">
        <f t="shared" ca="1" si="176"/>
        <v>0</v>
      </c>
      <c r="L632" s="13">
        <f t="shared" ca="1" si="177"/>
        <v>143</v>
      </c>
      <c r="M632" s="7">
        <f t="shared" ca="1" si="178"/>
        <v>857</v>
      </c>
      <c r="N632" s="44">
        <f t="shared" ca="1" si="179"/>
        <v>10</v>
      </c>
      <c r="O632" s="94">
        <f t="shared" ca="1" si="180"/>
        <v>2.5877599795741038</v>
      </c>
      <c r="P632" s="94">
        <f t="shared" ca="1" si="181"/>
        <v>25.877599795741034</v>
      </c>
      <c r="Q632" s="94">
        <f t="shared" ca="1" si="182"/>
        <v>25.877599795741034</v>
      </c>
      <c r="R632" s="94">
        <f t="shared" ca="1" si="183"/>
        <v>2.5877599795741033</v>
      </c>
      <c r="S632" s="94">
        <f t="shared" ca="1" si="184"/>
        <v>2.5877599795741038</v>
      </c>
      <c r="T632" s="4">
        <f t="shared" ca="1" si="185"/>
        <v>0</v>
      </c>
      <c r="U632" s="46">
        <f t="shared" ca="1" si="186"/>
        <v>1407.8868633777442</v>
      </c>
      <c r="V632" s="4">
        <f t="shared" ca="1" si="187"/>
        <v>0</v>
      </c>
      <c r="W632" s="13">
        <f t="shared" ca="1" si="188"/>
        <v>4459.5658392720125</v>
      </c>
      <c r="X632" s="4">
        <f t="shared" ca="1" si="189"/>
        <v>0</v>
      </c>
    </row>
    <row r="633" spans="1:24">
      <c r="A633">
        <v>0</v>
      </c>
      <c r="B633">
        <v>2</v>
      </c>
      <c r="C633">
        <f t="shared" si="171"/>
        <v>4</v>
      </c>
      <c r="D633">
        <f t="shared" si="172"/>
        <v>2</v>
      </c>
      <c r="E633">
        <f t="shared" si="173"/>
        <v>0</v>
      </c>
      <c r="F633" s="100">
        <f t="shared" ca="1" si="174"/>
        <v>6.3634999999999997E-2</v>
      </c>
      <c r="G633">
        <v>0</v>
      </c>
      <c r="H633">
        <v>1</v>
      </c>
      <c r="I633">
        <v>5</v>
      </c>
      <c r="J633" s="1">
        <f t="shared" ca="1" si="175"/>
        <v>0</v>
      </c>
      <c r="K633" s="1">
        <f t="shared" ca="1" si="176"/>
        <v>0</v>
      </c>
      <c r="L633" s="13">
        <f t="shared" ca="1" si="177"/>
        <v>130</v>
      </c>
      <c r="M633" s="7">
        <f t="shared" ca="1" si="178"/>
        <v>870</v>
      </c>
      <c r="N633" s="44">
        <f t="shared" ca="1" si="179"/>
        <v>10</v>
      </c>
      <c r="O633" s="94">
        <f t="shared" ca="1" si="180"/>
        <v>2.5877599795741038</v>
      </c>
      <c r="P633" s="94">
        <f t="shared" ca="1" si="181"/>
        <v>25.877599795741034</v>
      </c>
      <c r="Q633" s="94">
        <f t="shared" ca="1" si="182"/>
        <v>25.877599795741034</v>
      </c>
      <c r="R633" s="94">
        <f t="shared" ca="1" si="183"/>
        <v>2.5877599795741033</v>
      </c>
      <c r="S633" s="94">
        <f t="shared" ca="1" si="184"/>
        <v>2.5877599795741038</v>
      </c>
      <c r="T633" s="4">
        <f t="shared" ca="1" si="185"/>
        <v>0</v>
      </c>
      <c r="U633" s="46">
        <f t="shared" ca="1" si="186"/>
        <v>1394.8868633777442</v>
      </c>
      <c r="V633" s="4">
        <f t="shared" ca="1" si="187"/>
        <v>0</v>
      </c>
      <c r="W633" s="13">
        <f t="shared" ca="1" si="188"/>
        <v>3793.895543800129</v>
      </c>
      <c r="X633" s="4">
        <f t="shared" ca="1" si="189"/>
        <v>0</v>
      </c>
    </row>
    <row r="634" spans="1:24">
      <c r="A634">
        <v>0</v>
      </c>
      <c r="B634">
        <v>2</v>
      </c>
      <c r="C634">
        <f t="shared" si="171"/>
        <v>4</v>
      </c>
      <c r="D634">
        <f t="shared" si="172"/>
        <v>2</v>
      </c>
      <c r="E634">
        <f t="shared" si="173"/>
        <v>0</v>
      </c>
      <c r="F634" s="100">
        <f t="shared" ca="1" si="174"/>
        <v>6.3634999999999997E-2</v>
      </c>
      <c r="G634">
        <v>0</v>
      </c>
      <c r="H634">
        <v>1</v>
      </c>
      <c r="I634">
        <v>4</v>
      </c>
      <c r="J634" s="1">
        <f t="shared" ca="1" si="175"/>
        <v>0</v>
      </c>
      <c r="K634" s="1">
        <f t="shared" ca="1" si="176"/>
        <v>0</v>
      </c>
      <c r="L634" s="13">
        <f t="shared" ca="1" si="177"/>
        <v>117</v>
      </c>
      <c r="M634" s="7">
        <f t="shared" ca="1" si="178"/>
        <v>883</v>
      </c>
      <c r="N634" s="44">
        <f t="shared" ca="1" si="179"/>
        <v>10</v>
      </c>
      <c r="O634" s="94">
        <f t="shared" ca="1" si="180"/>
        <v>2.5877599795741038</v>
      </c>
      <c r="P634" s="94">
        <f t="shared" ca="1" si="181"/>
        <v>25.877599795741034</v>
      </c>
      <c r="Q634" s="94">
        <f t="shared" ca="1" si="182"/>
        <v>25.877599795741034</v>
      </c>
      <c r="R634" s="94">
        <f t="shared" ca="1" si="183"/>
        <v>2.5877599795741033</v>
      </c>
      <c r="S634" s="94">
        <f t="shared" ca="1" si="184"/>
        <v>2.5877599795741038</v>
      </c>
      <c r="T634" s="4">
        <f t="shared" ca="1" si="185"/>
        <v>0</v>
      </c>
      <c r="U634" s="46">
        <f t="shared" ca="1" si="186"/>
        <v>1381.8868633777442</v>
      </c>
      <c r="V634" s="4">
        <f t="shared" ca="1" si="187"/>
        <v>0</v>
      </c>
      <c r="W634" s="13">
        <f t="shared" ca="1" si="188"/>
        <v>3128.2252483282455</v>
      </c>
      <c r="X634" s="4">
        <f t="shared" ca="1" si="189"/>
        <v>0</v>
      </c>
    </row>
    <row r="635" spans="1:24">
      <c r="A635">
        <v>0</v>
      </c>
      <c r="B635">
        <v>2</v>
      </c>
      <c r="C635">
        <f t="shared" si="171"/>
        <v>4</v>
      </c>
      <c r="D635">
        <f t="shared" si="172"/>
        <v>2</v>
      </c>
      <c r="E635">
        <f t="shared" si="173"/>
        <v>0</v>
      </c>
      <c r="F635" s="100">
        <f t="shared" ca="1" si="174"/>
        <v>6.3634999999999997E-2</v>
      </c>
      <c r="G635">
        <v>0</v>
      </c>
      <c r="H635">
        <v>1</v>
      </c>
      <c r="I635">
        <v>3</v>
      </c>
      <c r="J635" s="1">
        <f t="shared" ca="1" si="175"/>
        <v>0</v>
      </c>
      <c r="K635" s="1">
        <f t="shared" ca="1" si="176"/>
        <v>0</v>
      </c>
      <c r="L635" s="13">
        <f t="shared" ca="1" si="177"/>
        <v>104</v>
      </c>
      <c r="M635" s="7">
        <f t="shared" ca="1" si="178"/>
        <v>896</v>
      </c>
      <c r="N635" s="44">
        <f t="shared" ca="1" si="179"/>
        <v>11</v>
      </c>
      <c r="O635" s="94">
        <f t="shared" ca="1" si="180"/>
        <v>2.8265749241644089</v>
      </c>
      <c r="P635" s="94">
        <f t="shared" ca="1" si="181"/>
        <v>27.071674518692554</v>
      </c>
      <c r="Q635" s="94">
        <f t="shared" ca="1" si="182"/>
        <v>25.877599795741034</v>
      </c>
      <c r="R635" s="94">
        <f t="shared" ca="1" si="183"/>
        <v>2.6474637157216794</v>
      </c>
      <c r="S635" s="94">
        <f t="shared" ca="1" si="184"/>
        <v>2.8265749241644089</v>
      </c>
      <c r="T635" s="4">
        <f t="shared" ca="1" si="185"/>
        <v>0</v>
      </c>
      <c r="U635" s="46">
        <f t="shared" ca="1" si="186"/>
        <v>1466.7163216869442</v>
      </c>
      <c r="V635" s="4">
        <f t="shared" ca="1" si="187"/>
        <v>0</v>
      </c>
      <c r="W635" s="13">
        <f t="shared" ca="1" si="188"/>
        <v>2462.5549528563624</v>
      </c>
      <c r="X635" s="4">
        <f t="shared" ca="1" si="189"/>
        <v>0</v>
      </c>
    </row>
    <row r="636" spans="1:24">
      <c r="A636">
        <v>0</v>
      </c>
      <c r="B636">
        <v>2</v>
      </c>
      <c r="C636">
        <f t="shared" si="171"/>
        <v>4</v>
      </c>
      <c r="D636">
        <f t="shared" si="172"/>
        <v>2</v>
      </c>
      <c r="E636">
        <f t="shared" si="173"/>
        <v>0</v>
      </c>
      <c r="F636" s="100">
        <f t="shared" ca="1" si="174"/>
        <v>6.3634999999999997E-2</v>
      </c>
      <c r="G636">
        <v>0</v>
      </c>
      <c r="H636">
        <v>1</v>
      </c>
      <c r="I636">
        <v>2</v>
      </c>
      <c r="J636" s="1">
        <f t="shared" ca="1" si="175"/>
        <v>4.8514950000000001E-2</v>
      </c>
      <c r="K636" s="1">
        <f t="shared" ca="1" si="176"/>
        <v>3.0872488432500001E-3</v>
      </c>
      <c r="L636" s="13">
        <f t="shared" ca="1" si="177"/>
        <v>91</v>
      </c>
      <c r="M636" s="7">
        <f t="shared" ca="1" si="178"/>
        <v>909</v>
      </c>
      <c r="N636" s="44">
        <f t="shared" ca="1" si="179"/>
        <v>11</v>
      </c>
      <c r="O636" s="94">
        <f t="shared" ca="1" si="180"/>
        <v>2.8265749241644089</v>
      </c>
      <c r="P636" s="94">
        <f t="shared" ca="1" si="181"/>
        <v>28.265749241644084</v>
      </c>
      <c r="Q636" s="94">
        <f t="shared" ca="1" si="182"/>
        <v>27.788119352463475</v>
      </c>
      <c r="R636" s="94">
        <f t="shared" ca="1" si="183"/>
        <v>2.8026934297053776</v>
      </c>
      <c r="S636" s="94">
        <f t="shared" ca="1" si="184"/>
        <v>2.8265749241644089</v>
      </c>
      <c r="T636" s="4">
        <f t="shared" ca="1" si="185"/>
        <v>8.7263401649860274E-3</v>
      </c>
      <c r="U636" s="46">
        <f t="shared" ca="1" si="186"/>
        <v>1453.7163216869442</v>
      </c>
      <c r="V636" s="4">
        <f t="shared" ca="1" si="187"/>
        <v>4.4879840325416636</v>
      </c>
      <c r="W636" s="13">
        <f t="shared" ca="1" si="188"/>
        <v>1796.8846573844794</v>
      </c>
      <c r="X636" s="4">
        <f t="shared" ca="1" si="189"/>
        <v>5.5474300799639069</v>
      </c>
    </row>
    <row r="637" spans="1:24">
      <c r="A637">
        <v>0</v>
      </c>
      <c r="B637">
        <v>2</v>
      </c>
      <c r="C637">
        <f t="shared" si="171"/>
        <v>4</v>
      </c>
      <c r="D637">
        <f t="shared" si="172"/>
        <v>2</v>
      </c>
      <c r="E637">
        <f t="shared" si="173"/>
        <v>0</v>
      </c>
      <c r="F637" s="100">
        <f t="shared" ca="1" si="174"/>
        <v>6.3634999999999997E-2</v>
      </c>
      <c r="G637">
        <v>0</v>
      </c>
      <c r="H637">
        <v>1</v>
      </c>
      <c r="I637">
        <v>1</v>
      </c>
      <c r="J637" s="1">
        <f t="shared" ca="1" si="175"/>
        <v>9.8010000000000089E-4</v>
      </c>
      <c r="K637" s="1">
        <f t="shared" ca="1" si="176"/>
        <v>6.2368663500000056E-5</v>
      </c>
      <c r="L637" s="13">
        <f t="shared" ca="1" si="177"/>
        <v>78</v>
      </c>
      <c r="M637" s="7">
        <f t="shared" ca="1" si="178"/>
        <v>922</v>
      </c>
      <c r="N637" s="44">
        <f t="shared" ca="1" si="179"/>
        <v>11</v>
      </c>
      <c r="O637" s="94">
        <f t="shared" ca="1" si="180"/>
        <v>2.8265749241644089</v>
      </c>
      <c r="P637" s="94">
        <f t="shared" ca="1" si="181"/>
        <v>28.265749241644084</v>
      </c>
      <c r="Q637" s="94">
        <f t="shared" ca="1" si="182"/>
        <v>28.265749241644084</v>
      </c>
      <c r="R637" s="94">
        <f t="shared" ca="1" si="183"/>
        <v>2.8265749241644085</v>
      </c>
      <c r="S637" s="94">
        <f t="shared" ca="1" si="184"/>
        <v>2.8265749241644089</v>
      </c>
      <c r="T637" s="4">
        <f t="shared" ca="1" si="185"/>
        <v>1.7628970030274818E-4</v>
      </c>
      <c r="U637" s="46">
        <f t="shared" ca="1" si="186"/>
        <v>1440.7163216869442</v>
      </c>
      <c r="V637" s="4">
        <f t="shared" ca="1" si="187"/>
        <v>8.9855551466250849E-2</v>
      </c>
      <c r="W637" s="13">
        <f t="shared" ca="1" si="188"/>
        <v>1131.2143619125961</v>
      </c>
      <c r="X637" s="4">
        <f t="shared" ca="1" si="189"/>
        <v>7.055232788449399E-2</v>
      </c>
    </row>
    <row r="638" spans="1:24">
      <c r="A638">
        <v>0</v>
      </c>
      <c r="B638">
        <v>2</v>
      </c>
      <c r="C638">
        <f t="shared" si="171"/>
        <v>4</v>
      </c>
      <c r="D638">
        <f t="shared" si="172"/>
        <v>2</v>
      </c>
      <c r="E638">
        <f t="shared" si="173"/>
        <v>0</v>
      </c>
      <c r="F638" s="100">
        <f t="shared" ca="1" si="174"/>
        <v>6.3634999999999997E-2</v>
      </c>
      <c r="G638">
        <v>0</v>
      </c>
      <c r="H638">
        <v>1</v>
      </c>
      <c r="I638">
        <v>0</v>
      </c>
      <c r="J638" s="1">
        <f t="shared" ca="1" si="175"/>
        <v>4.9500000000000094E-6</v>
      </c>
      <c r="K638" s="1">
        <f t="shared" ca="1" si="176"/>
        <v>3.1499325000000056E-7</v>
      </c>
      <c r="L638" s="13">
        <f t="shared" ca="1" si="177"/>
        <v>65</v>
      </c>
      <c r="M638" s="7">
        <f t="shared" ca="1" si="178"/>
        <v>935</v>
      </c>
      <c r="N638" s="44">
        <f t="shared" ca="1" si="179"/>
        <v>11</v>
      </c>
      <c r="O638" s="94">
        <f t="shared" ca="1" si="180"/>
        <v>2.8265749241644089</v>
      </c>
      <c r="P638" s="94">
        <f t="shared" ca="1" si="181"/>
        <v>28.265749241644084</v>
      </c>
      <c r="Q638" s="94">
        <f t="shared" ca="1" si="182"/>
        <v>28.265749241644084</v>
      </c>
      <c r="R638" s="94">
        <f t="shared" ca="1" si="183"/>
        <v>2.8265749241644085</v>
      </c>
      <c r="S638" s="94">
        <f t="shared" ca="1" si="184"/>
        <v>2.8265749241644089</v>
      </c>
      <c r="T638" s="4">
        <f t="shared" ca="1" si="185"/>
        <v>8.9035202173105222E-7</v>
      </c>
      <c r="U638" s="46">
        <f t="shared" ca="1" si="186"/>
        <v>1427.7163216869442</v>
      </c>
      <c r="V638" s="4">
        <f t="shared" ca="1" si="187"/>
        <v>4.4972100424621681E-4</v>
      </c>
      <c r="W638" s="13">
        <f t="shared" ca="1" si="188"/>
        <v>465.54406644071304</v>
      </c>
      <c r="X638" s="4">
        <f t="shared" ca="1" si="189"/>
        <v>1.4664323850637639E-4</v>
      </c>
    </row>
    <row r="639" spans="1:24">
      <c r="A639">
        <v>0</v>
      </c>
      <c r="B639">
        <v>2</v>
      </c>
      <c r="C639">
        <f t="shared" si="171"/>
        <v>4</v>
      </c>
      <c r="D639">
        <f t="shared" si="172"/>
        <v>2</v>
      </c>
      <c r="E639">
        <f t="shared" si="173"/>
        <v>0</v>
      </c>
      <c r="F639" s="100">
        <f t="shared" ca="1" si="174"/>
        <v>6.3634999999999997E-2</v>
      </c>
      <c r="G639">
        <v>0</v>
      </c>
      <c r="H639">
        <v>0</v>
      </c>
      <c r="I639">
        <v>7</v>
      </c>
      <c r="J639" s="1">
        <f t="shared" ca="1" si="175"/>
        <v>0</v>
      </c>
      <c r="K639" s="1">
        <f t="shared" ca="1" si="176"/>
        <v>0</v>
      </c>
      <c r="L639" s="13">
        <f t="shared" ca="1" si="177"/>
        <v>91</v>
      </c>
      <c r="M639" s="7">
        <f t="shared" ca="1" si="178"/>
        <v>909</v>
      </c>
      <c r="N639" s="44">
        <f t="shared" ca="1" si="179"/>
        <v>11</v>
      </c>
      <c r="O639" s="94">
        <f t="shared" ca="1" si="180"/>
        <v>2.8265749241644089</v>
      </c>
      <c r="P639" s="94">
        <f t="shared" ca="1" si="181"/>
        <v>28.265749241644084</v>
      </c>
      <c r="Q639" s="94">
        <f t="shared" ca="1" si="182"/>
        <v>27.788119352463475</v>
      </c>
      <c r="R639" s="94">
        <f t="shared" ca="1" si="183"/>
        <v>2.8026934297053776</v>
      </c>
      <c r="S639" s="94">
        <f t="shared" ca="1" si="184"/>
        <v>2.8265749241644089</v>
      </c>
      <c r="T639" s="4">
        <f t="shared" ca="1" si="185"/>
        <v>0</v>
      </c>
      <c r="U639" s="46">
        <f t="shared" ca="1" si="186"/>
        <v>1453.7163216869442</v>
      </c>
      <c r="V639" s="4">
        <f t="shared" ca="1" si="187"/>
        <v>0</v>
      </c>
      <c r="W639" s="13">
        <f t="shared" ca="1" si="188"/>
        <v>4659.6920683031822</v>
      </c>
      <c r="X639" s="4">
        <f t="shared" ca="1" si="189"/>
        <v>0</v>
      </c>
    </row>
    <row r="640" spans="1:24">
      <c r="A640">
        <v>0</v>
      </c>
      <c r="B640">
        <v>2</v>
      </c>
      <c r="C640">
        <f t="shared" si="171"/>
        <v>4</v>
      </c>
      <c r="D640">
        <f t="shared" si="172"/>
        <v>2</v>
      </c>
      <c r="E640">
        <f t="shared" si="173"/>
        <v>0</v>
      </c>
      <c r="F640" s="100">
        <f t="shared" ca="1" si="174"/>
        <v>6.3634999999999997E-2</v>
      </c>
      <c r="G640">
        <v>0</v>
      </c>
      <c r="H640">
        <v>0</v>
      </c>
      <c r="I640">
        <v>6</v>
      </c>
      <c r="J640" s="1">
        <f t="shared" ca="1" si="175"/>
        <v>0</v>
      </c>
      <c r="K640" s="1">
        <f t="shared" ca="1" si="176"/>
        <v>0</v>
      </c>
      <c r="L640" s="13">
        <f t="shared" ca="1" si="177"/>
        <v>78</v>
      </c>
      <c r="M640" s="7">
        <f t="shared" ca="1" si="178"/>
        <v>922</v>
      </c>
      <c r="N640" s="44">
        <f t="shared" ca="1" si="179"/>
        <v>11</v>
      </c>
      <c r="O640" s="94">
        <f t="shared" ca="1" si="180"/>
        <v>2.8265749241644089</v>
      </c>
      <c r="P640" s="94">
        <f t="shared" ca="1" si="181"/>
        <v>28.265749241644084</v>
      </c>
      <c r="Q640" s="94">
        <f t="shared" ca="1" si="182"/>
        <v>28.265749241644084</v>
      </c>
      <c r="R640" s="94">
        <f t="shared" ca="1" si="183"/>
        <v>2.8265749241644085</v>
      </c>
      <c r="S640" s="94">
        <f t="shared" ca="1" si="184"/>
        <v>2.8265749241644089</v>
      </c>
      <c r="T640" s="4">
        <f t="shared" ca="1" si="185"/>
        <v>0</v>
      </c>
      <c r="U640" s="46">
        <f t="shared" ca="1" si="186"/>
        <v>1440.7163216869442</v>
      </c>
      <c r="V640" s="4">
        <f t="shared" ca="1" si="187"/>
        <v>0</v>
      </c>
      <c r="W640" s="13">
        <f t="shared" ca="1" si="188"/>
        <v>3994.0217728312991</v>
      </c>
      <c r="X640" s="4">
        <f t="shared" ca="1" si="189"/>
        <v>0</v>
      </c>
    </row>
    <row r="641" spans="1:24">
      <c r="A641">
        <v>0</v>
      </c>
      <c r="B641">
        <v>2</v>
      </c>
      <c r="C641">
        <f t="shared" si="171"/>
        <v>4</v>
      </c>
      <c r="D641">
        <f t="shared" si="172"/>
        <v>2</v>
      </c>
      <c r="E641">
        <f t="shared" si="173"/>
        <v>0</v>
      </c>
      <c r="F641" s="100">
        <f t="shared" ca="1" si="174"/>
        <v>6.3634999999999997E-2</v>
      </c>
      <c r="G641">
        <v>0</v>
      </c>
      <c r="H641">
        <v>0</v>
      </c>
      <c r="I641">
        <v>5</v>
      </c>
      <c r="J641" s="1">
        <f t="shared" ca="1" si="175"/>
        <v>0</v>
      </c>
      <c r="K641" s="1">
        <f t="shared" ca="1" si="176"/>
        <v>0</v>
      </c>
      <c r="L641" s="13">
        <f t="shared" ca="1" si="177"/>
        <v>65</v>
      </c>
      <c r="M641" s="7">
        <f t="shared" ca="1" si="178"/>
        <v>935</v>
      </c>
      <c r="N641" s="44">
        <f t="shared" ca="1" si="179"/>
        <v>11</v>
      </c>
      <c r="O641" s="94">
        <f t="shared" ca="1" si="180"/>
        <v>2.8265749241644089</v>
      </c>
      <c r="P641" s="94">
        <f t="shared" ca="1" si="181"/>
        <v>28.265749241644084</v>
      </c>
      <c r="Q641" s="94">
        <f t="shared" ca="1" si="182"/>
        <v>28.265749241644084</v>
      </c>
      <c r="R641" s="94">
        <f t="shared" ca="1" si="183"/>
        <v>2.8265749241644085</v>
      </c>
      <c r="S641" s="94">
        <f t="shared" ca="1" si="184"/>
        <v>2.8265749241644089</v>
      </c>
      <c r="T641" s="4">
        <f t="shared" ca="1" si="185"/>
        <v>0</v>
      </c>
      <c r="U641" s="46">
        <f t="shared" ca="1" si="186"/>
        <v>1427.7163216869442</v>
      </c>
      <c r="V641" s="4">
        <f t="shared" ca="1" si="187"/>
        <v>0</v>
      </c>
      <c r="W641" s="13">
        <f t="shared" ca="1" si="188"/>
        <v>3328.3514773594161</v>
      </c>
      <c r="X641" s="4">
        <f t="shared" ca="1" si="189"/>
        <v>0</v>
      </c>
    </row>
    <row r="642" spans="1:24">
      <c r="A642">
        <v>0</v>
      </c>
      <c r="B642">
        <v>2</v>
      </c>
      <c r="C642">
        <f t="shared" si="171"/>
        <v>4</v>
      </c>
      <c r="D642">
        <f t="shared" si="172"/>
        <v>2</v>
      </c>
      <c r="E642">
        <f t="shared" si="173"/>
        <v>0</v>
      </c>
      <c r="F642" s="100">
        <f t="shared" ca="1" si="174"/>
        <v>6.3634999999999997E-2</v>
      </c>
      <c r="G642">
        <v>0</v>
      </c>
      <c r="H642">
        <v>0</v>
      </c>
      <c r="I642">
        <v>4</v>
      </c>
      <c r="J642" s="1">
        <f t="shared" ca="1" si="175"/>
        <v>0</v>
      </c>
      <c r="K642" s="1">
        <f t="shared" ca="1" si="176"/>
        <v>0</v>
      </c>
      <c r="L642" s="13">
        <f t="shared" ca="1" si="177"/>
        <v>52</v>
      </c>
      <c r="M642" s="7">
        <f t="shared" ca="1" si="178"/>
        <v>948</v>
      </c>
      <c r="N642" s="44">
        <f t="shared" ca="1" si="179"/>
        <v>11</v>
      </c>
      <c r="O642" s="94">
        <f t="shared" ca="1" si="180"/>
        <v>2.8265749241644089</v>
      </c>
      <c r="P642" s="94">
        <f t="shared" ca="1" si="181"/>
        <v>28.265749241644084</v>
      </c>
      <c r="Q642" s="94">
        <f t="shared" ca="1" si="182"/>
        <v>28.265749241644084</v>
      </c>
      <c r="R642" s="94">
        <f t="shared" ca="1" si="183"/>
        <v>2.8265749241644085</v>
      </c>
      <c r="S642" s="94">
        <f t="shared" ca="1" si="184"/>
        <v>2.8265749241644089</v>
      </c>
      <c r="T642" s="4">
        <f t="shared" ca="1" si="185"/>
        <v>0</v>
      </c>
      <c r="U642" s="46">
        <f t="shared" ca="1" si="186"/>
        <v>1414.7163216869442</v>
      </c>
      <c r="V642" s="4">
        <f t="shared" ca="1" si="187"/>
        <v>0</v>
      </c>
      <c r="W642" s="13">
        <f t="shared" ca="1" si="188"/>
        <v>2662.6811818875326</v>
      </c>
      <c r="X642" s="4">
        <f t="shared" ca="1" si="189"/>
        <v>0</v>
      </c>
    </row>
    <row r="643" spans="1:24">
      <c r="A643">
        <v>0</v>
      </c>
      <c r="B643">
        <v>2</v>
      </c>
      <c r="C643">
        <f t="shared" si="171"/>
        <v>4</v>
      </c>
      <c r="D643">
        <f t="shared" si="172"/>
        <v>2</v>
      </c>
      <c r="E643">
        <f t="shared" si="173"/>
        <v>0</v>
      </c>
      <c r="F643" s="100">
        <f t="shared" ca="1" si="174"/>
        <v>6.3634999999999997E-2</v>
      </c>
      <c r="G643">
        <v>0</v>
      </c>
      <c r="H643">
        <v>0</v>
      </c>
      <c r="I643">
        <v>3</v>
      </c>
      <c r="J643" s="1">
        <f t="shared" ca="1" si="175"/>
        <v>0</v>
      </c>
      <c r="K643" s="1">
        <f t="shared" ca="1" si="176"/>
        <v>0</v>
      </c>
      <c r="L643" s="13">
        <f t="shared" ca="1" si="177"/>
        <v>39</v>
      </c>
      <c r="M643" s="7">
        <f t="shared" ca="1" si="178"/>
        <v>961</v>
      </c>
      <c r="N643" s="44">
        <f t="shared" ca="1" si="179"/>
        <v>11</v>
      </c>
      <c r="O643" s="94">
        <f t="shared" ca="1" si="180"/>
        <v>2.8265749241644089</v>
      </c>
      <c r="P643" s="94">
        <f t="shared" ca="1" si="181"/>
        <v>28.265749241644084</v>
      </c>
      <c r="Q643" s="94">
        <f t="shared" ca="1" si="182"/>
        <v>28.265749241644084</v>
      </c>
      <c r="R643" s="94">
        <f t="shared" ca="1" si="183"/>
        <v>2.8265749241644085</v>
      </c>
      <c r="S643" s="94">
        <f t="shared" ca="1" si="184"/>
        <v>2.8265749241644089</v>
      </c>
      <c r="T643" s="4">
        <f t="shared" ca="1" si="185"/>
        <v>0</v>
      </c>
      <c r="U643" s="46">
        <f t="shared" ca="1" si="186"/>
        <v>1401.7163216869442</v>
      </c>
      <c r="V643" s="4">
        <f t="shared" ca="1" si="187"/>
        <v>0</v>
      </c>
      <c r="W643" s="13">
        <f t="shared" ca="1" si="188"/>
        <v>1997.0108864156496</v>
      </c>
      <c r="X643" s="4">
        <f t="shared" ca="1" si="189"/>
        <v>0</v>
      </c>
    </row>
    <row r="644" spans="1:24">
      <c r="A644">
        <v>0</v>
      </c>
      <c r="B644">
        <v>2</v>
      </c>
      <c r="C644">
        <f t="shared" si="171"/>
        <v>4</v>
      </c>
      <c r="D644">
        <f t="shared" si="172"/>
        <v>2</v>
      </c>
      <c r="E644">
        <f t="shared" si="173"/>
        <v>0</v>
      </c>
      <c r="F644" s="100">
        <f t="shared" ca="1" si="174"/>
        <v>6.3634999999999997E-2</v>
      </c>
      <c r="G644">
        <v>0</v>
      </c>
      <c r="H644">
        <v>0</v>
      </c>
      <c r="I644">
        <v>2</v>
      </c>
      <c r="J644" s="1">
        <f t="shared" ca="1" si="175"/>
        <v>4.9005000000000045E-4</v>
      </c>
      <c r="K644" s="1">
        <f t="shared" ca="1" si="176"/>
        <v>3.1184331750000028E-5</v>
      </c>
      <c r="L644" s="13">
        <f t="shared" ca="1" si="177"/>
        <v>26</v>
      </c>
      <c r="M644" s="7">
        <f t="shared" ca="1" si="178"/>
        <v>974</v>
      </c>
      <c r="N644" s="44">
        <f t="shared" ca="1" si="179"/>
        <v>11</v>
      </c>
      <c r="O644" s="94">
        <f t="shared" ca="1" si="180"/>
        <v>2.8265749241644089</v>
      </c>
      <c r="P644" s="94">
        <f t="shared" ca="1" si="181"/>
        <v>28.265749241644084</v>
      </c>
      <c r="Q644" s="94">
        <f t="shared" ca="1" si="182"/>
        <v>28.265749241644084</v>
      </c>
      <c r="R644" s="94">
        <f t="shared" ca="1" si="183"/>
        <v>2.8265749241644085</v>
      </c>
      <c r="S644" s="94">
        <f t="shared" ca="1" si="184"/>
        <v>2.8265749241644089</v>
      </c>
      <c r="T644" s="4">
        <f t="shared" ca="1" si="185"/>
        <v>8.8144850151374092E-5</v>
      </c>
      <c r="U644" s="46">
        <f t="shared" ca="1" si="186"/>
        <v>1388.7163216869442</v>
      </c>
      <c r="V644" s="4">
        <f t="shared" ca="1" si="187"/>
        <v>4.3306190482125424E-2</v>
      </c>
      <c r="W644" s="13">
        <f t="shared" ca="1" si="188"/>
        <v>1331.3405909437663</v>
      </c>
      <c r="X644" s="4">
        <f t="shared" ca="1" si="189"/>
        <v>4.151696666023149E-2</v>
      </c>
    </row>
    <row r="645" spans="1:24">
      <c r="A645">
        <v>0</v>
      </c>
      <c r="B645">
        <v>2</v>
      </c>
      <c r="C645">
        <f t="shared" si="171"/>
        <v>4</v>
      </c>
      <c r="D645">
        <f t="shared" si="172"/>
        <v>2</v>
      </c>
      <c r="E645">
        <f t="shared" si="173"/>
        <v>0</v>
      </c>
      <c r="F645" s="100">
        <f t="shared" ca="1" si="174"/>
        <v>6.3634999999999997E-2</v>
      </c>
      <c r="G645">
        <v>0</v>
      </c>
      <c r="H645">
        <v>0</v>
      </c>
      <c r="I645">
        <v>1</v>
      </c>
      <c r="J645" s="1">
        <f t="shared" ca="1" si="175"/>
        <v>9.9000000000000187E-6</v>
      </c>
      <c r="K645" s="1">
        <f t="shared" ca="1" si="176"/>
        <v>6.2998650000000111E-7</v>
      </c>
      <c r="L645" s="13">
        <f t="shared" ca="1" si="177"/>
        <v>13</v>
      </c>
      <c r="M645" s="7">
        <f t="shared" ca="1" si="178"/>
        <v>987</v>
      </c>
      <c r="N645" s="44">
        <f t="shared" ca="1" si="179"/>
        <v>12</v>
      </c>
      <c r="O645" s="94">
        <f t="shared" ca="1" si="180"/>
        <v>3.049271339469791</v>
      </c>
      <c r="P645" s="94">
        <f t="shared" ca="1" si="181"/>
        <v>29.824624148781758</v>
      </c>
      <c r="Q645" s="94">
        <f t="shared" ca="1" si="182"/>
        <v>28.265749241644084</v>
      </c>
      <c r="R645" s="94">
        <f t="shared" ca="1" si="183"/>
        <v>2.9045186695212921</v>
      </c>
      <c r="S645" s="94">
        <f t="shared" ca="1" si="184"/>
        <v>3.049271339469791</v>
      </c>
      <c r="T645" s="4">
        <f t="shared" ca="1" si="185"/>
        <v>1.9209997787028888E-6</v>
      </c>
      <c r="U645" s="46">
        <f t="shared" ca="1" si="186"/>
        <v>1466.9428976204611</v>
      </c>
      <c r="V645" s="4">
        <f t="shared" ca="1" si="187"/>
        <v>9.2415422177177418E-4</v>
      </c>
      <c r="W645" s="13">
        <f t="shared" ca="1" si="188"/>
        <v>665.67029547188315</v>
      </c>
      <c r="X645" s="4">
        <f t="shared" ca="1" si="189"/>
        <v>4.1936329959829828E-4</v>
      </c>
    </row>
    <row r="646" spans="1:24">
      <c r="A646">
        <v>0</v>
      </c>
      <c r="B646">
        <v>2</v>
      </c>
      <c r="C646">
        <f t="shared" si="171"/>
        <v>4</v>
      </c>
      <c r="D646">
        <f t="shared" si="172"/>
        <v>2</v>
      </c>
      <c r="E646">
        <f t="shared" si="173"/>
        <v>0</v>
      </c>
      <c r="F646" s="100">
        <f t="shared" ca="1" si="174"/>
        <v>6.3634999999999997E-2</v>
      </c>
      <c r="G646">
        <v>0</v>
      </c>
      <c r="H646">
        <v>0</v>
      </c>
      <c r="I646">
        <v>0</v>
      </c>
      <c r="J646" s="1">
        <f t="shared" ca="1" si="175"/>
        <v>5.0000000000000137E-8</v>
      </c>
      <c r="K646" s="1">
        <f t="shared" ca="1" si="176"/>
        <v>3.1817500000000084E-9</v>
      </c>
      <c r="L646" s="13">
        <f t="shared" ca="1" si="177"/>
        <v>0</v>
      </c>
      <c r="M646" s="7">
        <f t="shared" ca="1" si="178"/>
        <v>1000</v>
      </c>
      <c r="N646" s="44">
        <f t="shared" ca="1" si="179"/>
        <v>12</v>
      </c>
      <c r="O646" s="94">
        <f t="shared" ca="1" si="180"/>
        <v>3.049271339469791</v>
      </c>
      <c r="P646" s="94">
        <f t="shared" ca="1" si="181"/>
        <v>30.492713394697905</v>
      </c>
      <c r="Q646" s="94">
        <f t="shared" ca="1" si="182"/>
        <v>30.492713394697905</v>
      </c>
      <c r="R646" s="94">
        <f t="shared" ca="1" si="183"/>
        <v>3.0492713394697906</v>
      </c>
      <c r="S646" s="94">
        <f t="shared" ca="1" si="184"/>
        <v>3.049271339469791</v>
      </c>
      <c r="T646" s="4">
        <f t="shared" ca="1" si="185"/>
        <v>9.7020190843580337E-9</v>
      </c>
      <c r="U646" s="46">
        <f t="shared" ca="1" si="186"/>
        <v>1453.9428976204611</v>
      </c>
      <c r="V646" s="4">
        <f t="shared" ca="1" si="187"/>
        <v>4.6260828145039145E-6</v>
      </c>
      <c r="W646" s="13">
        <f t="shared" ca="1" si="188"/>
        <v>0</v>
      </c>
      <c r="X646" s="4">
        <f t="shared" ca="1" si="189"/>
        <v>0</v>
      </c>
    </row>
    <row r="647" spans="1:24">
      <c r="A647">
        <v>0</v>
      </c>
      <c r="B647">
        <v>3</v>
      </c>
      <c r="C647">
        <f t="shared" si="171"/>
        <v>5</v>
      </c>
      <c r="D647">
        <f t="shared" si="172"/>
        <v>3</v>
      </c>
      <c r="E647">
        <f t="shared" si="173"/>
        <v>0</v>
      </c>
      <c r="F647" s="100">
        <f t="shared" ca="1" si="174"/>
        <v>0</v>
      </c>
      <c r="G647">
        <v>1</v>
      </c>
      <c r="H647">
        <v>1</v>
      </c>
      <c r="I647">
        <v>7</v>
      </c>
      <c r="J647" s="1">
        <f t="shared" ca="1" si="175"/>
        <v>0</v>
      </c>
      <c r="K647" s="1">
        <f t="shared" ca="1" si="176"/>
        <v>0</v>
      </c>
      <c r="L647" s="13">
        <f t="shared" ca="1" si="177"/>
        <v>221</v>
      </c>
      <c r="M647" s="7">
        <f t="shared" ca="1" si="178"/>
        <v>779</v>
      </c>
      <c r="N647" s="44">
        <f t="shared" ca="1" si="179"/>
        <v>9</v>
      </c>
      <c r="O647" s="94">
        <f t="shared" ca="1" si="180"/>
        <v>2.3639647217884514</v>
      </c>
      <c r="P647" s="94">
        <f t="shared" ca="1" si="181"/>
        <v>23.639647217884519</v>
      </c>
      <c r="Q647" s="94">
        <f t="shared" ca="1" si="182"/>
        <v>23.639647217884519</v>
      </c>
      <c r="R647" s="94">
        <f t="shared" ca="1" si="183"/>
        <v>2.3639647217884519</v>
      </c>
      <c r="S647" s="94">
        <f t="shared" ca="1" si="184"/>
        <v>2.3639647217884514</v>
      </c>
      <c r="T647" s="4">
        <f t="shared" ca="1" si="185"/>
        <v>0</v>
      </c>
      <c r="U647" s="46">
        <f t="shared" ca="1" si="186"/>
        <v>1394.2101516087316</v>
      </c>
      <c r="V647" s="4">
        <f t="shared" ca="1" si="187"/>
        <v>0</v>
      </c>
      <c r="W647" s="13">
        <f t="shared" ca="1" si="188"/>
        <v>16438.260675257192</v>
      </c>
      <c r="X647" s="4">
        <f t="shared" ca="1" si="189"/>
        <v>0</v>
      </c>
    </row>
    <row r="648" spans="1:24">
      <c r="A648">
        <v>0</v>
      </c>
      <c r="B648">
        <v>3</v>
      </c>
      <c r="C648">
        <f t="shared" si="171"/>
        <v>5</v>
      </c>
      <c r="D648">
        <f t="shared" si="172"/>
        <v>3</v>
      </c>
      <c r="E648">
        <f t="shared" si="173"/>
        <v>0</v>
      </c>
      <c r="F648" s="100">
        <f t="shared" ca="1" si="174"/>
        <v>0</v>
      </c>
      <c r="G648">
        <v>1</v>
      </c>
      <c r="H648">
        <v>1</v>
      </c>
      <c r="I648">
        <v>6</v>
      </c>
      <c r="J648" s="1">
        <f t="shared" ca="1" si="175"/>
        <v>0</v>
      </c>
      <c r="K648" s="1">
        <f t="shared" ca="1" si="176"/>
        <v>0</v>
      </c>
      <c r="L648" s="13">
        <f t="shared" ca="1" si="177"/>
        <v>208</v>
      </c>
      <c r="M648" s="7">
        <f t="shared" ca="1" si="178"/>
        <v>792</v>
      </c>
      <c r="N648" s="44">
        <f t="shared" ca="1" si="179"/>
        <v>9</v>
      </c>
      <c r="O648" s="94">
        <f t="shared" ca="1" si="180"/>
        <v>2.3639647217884514</v>
      </c>
      <c r="P648" s="94">
        <f t="shared" ca="1" si="181"/>
        <v>23.639647217884519</v>
      </c>
      <c r="Q648" s="94">
        <f t="shared" ca="1" si="182"/>
        <v>23.639647217884519</v>
      </c>
      <c r="R648" s="94">
        <f t="shared" ca="1" si="183"/>
        <v>2.3639647217884519</v>
      </c>
      <c r="S648" s="94">
        <f t="shared" ca="1" si="184"/>
        <v>2.3639647217884514</v>
      </c>
      <c r="T648" s="4">
        <f t="shared" ca="1" si="185"/>
        <v>0</v>
      </c>
      <c r="U648" s="46">
        <f t="shared" ca="1" si="186"/>
        <v>1381.2101516087316</v>
      </c>
      <c r="V648" s="4">
        <f t="shared" ca="1" si="187"/>
        <v>0</v>
      </c>
      <c r="W648" s="13">
        <f t="shared" ca="1" si="188"/>
        <v>15772.59037978531</v>
      </c>
      <c r="X648" s="4">
        <f t="shared" ca="1" si="189"/>
        <v>0</v>
      </c>
    </row>
    <row r="649" spans="1:24">
      <c r="A649">
        <v>0</v>
      </c>
      <c r="B649">
        <v>3</v>
      </c>
      <c r="C649">
        <f t="shared" si="171"/>
        <v>5</v>
      </c>
      <c r="D649">
        <f t="shared" si="172"/>
        <v>3</v>
      </c>
      <c r="E649">
        <f t="shared" si="173"/>
        <v>0</v>
      </c>
      <c r="F649" s="100">
        <f t="shared" ca="1" si="174"/>
        <v>0</v>
      </c>
      <c r="G649">
        <v>1</v>
      </c>
      <c r="H649">
        <v>1</v>
      </c>
      <c r="I649">
        <v>5</v>
      </c>
      <c r="J649" s="1">
        <f t="shared" ca="1" si="175"/>
        <v>0</v>
      </c>
      <c r="K649" s="1">
        <f t="shared" ca="1" si="176"/>
        <v>0</v>
      </c>
      <c r="L649" s="13">
        <f t="shared" ca="1" si="177"/>
        <v>195</v>
      </c>
      <c r="M649" s="7">
        <f t="shared" ca="1" si="178"/>
        <v>805</v>
      </c>
      <c r="N649" s="44">
        <f t="shared" ca="1" si="179"/>
        <v>10</v>
      </c>
      <c r="O649" s="94">
        <f t="shared" ca="1" si="180"/>
        <v>2.5877599795741038</v>
      </c>
      <c r="P649" s="94">
        <f t="shared" ca="1" si="181"/>
        <v>24.311032991241476</v>
      </c>
      <c r="Q649" s="94">
        <f t="shared" ca="1" si="182"/>
        <v>23.639647217884519</v>
      </c>
      <c r="R649" s="94">
        <f t="shared" ca="1" si="183"/>
        <v>2.3975340104562997</v>
      </c>
      <c r="S649" s="94">
        <f t="shared" ca="1" si="184"/>
        <v>2.5877599795741038</v>
      </c>
      <c r="T649" s="4">
        <f t="shared" ca="1" si="185"/>
        <v>0</v>
      </c>
      <c r="U649" s="46">
        <f t="shared" ca="1" si="186"/>
        <v>1459.8868633777442</v>
      </c>
      <c r="V649" s="4">
        <f t="shared" ca="1" si="187"/>
        <v>0</v>
      </c>
      <c r="W649" s="13">
        <f t="shared" ca="1" si="188"/>
        <v>15106.920084313426</v>
      </c>
      <c r="X649" s="4">
        <f t="shared" ca="1" si="189"/>
        <v>0</v>
      </c>
    </row>
    <row r="650" spans="1:24">
      <c r="A650">
        <v>0</v>
      </c>
      <c r="B650">
        <v>3</v>
      </c>
      <c r="C650">
        <f t="shared" si="171"/>
        <v>5</v>
      </c>
      <c r="D650">
        <f t="shared" si="172"/>
        <v>3</v>
      </c>
      <c r="E650">
        <f t="shared" si="173"/>
        <v>0</v>
      </c>
      <c r="F650" s="100">
        <f t="shared" ca="1" si="174"/>
        <v>0</v>
      </c>
      <c r="G650">
        <v>1</v>
      </c>
      <c r="H650">
        <v>1</v>
      </c>
      <c r="I650">
        <v>4</v>
      </c>
      <c r="J650" s="1">
        <f t="shared" ca="1" si="175"/>
        <v>0</v>
      </c>
      <c r="K650" s="1">
        <f t="shared" ca="1" si="176"/>
        <v>0</v>
      </c>
      <c r="L650" s="13">
        <f t="shared" ca="1" si="177"/>
        <v>182</v>
      </c>
      <c r="M650" s="7">
        <f t="shared" ca="1" si="178"/>
        <v>818</v>
      </c>
      <c r="N650" s="44">
        <f t="shared" ca="1" si="179"/>
        <v>10</v>
      </c>
      <c r="O650" s="94">
        <f t="shared" ca="1" si="180"/>
        <v>2.5877599795741038</v>
      </c>
      <c r="P650" s="94">
        <f t="shared" ca="1" si="181"/>
        <v>25.877599795741034</v>
      </c>
      <c r="Q650" s="94">
        <f t="shared" ca="1" si="182"/>
        <v>24.982418764598432</v>
      </c>
      <c r="R650" s="94">
        <f t="shared" ca="1" si="183"/>
        <v>2.5430009280169736</v>
      </c>
      <c r="S650" s="94">
        <f t="shared" ca="1" si="184"/>
        <v>2.5877599795741038</v>
      </c>
      <c r="T650" s="4">
        <f t="shared" ca="1" si="185"/>
        <v>0</v>
      </c>
      <c r="U650" s="46">
        <f t="shared" ca="1" si="186"/>
        <v>1446.8868633777442</v>
      </c>
      <c r="V650" s="4">
        <f t="shared" ca="1" si="187"/>
        <v>0</v>
      </c>
      <c r="W650" s="13">
        <f t="shared" ca="1" si="188"/>
        <v>14441.249788841542</v>
      </c>
      <c r="X650" s="4">
        <f t="shared" ca="1" si="189"/>
        <v>0</v>
      </c>
    </row>
    <row r="651" spans="1:24">
      <c r="A651">
        <v>0</v>
      </c>
      <c r="B651">
        <v>3</v>
      </c>
      <c r="C651">
        <f t="shared" si="171"/>
        <v>5</v>
      </c>
      <c r="D651">
        <f t="shared" si="172"/>
        <v>3</v>
      </c>
      <c r="E651">
        <f t="shared" si="173"/>
        <v>0</v>
      </c>
      <c r="F651" s="100">
        <f t="shared" ca="1" si="174"/>
        <v>0</v>
      </c>
      <c r="G651">
        <v>1</v>
      </c>
      <c r="H651">
        <v>1</v>
      </c>
      <c r="I651">
        <v>3</v>
      </c>
      <c r="J651" s="1">
        <f t="shared" ca="1" si="175"/>
        <v>0.91256620949999989</v>
      </c>
      <c r="K651" s="1">
        <f t="shared" ca="1" si="176"/>
        <v>0</v>
      </c>
      <c r="L651" s="13">
        <f t="shared" ca="1" si="177"/>
        <v>169</v>
      </c>
      <c r="M651" s="7">
        <f t="shared" ca="1" si="178"/>
        <v>831</v>
      </c>
      <c r="N651" s="44">
        <f t="shared" ca="1" si="179"/>
        <v>10</v>
      </c>
      <c r="O651" s="94">
        <f t="shared" ca="1" si="180"/>
        <v>2.5877599795741038</v>
      </c>
      <c r="P651" s="94">
        <f t="shared" ca="1" si="181"/>
        <v>25.877599795741034</v>
      </c>
      <c r="Q651" s="94">
        <f t="shared" ca="1" si="182"/>
        <v>25.877599795741034</v>
      </c>
      <c r="R651" s="94">
        <f t="shared" ca="1" si="183"/>
        <v>2.5877599795741033</v>
      </c>
      <c r="S651" s="94">
        <f t="shared" ca="1" si="184"/>
        <v>2.5877599795741038</v>
      </c>
      <c r="T651" s="4">
        <f t="shared" ca="1" si="185"/>
        <v>0</v>
      </c>
      <c r="U651" s="46">
        <f t="shared" ca="1" si="186"/>
        <v>1433.8868633777442</v>
      </c>
      <c r="V651" s="4">
        <f t="shared" ca="1" si="187"/>
        <v>0</v>
      </c>
      <c r="W651" s="13">
        <f t="shared" ca="1" si="188"/>
        <v>13775.57949336966</v>
      </c>
      <c r="X651" s="4">
        <f t="shared" ca="1" si="189"/>
        <v>0</v>
      </c>
    </row>
    <row r="652" spans="1:24">
      <c r="A652">
        <v>0</v>
      </c>
      <c r="B652">
        <v>3</v>
      </c>
      <c r="C652">
        <f t="shared" si="171"/>
        <v>5</v>
      </c>
      <c r="D652">
        <f t="shared" si="172"/>
        <v>3</v>
      </c>
      <c r="E652">
        <f t="shared" si="173"/>
        <v>0</v>
      </c>
      <c r="F652" s="100">
        <f t="shared" ca="1" si="174"/>
        <v>0</v>
      </c>
      <c r="G652">
        <v>1</v>
      </c>
      <c r="H652">
        <v>1</v>
      </c>
      <c r="I652">
        <v>2</v>
      </c>
      <c r="J652" s="1">
        <f t="shared" ca="1" si="175"/>
        <v>2.7653521500000021E-2</v>
      </c>
      <c r="K652" s="1">
        <f t="shared" ca="1" si="176"/>
        <v>0</v>
      </c>
      <c r="L652" s="13">
        <f t="shared" ca="1" si="177"/>
        <v>156</v>
      </c>
      <c r="M652" s="7">
        <f t="shared" ca="1" si="178"/>
        <v>844</v>
      </c>
      <c r="N652" s="44">
        <f t="shared" ca="1" si="179"/>
        <v>10</v>
      </c>
      <c r="O652" s="94">
        <f t="shared" ca="1" si="180"/>
        <v>2.5877599795741038</v>
      </c>
      <c r="P652" s="94">
        <f t="shared" ca="1" si="181"/>
        <v>25.877599795741034</v>
      </c>
      <c r="Q652" s="94">
        <f t="shared" ca="1" si="182"/>
        <v>25.877599795741034</v>
      </c>
      <c r="R652" s="94">
        <f t="shared" ca="1" si="183"/>
        <v>2.5877599795741033</v>
      </c>
      <c r="S652" s="94">
        <f t="shared" ca="1" si="184"/>
        <v>2.5877599795741038</v>
      </c>
      <c r="T652" s="4">
        <f t="shared" ca="1" si="185"/>
        <v>0</v>
      </c>
      <c r="U652" s="46">
        <f t="shared" ca="1" si="186"/>
        <v>1420.8868633777442</v>
      </c>
      <c r="V652" s="4">
        <f t="shared" ca="1" si="187"/>
        <v>0</v>
      </c>
      <c r="W652" s="13">
        <f t="shared" ca="1" si="188"/>
        <v>13109.909197897776</v>
      </c>
      <c r="X652" s="4">
        <f t="shared" ca="1" si="189"/>
        <v>0</v>
      </c>
    </row>
    <row r="653" spans="1:24">
      <c r="A653">
        <v>0</v>
      </c>
      <c r="B653">
        <v>3</v>
      </c>
      <c r="C653">
        <f t="shared" si="171"/>
        <v>5</v>
      </c>
      <c r="D653">
        <f t="shared" si="172"/>
        <v>3</v>
      </c>
      <c r="E653">
        <f t="shared" si="173"/>
        <v>0</v>
      </c>
      <c r="F653" s="100">
        <f t="shared" ca="1" si="174"/>
        <v>0</v>
      </c>
      <c r="G653">
        <v>1</v>
      </c>
      <c r="H653">
        <v>1</v>
      </c>
      <c r="I653">
        <v>1</v>
      </c>
      <c r="J653" s="1">
        <f t="shared" ca="1" si="175"/>
        <v>2.7932850000000052E-4</v>
      </c>
      <c r="K653" s="1">
        <f t="shared" ca="1" si="176"/>
        <v>0</v>
      </c>
      <c r="L653" s="13">
        <f t="shared" ca="1" si="177"/>
        <v>143</v>
      </c>
      <c r="M653" s="7">
        <f t="shared" ca="1" si="178"/>
        <v>857</v>
      </c>
      <c r="N653" s="44">
        <f t="shared" ca="1" si="179"/>
        <v>10</v>
      </c>
      <c r="O653" s="94">
        <f t="shared" ca="1" si="180"/>
        <v>2.5877599795741038</v>
      </c>
      <c r="P653" s="94">
        <f t="shared" ca="1" si="181"/>
        <v>25.877599795741034</v>
      </c>
      <c r="Q653" s="94">
        <f t="shared" ca="1" si="182"/>
        <v>25.877599795741034</v>
      </c>
      <c r="R653" s="94">
        <f t="shared" ca="1" si="183"/>
        <v>2.5877599795741033</v>
      </c>
      <c r="S653" s="94">
        <f t="shared" ca="1" si="184"/>
        <v>2.5877599795741038</v>
      </c>
      <c r="T653" s="4">
        <f t="shared" ca="1" si="185"/>
        <v>0</v>
      </c>
      <c r="U653" s="46">
        <f t="shared" ca="1" si="186"/>
        <v>1407.8868633777442</v>
      </c>
      <c r="V653" s="4">
        <f t="shared" ca="1" si="187"/>
        <v>0</v>
      </c>
      <c r="W653" s="13">
        <f t="shared" ca="1" si="188"/>
        <v>12444.238902425894</v>
      </c>
      <c r="X653" s="4">
        <f t="shared" ca="1" si="189"/>
        <v>0</v>
      </c>
    </row>
    <row r="654" spans="1:24">
      <c r="A654">
        <v>0</v>
      </c>
      <c r="B654">
        <v>3</v>
      </c>
      <c r="C654">
        <f t="shared" si="171"/>
        <v>5</v>
      </c>
      <c r="D654">
        <f t="shared" si="172"/>
        <v>3</v>
      </c>
      <c r="E654">
        <f t="shared" si="173"/>
        <v>0</v>
      </c>
      <c r="F654" s="100">
        <f t="shared" ca="1" si="174"/>
        <v>0</v>
      </c>
      <c r="G654">
        <v>1</v>
      </c>
      <c r="H654">
        <v>1</v>
      </c>
      <c r="I654">
        <v>0</v>
      </c>
      <c r="J654" s="1">
        <f t="shared" ca="1" si="175"/>
        <v>9.4050000000000258E-7</v>
      </c>
      <c r="K654" s="1">
        <f t="shared" ca="1" si="176"/>
        <v>0</v>
      </c>
      <c r="L654" s="13">
        <f t="shared" ca="1" si="177"/>
        <v>130</v>
      </c>
      <c r="M654" s="7">
        <f t="shared" ca="1" si="178"/>
        <v>870</v>
      </c>
      <c r="N654" s="44">
        <f t="shared" ca="1" si="179"/>
        <v>10</v>
      </c>
      <c r="O654" s="94">
        <f t="shared" ca="1" si="180"/>
        <v>2.5877599795741038</v>
      </c>
      <c r="P654" s="94">
        <f t="shared" ca="1" si="181"/>
        <v>25.877599795741034</v>
      </c>
      <c r="Q654" s="94">
        <f t="shared" ca="1" si="182"/>
        <v>25.877599795741034</v>
      </c>
      <c r="R654" s="94">
        <f t="shared" ca="1" si="183"/>
        <v>2.5877599795741033</v>
      </c>
      <c r="S654" s="94">
        <f t="shared" ca="1" si="184"/>
        <v>2.5877599795741038</v>
      </c>
      <c r="T654" s="4">
        <f t="shared" ca="1" si="185"/>
        <v>0</v>
      </c>
      <c r="U654" s="46">
        <f t="shared" ca="1" si="186"/>
        <v>1394.8868633777442</v>
      </c>
      <c r="V654" s="4">
        <f t="shared" ca="1" si="187"/>
        <v>0</v>
      </c>
      <c r="W654" s="13">
        <f t="shared" ca="1" si="188"/>
        <v>11778.56860695401</v>
      </c>
      <c r="X654" s="4">
        <f t="shared" ca="1" si="189"/>
        <v>0</v>
      </c>
    </row>
    <row r="655" spans="1:24">
      <c r="A655">
        <v>0</v>
      </c>
      <c r="B655">
        <v>3</v>
      </c>
      <c r="C655">
        <f t="shared" si="171"/>
        <v>5</v>
      </c>
      <c r="D655">
        <f t="shared" si="172"/>
        <v>3</v>
      </c>
      <c r="E655">
        <f t="shared" si="173"/>
        <v>0</v>
      </c>
      <c r="F655" s="100">
        <f t="shared" ca="1" si="174"/>
        <v>0</v>
      </c>
      <c r="G655">
        <v>1</v>
      </c>
      <c r="H655">
        <v>0</v>
      </c>
      <c r="I655">
        <v>7</v>
      </c>
      <c r="J655" s="1">
        <f t="shared" ca="1" si="175"/>
        <v>0</v>
      </c>
      <c r="K655" s="1">
        <f t="shared" ca="1" si="176"/>
        <v>0</v>
      </c>
      <c r="L655" s="13">
        <f t="shared" ca="1" si="177"/>
        <v>156</v>
      </c>
      <c r="M655" s="7">
        <f t="shared" ca="1" si="178"/>
        <v>844</v>
      </c>
      <c r="N655" s="44">
        <f t="shared" ca="1" si="179"/>
        <v>10</v>
      </c>
      <c r="O655" s="94">
        <f t="shared" ca="1" si="180"/>
        <v>2.5877599795741038</v>
      </c>
      <c r="P655" s="94">
        <f t="shared" ca="1" si="181"/>
        <v>25.877599795741034</v>
      </c>
      <c r="Q655" s="94">
        <f t="shared" ca="1" si="182"/>
        <v>25.877599795741034</v>
      </c>
      <c r="R655" s="94">
        <f t="shared" ca="1" si="183"/>
        <v>2.5877599795741033</v>
      </c>
      <c r="S655" s="94">
        <f t="shared" ca="1" si="184"/>
        <v>2.5877599795741038</v>
      </c>
      <c r="T655" s="4">
        <f t="shared" ca="1" si="185"/>
        <v>0</v>
      </c>
      <c r="U655" s="46">
        <f t="shared" ca="1" si="186"/>
        <v>1420.8868633777442</v>
      </c>
      <c r="V655" s="4">
        <f t="shared" ca="1" si="187"/>
        <v>0</v>
      </c>
      <c r="W655" s="13">
        <f t="shared" ca="1" si="188"/>
        <v>15972.716608816479</v>
      </c>
      <c r="X655" s="4">
        <f t="shared" ca="1" si="189"/>
        <v>0</v>
      </c>
    </row>
    <row r="656" spans="1:24">
      <c r="A656">
        <v>0</v>
      </c>
      <c r="B656">
        <v>3</v>
      </c>
      <c r="C656">
        <f t="shared" si="171"/>
        <v>5</v>
      </c>
      <c r="D656">
        <f t="shared" si="172"/>
        <v>3</v>
      </c>
      <c r="E656">
        <f t="shared" si="173"/>
        <v>0</v>
      </c>
      <c r="F656" s="100">
        <f t="shared" ca="1" si="174"/>
        <v>0</v>
      </c>
      <c r="G656">
        <v>1</v>
      </c>
      <c r="H656">
        <v>0</v>
      </c>
      <c r="I656">
        <v>6</v>
      </c>
      <c r="J656" s="1">
        <f t="shared" ca="1" si="175"/>
        <v>0</v>
      </c>
      <c r="K656" s="1">
        <f t="shared" ca="1" si="176"/>
        <v>0</v>
      </c>
      <c r="L656" s="13">
        <f t="shared" ca="1" si="177"/>
        <v>143</v>
      </c>
      <c r="M656" s="7">
        <f t="shared" ca="1" si="178"/>
        <v>857</v>
      </c>
      <c r="N656" s="44">
        <f t="shared" ca="1" si="179"/>
        <v>10</v>
      </c>
      <c r="O656" s="94">
        <f t="shared" ca="1" si="180"/>
        <v>2.5877599795741038</v>
      </c>
      <c r="P656" s="94">
        <f t="shared" ca="1" si="181"/>
        <v>25.877599795741034</v>
      </c>
      <c r="Q656" s="94">
        <f t="shared" ca="1" si="182"/>
        <v>25.877599795741034</v>
      </c>
      <c r="R656" s="94">
        <f t="shared" ca="1" si="183"/>
        <v>2.5877599795741033</v>
      </c>
      <c r="S656" s="94">
        <f t="shared" ca="1" si="184"/>
        <v>2.5877599795741038</v>
      </c>
      <c r="T656" s="4">
        <f t="shared" ca="1" si="185"/>
        <v>0</v>
      </c>
      <c r="U656" s="46">
        <f t="shared" ca="1" si="186"/>
        <v>1407.8868633777442</v>
      </c>
      <c r="V656" s="4">
        <f t="shared" ca="1" si="187"/>
        <v>0</v>
      </c>
      <c r="W656" s="13">
        <f t="shared" ca="1" si="188"/>
        <v>15307.046313344596</v>
      </c>
      <c r="X656" s="4">
        <f t="shared" ca="1" si="189"/>
        <v>0</v>
      </c>
    </row>
    <row r="657" spans="1:24">
      <c r="A657">
        <v>0</v>
      </c>
      <c r="B657">
        <v>3</v>
      </c>
      <c r="C657">
        <f t="shared" si="171"/>
        <v>5</v>
      </c>
      <c r="D657">
        <f t="shared" si="172"/>
        <v>3</v>
      </c>
      <c r="E657">
        <f t="shared" si="173"/>
        <v>0</v>
      </c>
      <c r="F657" s="100">
        <f t="shared" ca="1" si="174"/>
        <v>0</v>
      </c>
      <c r="G657">
        <v>1</v>
      </c>
      <c r="H657">
        <v>0</v>
      </c>
      <c r="I657">
        <v>5</v>
      </c>
      <c r="J657" s="1">
        <f t="shared" ca="1" si="175"/>
        <v>0</v>
      </c>
      <c r="K657" s="1">
        <f t="shared" ca="1" si="176"/>
        <v>0</v>
      </c>
      <c r="L657" s="13">
        <f t="shared" ca="1" si="177"/>
        <v>130</v>
      </c>
      <c r="M657" s="7">
        <f t="shared" ca="1" si="178"/>
        <v>870</v>
      </c>
      <c r="N657" s="44">
        <f t="shared" ca="1" si="179"/>
        <v>10</v>
      </c>
      <c r="O657" s="94">
        <f t="shared" ca="1" si="180"/>
        <v>2.5877599795741038</v>
      </c>
      <c r="P657" s="94">
        <f t="shared" ca="1" si="181"/>
        <v>25.877599795741034</v>
      </c>
      <c r="Q657" s="94">
        <f t="shared" ca="1" si="182"/>
        <v>25.877599795741034</v>
      </c>
      <c r="R657" s="94">
        <f t="shared" ca="1" si="183"/>
        <v>2.5877599795741033</v>
      </c>
      <c r="S657" s="94">
        <f t="shared" ca="1" si="184"/>
        <v>2.5877599795741038</v>
      </c>
      <c r="T657" s="4">
        <f t="shared" ca="1" si="185"/>
        <v>0</v>
      </c>
      <c r="U657" s="46">
        <f t="shared" ca="1" si="186"/>
        <v>1394.8868633777442</v>
      </c>
      <c r="V657" s="4">
        <f t="shared" ca="1" si="187"/>
        <v>0</v>
      </c>
      <c r="W657" s="13">
        <f t="shared" ca="1" si="188"/>
        <v>14641.376017872713</v>
      </c>
      <c r="X657" s="4">
        <f t="shared" ca="1" si="189"/>
        <v>0</v>
      </c>
    </row>
    <row r="658" spans="1:24">
      <c r="A658">
        <v>0</v>
      </c>
      <c r="B658">
        <v>3</v>
      </c>
      <c r="C658">
        <f t="shared" si="171"/>
        <v>5</v>
      </c>
      <c r="D658">
        <f t="shared" si="172"/>
        <v>3</v>
      </c>
      <c r="E658">
        <f t="shared" si="173"/>
        <v>0</v>
      </c>
      <c r="F658" s="100">
        <f t="shared" ca="1" si="174"/>
        <v>0</v>
      </c>
      <c r="G658">
        <v>1</v>
      </c>
      <c r="H658">
        <v>0</v>
      </c>
      <c r="I658">
        <v>4</v>
      </c>
      <c r="J658" s="1">
        <f t="shared" ca="1" si="175"/>
        <v>0</v>
      </c>
      <c r="K658" s="1">
        <f t="shared" ca="1" si="176"/>
        <v>0</v>
      </c>
      <c r="L658" s="13">
        <f t="shared" ca="1" si="177"/>
        <v>117</v>
      </c>
      <c r="M658" s="7">
        <f t="shared" ca="1" si="178"/>
        <v>883</v>
      </c>
      <c r="N658" s="44">
        <f t="shared" ca="1" si="179"/>
        <v>10</v>
      </c>
      <c r="O658" s="94">
        <f t="shared" ca="1" si="180"/>
        <v>2.5877599795741038</v>
      </c>
      <c r="P658" s="94">
        <f t="shared" ca="1" si="181"/>
        <v>25.877599795741034</v>
      </c>
      <c r="Q658" s="94">
        <f t="shared" ca="1" si="182"/>
        <v>25.877599795741034</v>
      </c>
      <c r="R658" s="94">
        <f t="shared" ca="1" si="183"/>
        <v>2.5877599795741033</v>
      </c>
      <c r="S658" s="94">
        <f t="shared" ca="1" si="184"/>
        <v>2.5877599795741038</v>
      </c>
      <c r="T658" s="4">
        <f t="shared" ca="1" si="185"/>
        <v>0</v>
      </c>
      <c r="U658" s="46">
        <f t="shared" ca="1" si="186"/>
        <v>1381.8868633777442</v>
      </c>
      <c r="V658" s="4">
        <f t="shared" ca="1" si="187"/>
        <v>0</v>
      </c>
      <c r="W658" s="13">
        <f t="shared" ca="1" si="188"/>
        <v>13975.705722400829</v>
      </c>
      <c r="X658" s="4">
        <f t="shared" ca="1" si="189"/>
        <v>0</v>
      </c>
    </row>
    <row r="659" spans="1:24">
      <c r="A659">
        <v>0</v>
      </c>
      <c r="B659">
        <v>3</v>
      </c>
      <c r="C659">
        <f t="shared" si="171"/>
        <v>5</v>
      </c>
      <c r="D659">
        <f t="shared" si="172"/>
        <v>3</v>
      </c>
      <c r="E659">
        <f t="shared" si="173"/>
        <v>0</v>
      </c>
      <c r="F659" s="100">
        <f t="shared" ca="1" si="174"/>
        <v>0</v>
      </c>
      <c r="G659">
        <v>1</v>
      </c>
      <c r="H659">
        <v>0</v>
      </c>
      <c r="I659">
        <v>3</v>
      </c>
      <c r="J659" s="1">
        <f t="shared" ca="1" si="175"/>
        <v>9.2178405000000081E-3</v>
      </c>
      <c r="K659" s="1">
        <f t="shared" ca="1" si="176"/>
        <v>0</v>
      </c>
      <c r="L659" s="13">
        <f t="shared" ca="1" si="177"/>
        <v>104</v>
      </c>
      <c r="M659" s="7">
        <f t="shared" ca="1" si="178"/>
        <v>896</v>
      </c>
      <c r="N659" s="44">
        <f t="shared" ca="1" si="179"/>
        <v>11</v>
      </c>
      <c r="O659" s="94">
        <f t="shared" ca="1" si="180"/>
        <v>2.8265749241644089</v>
      </c>
      <c r="P659" s="94">
        <f t="shared" ca="1" si="181"/>
        <v>27.071674518692554</v>
      </c>
      <c r="Q659" s="94">
        <f t="shared" ca="1" si="182"/>
        <v>25.877599795741034</v>
      </c>
      <c r="R659" s="94">
        <f t="shared" ca="1" si="183"/>
        <v>2.6474637157216794</v>
      </c>
      <c r="S659" s="94">
        <f t="shared" ca="1" si="184"/>
        <v>2.8265749241644089</v>
      </c>
      <c r="T659" s="4">
        <f t="shared" ca="1" si="185"/>
        <v>0</v>
      </c>
      <c r="U659" s="46">
        <f t="shared" ca="1" si="186"/>
        <v>1466.7163216869442</v>
      </c>
      <c r="V659" s="4">
        <f t="shared" ca="1" si="187"/>
        <v>0</v>
      </c>
      <c r="W659" s="13">
        <f t="shared" ca="1" si="188"/>
        <v>13310.035426928947</v>
      </c>
      <c r="X659" s="4">
        <f t="shared" ca="1" si="189"/>
        <v>0</v>
      </c>
    </row>
    <row r="660" spans="1:24">
      <c r="A660">
        <v>0</v>
      </c>
      <c r="B660">
        <v>3</v>
      </c>
      <c r="C660">
        <f t="shared" si="171"/>
        <v>5</v>
      </c>
      <c r="D660">
        <f t="shared" si="172"/>
        <v>3</v>
      </c>
      <c r="E660">
        <f t="shared" si="173"/>
        <v>0</v>
      </c>
      <c r="F660" s="100">
        <f t="shared" ca="1" si="174"/>
        <v>0</v>
      </c>
      <c r="G660">
        <v>1</v>
      </c>
      <c r="H660">
        <v>0</v>
      </c>
      <c r="I660">
        <v>2</v>
      </c>
      <c r="J660" s="1">
        <f t="shared" ca="1" si="175"/>
        <v>2.7932850000000046E-4</v>
      </c>
      <c r="K660" s="1">
        <f t="shared" ca="1" si="176"/>
        <v>0</v>
      </c>
      <c r="L660" s="13">
        <f t="shared" ca="1" si="177"/>
        <v>91</v>
      </c>
      <c r="M660" s="7">
        <f t="shared" ca="1" si="178"/>
        <v>909</v>
      </c>
      <c r="N660" s="44">
        <f t="shared" ca="1" si="179"/>
        <v>11</v>
      </c>
      <c r="O660" s="94">
        <f t="shared" ca="1" si="180"/>
        <v>2.8265749241644089</v>
      </c>
      <c r="P660" s="94">
        <f t="shared" ca="1" si="181"/>
        <v>28.265749241644084</v>
      </c>
      <c r="Q660" s="94">
        <f t="shared" ca="1" si="182"/>
        <v>27.788119352463475</v>
      </c>
      <c r="R660" s="94">
        <f t="shared" ca="1" si="183"/>
        <v>2.8026934297053776</v>
      </c>
      <c r="S660" s="94">
        <f t="shared" ca="1" si="184"/>
        <v>2.8265749241644089</v>
      </c>
      <c r="T660" s="4">
        <f t="shared" ca="1" si="185"/>
        <v>0</v>
      </c>
      <c r="U660" s="46">
        <f t="shared" ca="1" si="186"/>
        <v>1453.7163216869442</v>
      </c>
      <c r="V660" s="4">
        <f t="shared" ca="1" si="187"/>
        <v>0</v>
      </c>
      <c r="W660" s="13">
        <f t="shared" ca="1" si="188"/>
        <v>12644.365131457063</v>
      </c>
      <c r="X660" s="4">
        <f t="shared" ca="1" si="189"/>
        <v>0</v>
      </c>
    </row>
    <row r="661" spans="1:24">
      <c r="A661">
        <v>0</v>
      </c>
      <c r="B661">
        <v>3</v>
      </c>
      <c r="C661">
        <f t="shared" si="171"/>
        <v>5</v>
      </c>
      <c r="D661">
        <f t="shared" si="172"/>
        <v>3</v>
      </c>
      <c r="E661">
        <f t="shared" si="173"/>
        <v>0</v>
      </c>
      <c r="F661" s="100">
        <f t="shared" ca="1" si="174"/>
        <v>0</v>
      </c>
      <c r="G661">
        <v>1</v>
      </c>
      <c r="H661">
        <v>0</v>
      </c>
      <c r="I661">
        <v>1</v>
      </c>
      <c r="J661" s="1">
        <f t="shared" ca="1" si="175"/>
        <v>2.8215000000000076E-6</v>
      </c>
      <c r="K661" s="1">
        <f t="shared" ca="1" si="176"/>
        <v>0</v>
      </c>
      <c r="L661" s="13">
        <f t="shared" ca="1" si="177"/>
        <v>78</v>
      </c>
      <c r="M661" s="7">
        <f t="shared" ca="1" si="178"/>
        <v>922</v>
      </c>
      <c r="N661" s="44">
        <f t="shared" ca="1" si="179"/>
        <v>11</v>
      </c>
      <c r="O661" s="94">
        <f t="shared" ca="1" si="180"/>
        <v>2.8265749241644089</v>
      </c>
      <c r="P661" s="94">
        <f t="shared" ca="1" si="181"/>
        <v>28.265749241644084</v>
      </c>
      <c r="Q661" s="94">
        <f t="shared" ca="1" si="182"/>
        <v>28.265749241644084</v>
      </c>
      <c r="R661" s="94">
        <f t="shared" ca="1" si="183"/>
        <v>2.8265749241644085</v>
      </c>
      <c r="S661" s="94">
        <f t="shared" ca="1" si="184"/>
        <v>2.8265749241644089</v>
      </c>
      <c r="T661" s="4">
        <f t="shared" ca="1" si="185"/>
        <v>0</v>
      </c>
      <c r="U661" s="46">
        <f t="shared" ca="1" si="186"/>
        <v>1440.7163216869442</v>
      </c>
      <c r="V661" s="4">
        <f t="shared" ca="1" si="187"/>
        <v>0</v>
      </c>
      <c r="W661" s="13">
        <f t="shared" ca="1" si="188"/>
        <v>11978.694835985181</v>
      </c>
      <c r="X661" s="4">
        <f t="shared" ca="1" si="189"/>
        <v>0</v>
      </c>
    </row>
    <row r="662" spans="1:24">
      <c r="A662">
        <v>0</v>
      </c>
      <c r="B662">
        <v>3</v>
      </c>
      <c r="C662">
        <f t="shared" si="171"/>
        <v>5</v>
      </c>
      <c r="D662">
        <f t="shared" si="172"/>
        <v>3</v>
      </c>
      <c r="E662">
        <f t="shared" si="173"/>
        <v>0</v>
      </c>
      <c r="F662" s="100">
        <f t="shared" ca="1" si="174"/>
        <v>0</v>
      </c>
      <c r="G662">
        <v>1</v>
      </c>
      <c r="H662">
        <v>0</v>
      </c>
      <c r="I662">
        <v>0</v>
      </c>
      <c r="J662" s="1">
        <f t="shared" ca="1" si="175"/>
        <v>9.5000000000000338E-9</v>
      </c>
      <c r="K662" s="1">
        <f t="shared" ca="1" si="176"/>
        <v>0</v>
      </c>
      <c r="L662" s="13">
        <f t="shared" ca="1" si="177"/>
        <v>65</v>
      </c>
      <c r="M662" s="7">
        <f t="shared" ca="1" si="178"/>
        <v>935</v>
      </c>
      <c r="N662" s="44">
        <f t="shared" ca="1" si="179"/>
        <v>11</v>
      </c>
      <c r="O662" s="94">
        <f t="shared" ca="1" si="180"/>
        <v>2.8265749241644089</v>
      </c>
      <c r="P662" s="94">
        <f t="shared" ca="1" si="181"/>
        <v>28.265749241644084</v>
      </c>
      <c r="Q662" s="94">
        <f t="shared" ca="1" si="182"/>
        <v>28.265749241644084</v>
      </c>
      <c r="R662" s="94">
        <f t="shared" ca="1" si="183"/>
        <v>2.8265749241644085</v>
      </c>
      <c r="S662" s="94">
        <f t="shared" ca="1" si="184"/>
        <v>2.8265749241644089</v>
      </c>
      <c r="T662" s="4">
        <f t="shared" ca="1" si="185"/>
        <v>0</v>
      </c>
      <c r="U662" s="46">
        <f t="shared" ca="1" si="186"/>
        <v>1427.7163216869442</v>
      </c>
      <c r="V662" s="4">
        <f t="shared" ca="1" si="187"/>
        <v>0</v>
      </c>
      <c r="W662" s="13">
        <f t="shared" ca="1" si="188"/>
        <v>11313.024540513297</v>
      </c>
      <c r="X662" s="4">
        <f t="shared" ca="1" si="189"/>
        <v>0</v>
      </c>
    </row>
    <row r="663" spans="1:24">
      <c r="A663">
        <v>0</v>
      </c>
      <c r="B663">
        <v>3</v>
      </c>
      <c r="C663">
        <f t="shared" si="171"/>
        <v>5</v>
      </c>
      <c r="D663">
        <f t="shared" si="172"/>
        <v>3</v>
      </c>
      <c r="E663">
        <f t="shared" si="173"/>
        <v>0</v>
      </c>
      <c r="F663" s="100">
        <f t="shared" ca="1" si="174"/>
        <v>0</v>
      </c>
      <c r="G663">
        <v>0</v>
      </c>
      <c r="H663">
        <v>1</v>
      </c>
      <c r="I663">
        <v>7</v>
      </c>
      <c r="J663" s="1">
        <f t="shared" ca="1" si="175"/>
        <v>0</v>
      </c>
      <c r="K663" s="1">
        <f t="shared" ca="1" si="176"/>
        <v>0</v>
      </c>
      <c r="L663" s="13">
        <f t="shared" ca="1" si="177"/>
        <v>156</v>
      </c>
      <c r="M663" s="7">
        <f t="shared" ca="1" si="178"/>
        <v>844</v>
      </c>
      <c r="N663" s="44">
        <f t="shared" ca="1" si="179"/>
        <v>10</v>
      </c>
      <c r="O663" s="94">
        <f t="shared" ca="1" si="180"/>
        <v>2.5877599795741038</v>
      </c>
      <c r="P663" s="94">
        <f t="shared" ca="1" si="181"/>
        <v>25.877599795741034</v>
      </c>
      <c r="Q663" s="94">
        <f t="shared" ca="1" si="182"/>
        <v>25.877599795741034</v>
      </c>
      <c r="R663" s="94">
        <f t="shared" ca="1" si="183"/>
        <v>2.5877599795741033</v>
      </c>
      <c r="S663" s="94">
        <f t="shared" ca="1" si="184"/>
        <v>2.5877599795741038</v>
      </c>
      <c r="T663" s="4">
        <f t="shared" ca="1" si="185"/>
        <v>0</v>
      </c>
      <c r="U663" s="46">
        <f t="shared" ca="1" si="186"/>
        <v>1420.8868633777442</v>
      </c>
      <c r="V663" s="4">
        <f t="shared" ca="1" si="187"/>
        <v>0</v>
      </c>
      <c r="W663" s="13">
        <f t="shared" ca="1" si="188"/>
        <v>5125.2361347438955</v>
      </c>
      <c r="X663" s="4">
        <f t="shared" ca="1" si="189"/>
        <v>0</v>
      </c>
    </row>
    <row r="664" spans="1:24">
      <c r="A664">
        <v>0</v>
      </c>
      <c r="B664">
        <v>3</v>
      </c>
      <c r="C664">
        <f t="shared" si="171"/>
        <v>5</v>
      </c>
      <c r="D664">
        <f t="shared" si="172"/>
        <v>3</v>
      </c>
      <c r="E664">
        <f t="shared" si="173"/>
        <v>0</v>
      </c>
      <c r="F664" s="100">
        <f t="shared" ca="1" si="174"/>
        <v>0</v>
      </c>
      <c r="G664">
        <v>0</v>
      </c>
      <c r="H664">
        <v>1</v>
      </c>
      <c r="I664">
        <v>6</v>
      </c>
      <c r="J664" s="1">
        <f t="shared" ca="1" si="175"/>
        <v>0</v>
      </c>
      <c r="K664" s="1">
        <f t="shared" ca="1" si="176"/>
        <v>0</v>
      </c>
      <c r="L664" s="13">
        <f t="shared" ca="1" si="177"/>
        <v>143</v>
      </c>
      <c r="M664" s="7">
        <f t="shared" ca="1" si="178"/>
        <v>857</v>
      </c>
      <c r="N664" s="44">
        <f t="shared" ca="1" si="179"/>
        <v>10</v>
      </c>
      <c r="O664" s="94">
        <f t="shared" ca="1" si="180"/>
        <v>2.5877599795741038</v>
      </c>
      <c r="P664" s="94">
        <f t="shared" ca="1" si="181"/>
        <v>25.877599795741034</v>
      </c>
      <c r="Q664" s="94">
        <f t="shared" ca="1" si="182"/>
        <v>25.877599795741034</v>
      </c>
      <c r="R664" s="94">
        <f t="shared" ca="1" si="183"/>
        <v>2.5877599795741033</v>
      </c>
      <c r="S664" s="94">
        <f t="shared" ca="1" si="184"/>
        <v>2.5877599795741038</v>
      </c>
      <c r="T664" s="4">
        <f t="shared" ca="1" si="185"/>
        <v>0</v>
      </c>
      <c r="U664" s="46">
        <f t="shared" ca="1" si="186"/>
        <v>1407.8868633777442</v>
      </c>
      <c r="V664" s="4">
        <f t="shared" ca="1" si="187"/>
        <v>0</v>
      </c>
      <c r="W664" s="13">
        <f t="shared" ca="1" si="188"/>
        <v>4459.5658392720125</v>
      </c>
      <c r="X664" s="4">
        <f t="shared" ca="1" si="189"/>
        <v>0</v>
      </c>
    </row>
    <row r="665" spans="1:24">
      <c r="A665">
        <v>0</v>
      </c>
      <c r="B665">
        <v>3</v>
      </c>
      <c r="C665">
        <f t="shared" si="171"/>
        <v>5</v>
      </c>
      <c r="D665">
        <f t="shared" si="172"/>
        <v>3</v>
      </c>
      <c r="E665">
        <f t="shared" si="173"/>
        <v>0</v>
      </c>
      <c r="F665" s="100">
        <f t="shared" ca="1" si="174"/>
        <v>0</v>
      </c>
      <c r="G665">
        <v>0</v>
      </c>
      <c r="H665">
        <v>1</v>
      </c>
      <c r="I665">
        <v>5</v>
      </c>
      <c r="J665" s="1">
        <f t="shared" ca="1" si="175"/>
        <v>0</v>
      </c>
      <c r="K665" s="1">
        <f t="shared" ca="1" si="176"/>
        <v>0</v>
      </c>
      <c r="L665" s="13">
        <f t="shared" ca="1" si="177"/>
        <v>130</v>
      </c>
      <c r="M665" s="7">
        <f t="shared" ca="1" si="178"/>
        <v>870</v>
      </c>
      <c r="N665" s="44">
        <f t="shared" ca="1" si="179"/>
        <v>10</v>
      </c>
      <c r="O665" s="94">
        <f t="shared" ca="1" si="180"/>
        <v>2.5877599795741038</v>
      </c>
      <c r="P665" s="94">
        <f t="shared" ca="1" si="181"/>
        <v>25.877599795741034</v>
      </c>
      <c r="Q665" s="94">
        <f t="shared" ca="1" si="182"/>
        <v>25.877599795741034</v>
      </c>
      <c r="R665" s="94">
        <f t="shared" ca="1" si="183"/>
        <v>2.5877599795741033</v>
      </c>
      <c r="S665" s="94">
        <f t="shared" ca="1" si="184"/>
        <v>2.5877599795741038</v>
      </c>
      <c r="T665" s="4">
        <f t="shared" ca="1" si="185"/>
        <v>0</v>
      </c>
      <c r="U665" s="46">
        <f t="shared" ca="1" si="186"/>
        <v>1394.8868633777442</v>
      </c>
      <c r="V665" s="4">
        <f t="shared" ca="1" si="187"/>
        <v>0</v>
      </c>
      <c r="W665" s="13">
        <f t="shared" ca="1" si="188"/>
        <v>3793.895543800129</v>
      </c>
      <c r="X665" s="4">
        <f t="shared" ca="1" si="189"/>
        <v>0</v>
      </c>
    </row>
    <row r="666" spans="1:24">
      <c r="A666">
        <v>0</v>
      </c>
      <c r="B666">
        <v>3</v>
      </c>
      <c r="C666">
        <f t="shared" si="171"/>
        <v>5</v>
      </c>
      <c r="D666">
        <f t="shared" si="172"/>
        <v>3</v>
      </c>
      <c r="E666">
        <f t="shared" si="173"/>
        <v>0</v>
      </c>
      <c r="F666" s="100">
        <f t="shared" ca="1" si="174"/>
        <v>0</v>
      </c>
      <c r="G666">
        <v>0</v>
      </c>
      <c r="H666">
        <v>1</v>
      </c>
      <c r="I666">
        <v>4</v>
      </c>
      <c r="J666" s="1">
        <f t="shared" ca="1" si="175"/>
        <v>0</v>
      </c>
      <c r="K666" s="1">
        <f t="shared" ca="1" si="176"/>
        <v>0</v>
      </c>
      <c r="L666" s="13">
        <f t="shared" ca="1" si="177"/>
        <v>117</v>
      </c>
      <c r="M666" s="7">
        <f t="shared" ca="1" si="178"/>
        <v>883</v>
      </c>
      <c r="N666" s="44">
        <f t="shared" ca="1" si="179"/>
        <v>10</v>
      </c>
      <c r="O666" s="94">
        <f t="shared" ca="1" si="180"/>
        <v>2.5877599795741038</v>
      </c>
      <c r="P666" s="94">
        <f t="shared" ca="1" si="181"/>
        <v>25.877599795741034</v>
      </c>
      <c r="Q666" s="94">
        <f t="shared" ca="1" si="182"/>
        <v>25.877599795741034</v>
      </c>
      <c r="R666" s="94">
        <f t="shared" ca="1" si="183"/>
        <v>2.5877599795741033</v>
      </c>
      <c r="S666" s="94">
        <f t="shared" ca="1" si="184"/>
        <v>2.5877599795741038</v>
      </c>
      <c r="T666" s="4">
        <f t="shared" ca="1" si="185"/>
        <v>0</v>
      </c>
      <c r="U666" s="46">
        <f t="shared" ca="1" si="186"/>
        <v>1381.8868633777442</v>
      </c>
      <c r="V666" s="4">
        <f t="shared" ca="1" si="187"/>
        <v>0</v>
      </c>
      <c r="W666" s="13">
        <f t="shared" ca="1" si="188"/>
        <v>3128.2252483282455</v>
      </c>
      <c r="X666" s="4">
        <f t="shared" ca="1" si="189"/>
        <v>0</v>
      </c>
    </row>
    <row r="667" spans="1:24">
      <c r="A667">
        <v>0</v>
      </c>
      <c r="B667">
        <v>3</v>
      </c>
      <c r="C667">
        <f t="shared" si="171"/>
        <v>5</v>
      </c>
      <c r="D667">
        <f t="shared" si="172"/>
        <v>3</v>
      </c>
      <c r="E667">
        <f t="shared" si="173"/>
        <v>0</v>
      </c>
      <c r="F667" s="100">
        <f t="shared" ca="1" si="174"/>
        <v>0</v>
      </c>
      <c r="G667">
        <v>0</v>
      </c>
      <c r="H667">
        <v>1</v>
      </c>
      <c r="I667">
        <v>3</v>
      </c>
      <c r="J667" s="1">
        <f t="shared" ca="1" si="175"/>
        <v>4.8029800499999997E-2</v>
      </c>
      <c r="K667" s="1">
        <f t="shared" ca="1" si="176"/>
        <v>0</v>
      </c>
      <c r="L667" s="13">
        <f t="shared" ca="1" si="177"/>
        <v>104</v>
      </c>
      <c r="M667" s="7">
        <f t="shared" ca="1" si="178"/>
        <v>896</v>
      </c>
      <c r="N667" s="44">
        <f t="shared" ca="1" si="179"/>
        <v>11</v>
      </c>
      <c r="O667" s="94">
        <f t="shared" ca="1" si="180"/>
        <v>2.8265749241644089</v>
      </c>
      <c r="P667" s="94">
        <f t="shared" ca="1" si="181"/>
        <v>27.071674518692554</v>
      </c>
      <c r="Q667" s="94">
        <f t="shared" ca="1" si="182"/>
        <v>25.877599795741034</v>
      </c>
      <c r="R667" s="94">
        <f t="shared" ca="1" si="183"/>
        <v>2.6474637157216794</v>
      </c>
      <c r="S667" s="94">
        <f t="shared" ca="1" si="184"/>
        <v>2.8265749241644089</v>
      </c>
      <c r="T667" s="4">
        <f t="shared" ca="1" si="185"/>
        <v>0</v>
      </c>
      <c r="U667" s="46">
        <f t="shared" ca="1" si="186"/>
        <v>1466.7163216869442</v>
      </c>
      <c r="V667" s="4">
        <f t="shared" ca="1" si="187"/>
        <v>0</v>
      </c>
      <c r="W667" s="13">
        <f t="shared" ca="1" si="188"/>
        <v>2462.5549528563624</v>
      </c>
      <c r="X667" s="4">
        <f t="shared" ca="1" si="189"/>
        <v>0</v>
      </c>
    </row>
    <row r="668" spans="1:24">
      <c r="A668">
        <v>0</v>
      </c>
      <c r="B668">
        <v>3</v>
      </c>
      <c r="C668">
        <f t="shared" si="171"/>
        <v>5</v>
      </c>
      <c r="D668">
        <f t="shared" si="172"/>
        <v>3</v>
      </c>
      <c r="E668">
        <f t="shared" si="173"/>
        <v>0</v>
      </c>
      <c r="F668" s="100">
        <f t="shared" ca="1" si="174"/>
        <v>0</v>
      </c>
      <c r="G668">
        <v>0</v>
      </c>
      <c r="H668">
        <v>1</v>
      </c>
      <c r="I668">
        <v>2</v>
      </c>
      <c r="J668" s="1">
        <f t="shared" ca="1" si="175"/>
        <v>1.4554485000000013E-3</v>
      </c>
      <c r="K668" s="1">
        <f t="shared" ca="1" si="176"/>
        <v>0</v>
      </c>
      <c r="L668" s="13">
        <f t="shared" ca="1" si="177"/>
        <v>91</v>
      </c>
      <c r="M668" s="7">
        <f t="shared" ca="1" si="178"/>
        <v>909</v>
      </c>
      <c r="N668" s="44">
        <f t="shared" ca="1" si="179"/>
        <v>11</v>
      </c>
      <c r="O668" s="94">
        <f t="shared" ca="1" si="180"/>
        <v>2.8265749241644089</v>
      </c>
      <c r="P668" s="94">
        <f t="shared" ca="1" si="181"/>
        <v>28.265749241644084</v>
      </c>
      <c r="Q668" s="94">
        <f t="shared" ca="1" si="182"/>
        <v>27.788119352463475</v>
      </c>
      <c r="R668" s="94">
        <f t="shared" ca="1" si="183"/>
        <v>2.8026934297053776</v>
      </c>
      <c r="S668" s="94">
        <f t="shared" ca="1" si="184"/>
        <v>2.8265749241644089</v>
      </c>
      <c r="T668" s="4">
        <f t="shared" ca="1" si="185"/>
        <v>0</v>
      </c>
      <c r="U668" s="46">
        <f t="shared" ca="1" si="186"/>
        <v>1453.7163216869442</v>
      </c>
      <c r="V668" s="4">
        <f t="shared" ca="1" si="187"/>
        <v>0</v>
      </c>
      <c r="W668" s="13">
        <f t="shared" ca="1" si="188"/>
        <v>1796.8846573844794</v>
      </c>
      <c r="X668" s="4">
        <f t="shared" ca="1" si="189"/>
        <v>0</v>
      </c>
    </row>
    <row r="669" spans="1:24">
      <c r="A669">
        <v>0</v>
      </c>
      <c r="B669">
        <v>3</v>
      </c>
      <c r="C669">
        <f t="shared" si="171"/>
        <v>5</v>
      </c>
      <c r="D669">
        <f t="shared" si="172"/>
        <v>3</v>
      </c>
      <c r="E669">
        <f t="shared" si="173"/>
        <v>0</v>
      </c>
      <c r="F669" s="100">
        <f t="shared" ca="1" si="174"/>
        <v>0</v>
      </c>
      <c r="G669">
        <v>0</v>
      </c>
      <c r="H669">
        <v>1</v>
      </c>
      <c r="I669">
        <v>1</v>
      </c>
      <c r="J669" s="1">
        <f t="shared" ca="1" si="175"/>
        <v>1.4701500000000029E-5</v>
      </c>
      <c r="K669" s="1">
        <f t="shared" ca="1" si="176"/>
        <v>0</v>
      </c>
      <c r="L669" s="13">
        <f t="shared" ca="1" si="177"/>
        <v>78</v>
      </c>
      <c r="M669" s="7">
        <f t="shared" ca="1" si="178"/>
        <v>922</v>
      </c>
      <c r="N669" s="44">
        <f t="shared" ca="1" si="179"/>
        <v>11</v>
      </c>
      <c r="O669" s="94">
        <f t="shared" ca="1" si="180"/>
        <v>2.8265749241644089</v>
      </c>
      <c r="P669" s="94">
        <f t="shared" ca="1" si="181"/>
        <v>28.265749241644084</v>
      </c>
      <c r="Q669" s="94">
        <f t="shared" ca="1" si="182"/>
        <v>28.265749241644084</v>
      </c>
      <c r="R669" s="94">
        <f t="shared" ca="1" si="183"/>
        <v>2.8265749241644085</v>
      </c>
      <c r="S669" s="94">
        <f t="shared" ca="1" si="184"/>
        <v>2.8265749241644089</v>
      </c>
      <c r="T669" s="4">
        <f t="shared" ca="1" si="185"/>
        <v>0</v>
      </c>
      <c r="U669" s="46">
        <f t="shared" ca="1" si="186"/>
        <v>1440.7163216869442</v>
      </c>
      <c r="V669" s="4">
        <f t="shared" ca="1" si="187"/>
        <v>0</v>
      </c>
      <c r="W669" s="13">
        <f t="shared" ca="1" si="188"/>
        <v>1131.2143619125961</v>
      </c>
      <c r="X669" s="4">
        <f t="shared" ca="1" si="189"/>
        <v>0</v>
      </c>
    </row>
    <row r="670" spans="1:24">
      <c r="A670">
        <v>0</v>
      </c>
      <c r="B670">
        <v>3</v>
      </c>
      <c r="C670">
        <f t="shared" si="171"/>
        <v>5</v>
      </c>
      <c r="D670">
        <f t="shared" si="172"/>
        <v>3</v>
      </c>
      <c r="E670">
        <f t="shared" si="173"/>
        <v>0</v>
      </c>
      <c r="F670" s="100">
        <f t="shared" ca="1" si="174"/>
        <v>0</v>
      </c>
      <c r="G670">
        <v>0</v>
      </c>
      <c r="H670">
        <v>1</v>
      </c>
      <c r="I670">
        <v>0</v>
      </c>
      <c r="J670" s="1">
        <f t="shared" ca="1" si="175"/>
        <v>4.9500000000000139E-8</v>
      </c>
      <c r="K670" s="1">
        <f t="shared" ca="1" si="176"/>
        <v>0</v>
      </c>
      <c r="L670" s="13">
        <f t="shared" ca="1" si="177"/>
        <v>65</v>
      </c>
      <c r="M670" s="7">
        <f t="shared" ca="1" si="178"/>
        <v>935</v>
      </c>
      <c r="N670" s="44">
        <f t="shared" ca="1" si="179"/>
        <v>11</v>
      </c>
      <c r="O670" s="94">
        <f t="shared" ca="1" si="180"/>
        <v>2.8265749241644089</v>
      </c>
      <c r="P670" s="94">
        <f t="shared" ca="1" si="181"/>
        <v>28.265749241644084</v>
      </c>
      <c r="Q670" s="94">
        <f t="shared" ca="1" si="182"/>
        <v>28.265749241644084</v>
      </c>
      <c r="R670" s="94">
        <f t="shared" ca="1" si="183"/>
        <v>2.8265749241644085</v>
      </c>
      <c r="S670" s="94">
        <f t="shared" ca="1" si="184"/>
        <v>2.8265749241644089</v>
      </c>
      <c r="T670" s="4">
        <f t="shared" ca="1" si="185"/>
        <v>0</v>
      </c>
      <c r="U670" s="46">
        <f t="shared" ca="1" si="186"/>
        <v>1427.7163216869442</v>
      </c>
      <c r="V670" s="4">
        <f t="shared" ca="1" si="187"/>
        <v>0</v>
      </c>
      <c r="W670" s="13">
        <f t="shared" ca="1" si="188"/>
        <v>465.54406644071304</v>
      </c>
      <c r="X670" s="4">
        <f t="shared" ca="1" si="189"/>
        <v>0</v>
      </c>
    </row>
    <row r="671" spans="1:24">
      <c r="A671">
        <v>0</v>
      </c>
      <c r="B671">
        <v>3</v>
      </c>
      <c r="C671">
        <f t="shared" si="171"/>
        <v>5</v>
      </c>
      <c r="D671">
        <f t="shared" si="172"/>
        <v>3</v>
      </c>
      <c r="E671">
        <f t="shared" si="173"/>
        <v>0</v>
      </c>
      <c r="F671" s="100">
        <f t="shared" ca="1" si="174"/>
        <v>0</v>
      </c>
      <c r="G671">
        <v>0</v>
      </c>
      <c r="H671">
        <v>0</v>
      </c>
      <c r="I671">
        <v>7</v>
      </c>
      <c r="J671" s="1">
        <f t="shared" ca="1" si="175"/>
        <v>0</v>
      </c>
      <c r="K671" s="1">
        <f t="shared" ca="1" si="176"/>
        <v>0</v>
      </c>
      <c r="L671" s="13">
        <f t="shared" ca="1" si="177"/>
        <v>91</v>
      </c>
      <c r="M671" s="7">
        <f t="shared" ca="1" si="178"/>
        <v>909</v>
      </c>
      <c r="N671" s="44">
        <f t="shared" ca="1" si="179"/>
        <v>11</v>
      </c>
      <c r="O671" s="94">
        <f t="shared" ca="1" si="180"/>
        <v>2.8265749241644089</v>
      </c>
      <c r="P671" s="94">
        <f t="shared" ca="1" si="181"/>
        <v>28.265749241644084</v>
      </c>
      <c r="Q671" s="94">
        <f t="shared" ca="1" si="182"/>
        <v>27.788119352463475</v>
      </c>
      <c r="R671" s="94">
        <f t="shared" ca="1" si="183"/>
        <v>2.8026934297053776</v>
      </c>
      <c r="S671" s="94">
        <f t="shared" ca="1" si="184"/>
        <v>2.8265749241644089</v>
      </c>
      <c r="T671" s="4">
        <f t="shared" ca="1" si="185"/>
        <v>0</v>
      </c>
      <c r="U671" s="46">
        <f t="shared" ca="1" si="186"/>
        <v>1453.7163216869442</v>
      </c>
      <c r="V671" s="4">
        <f t="shared" ca="1" si="187"/>
        <v>0</v>
      </c>
      <c r="W671" s="13">
        <f t="shared" ca="1" si="188"/>
        <v>4659.6920683031822</v>
      </c>
      <c r="X671" s="4">
        <f t="shared" ca="1" si="189"/>
        <v>0</v>
      </c>
    </row>
    <row r="672" spans="1:24">
      <c r="A672">
        <v>0</v>
      </c>
      <c r="B672">
        <v>3</v>
      </c>
      <c r="C672">
        <f t="shared" si="171"/>
        <v>5</v>
      </c>
      <c r="D672">
        <f t="shared" si="172"/>
        <v>3</v>
      </c>
      <c r="E672">
        <f t="shared" si="173"/>
        <v>0</v>
      </c>
      <c r="F672" s="100">
        <f t="shared" ca="1" si="174"/>
        <v>0</v>
      </c>
      <c r="G672">
        <v>0</v>
      </c>
      <c r="H672">
        <v>0</v>
      </c>
      <c r="I672">
        <v>6</v>
      </c>
      <c r="J672" s="1">
        <f t="shared" ca="1" si="175"/>
        <v>0</v>
      </c>
      <c r="K672" s="1">
        <f t="shared" ca="1" si="176"/>
        <v>0</v>
      </c>
      <c r="L672" s="13">
        <f t="shared" ca="1" si="177"/>
        <v>78</v>
      </c>
      <c r="M672" s="7">
        <f t="shared" ca="1" si="178"/>
        <v>922</v>
      </c>
      <c r="N672" s="44">
        <f t="shared" ca="1" si="179"/>
        <v>11</v>
      </c>
      <c r="O672" s="94">
        <f t="shared" ca="1" si="180"/>
        <v>2.8265749241644089</v>
      </c>
      <c r="P672" s="94">
        <f t="shared" ca="1" si="181"/>
        <v>28.265749241644084</v>
      </c>
      <c r="Q672" s="94">
        <f t="shared" ca="1" si="182"/>
        <v>28.265749241644084</v>
      </c>
      <c r="R672" s="94">
        <f t="shared" ca="1" si="183"/>
        <v>2.8265749241644085</v>
      </c>
      <c r="S672" s="94">
        <f t="shared" ca="1" si="184"/>
        <v>2.8265749241644089</v>
      </c>
      <c r="T672" s="4">
        <f t="shared" ca="1" si="185"/>
        <v>0</v>
      </c>
      <c r="U672" s="46">
        <f t="shared" ca="1" si="186"/>
        <v>1440.7163216869442</v>
      </c>
      <c r="V672" s="4">
        <f t="shared" ca="1" si="187"/>
        <v>0</v>
      </c>
      <c r="W672" s="13">
        <f t="shared" ca="1" si="188"/>
        <v>3994.0217728312991</v>
      </c>
      <c r="X672" s="4">
        <f t="shared" ca="1" si="189"/>
        <v>0</v>
      </c>
    </row>
    <row r="673" spans="1:24">
      <c r="A673">
        <v>0</v>
      </c>
      <c r="B673">
        <v>3</v>
      </c>
      <c r="C673">
        <f t="shared" si="171"/>
        <v>5</v>
      </c>
      <c r="D673">
        <f t="shared" si="172"/>
        <v>3</v>
      </c>
      <c r="E673">
        <f t="shared" si="173"/>
        <v>0</v>
      </c>
      <c r="F673" s="100">
        <f t="shared" ca="1" si="174"/>
        <v>0</v>
      </c>
      <c r="G673">
        <v>0</v>
      </c>
      <c r="H673">
        <v>0</v>
      </c>
      <c r="I673">
        <v>5</v>
      </c>
      <c r="J673" s="1">
        <f t="shared" ca="1" si="175"/>
        <v>0</v>
      </c>
      <c r="K673" s="1">
        <f t="shared" ca="1" si="176"/>
        <v>0</v>
      </c>
      <c r="L673" s="13">
        <f t="shared" ca="1" si="177"/>
        <v>65</v>
      </c>
      <c r="M673" s="7">
        <f t="shared" ca="1" si="178"/>
        <v>935</v>
      </c>
      <c r="N673" s="44">
        <f t="shared" ca="1" si="179"/>
        <v>11</v>
      </c>
      <c r="O673" s="94">
        <f t="shared" ca="1" si="180"/>
        <v>2.8265749241644089</v>
      </c>
      <c r="P673" s="94">
        <f t="shared" ca="1" si="181"/>
        <v>28.265749241644084</v>
      </c>
      <c r="Q673" s="94">
        <f t="shared" ca="1" si="182"/>
        <v>28.265749241644084</v>
      </c>
      <c r="R673" s="94">
        <f t="shared" ca="1" si="183"/>
        <v>2.8265749241644085</v>
      </c>
      <c r="S673" s="94">
        <f t="shared" ca="1" si="184"/>
        <v>2.8265749241644089</v>
      </c>
      <c r="T673" s="4">
        <f t="shared" ca="1" si="185"/>
        <v>0</v>
      </c>
      <c r="U673" s="46">
        <f t="shared" ca="1" si="186"/>
        <v>1427.7163216869442</v>
      </c>
      <c r="V673" s="4">
        <f t="shared" ca="1" si="187"/>
        <v>0</v>
      </c>
      <c r="W673" s="13">
        <f t="shared" ca="1" si="188"/>
        <v>3328.3514773594161</v>
      </c>
      <c r="X673" s="4">
        <f t="shared" ca="1" si="189"/>
        <v>0</v>
      </c>
    </row>
    <row r="674" spans="1:24">
      <c r="A674">
        <v>0</v>
      </c>
      <c r="B674">
        <v>3</v>
      </c>
      <c r="C674">
        <f t="shared" si="171"/>
        <v>5</v>
      </c>
      <c r="D674">
        <f t="shared" si="172"/>
        <v>3</v>
      </c>
      <c r="E674">
        <f t="shared" si="173"/>
        <v>0</v>
      </c>
      <c r="F674" s="100">
        <f t="shared" ca="1" si="174"/>
        <v>0</v>
      </c>
      <c r="G674">
        <v>0</v>
      </c>
      <c r="H674">
        <v>0</v>
      </c>
      <c r="I674">
        <v>4</v>
      </c>
      <c r="J674" s="1">
        <f t="shared" ca="1" si="175"/>
        <v>0</v>
      </c>
      <c r="K674" s="1">
        <f t="shared" ca="1" si="176"/>
        <v>0</v>
      </c>
      <c r="L674" s="13">
        <f t="shared" ca="1" si="177"/>
        <v>52</v>
      </c>
      <c r="M674" s="7">
        <f t="shared" ca="1" si="178"/>
        <v>948</v>
      </c>
      <c r="N674" s="44">
        <f t="shared" ca="1" si="179"/>
        <v>11</v>
      </c>
      <c r="O674" s="94">
        <f t="shared" ca="1" si="180"/>
        <v>2.8265749241644089</v>
      </c>
      <c r="P674" s="94">
        <f t="shared" ca="1" si="181"/>
        <v>28.265749241644084</v>
      </c>
      <c r="Q674" s="94">
        <f t="shared" ca="1" si="182"/>
        <v>28.265749241644084</v>
      </c>
      <c r="R674" s="94">
        <f t="shared" ca="1" si="183"/>
        <v>2.8265749241644085</v>
      </c>
      <c r="S674" s="94">
        <f t="shared" ca="1" si="184"/>
        <v>2.8265749241644089</v>
      </c>
      <c r="T674" s="4">
        <f t="shared" ca="1" si="185"/>
        <v>0</v>
      </c>
      <c r="U674" s="46">
        <f t="shared" ca="1" si="186"/>
        <v>1414.7163216869442</v>
      </c>
      <c r="V674" s="4">
        <f t="shared" ca="1" si="187"/>
        <v>0</v>
      </c>
      <c r="W674" s="13">
        <f t="shared" ca="1" si="188"/>
        <v>2662.6811818875326</v>
      </c>
      <c r="X674" s="4">
        <f t="shared" ca="1" si="189"/>
        <v>0</v>
      </c>
    </row>
    <row r="675" spans="1:24">
      <c r="A675">
        <v>0</v>
      </c>
      <c r="B675">
        <v>3</v>
      </c>
      <c r="C675">
        <f t="shared" si="171"/>
        <v>5</v>
      </c>
      <c r="D675">
        <f t="shared" si="172"/>
        <v>3</v>
      </c>
      <c r="E675">
        <f t="shared" si="173"/>
        <v>0</v>
      </c>
      <c r="F675" s="100">
        <f t="shared" ca="1" si="174"/>
        <v>0</v>
      </c>
      <c r="G675">
        <v>0</v>
      </c>
      <c r="H675">
        <v>0</v>
      </c>
      <c r="I675">
        <v>3</v>
      </c>
      <c r="J675" s="1">
        <f t="shared" ca="1" si="175"/>
        <v>4.8514950000000037E-4</v>
      </c>
      <c r="K675" s="1">
        <f t="shared" ca="1" si="176"/>
        <v>0</v>
      </c>
      <c r="L675" s="13">
        <f t="shared" ca="1" si="177"/>
        <v>39</v>
      </c>
      <c r="M675" s="7">
        <f t="shared" ca="1" si="178"/>
        <v>961</v>
      </c>
      <c r="N675" s="44">
        <f t="shared" ca="1" si="179"/>
        <v>11</v>
      </c>
      <c r="O675" s="94">
        <f t="shared" ca="1" si="180"/>
        <v>2.8265749241644089</v>
      </c>
      <c r="P675" s="94">
        <f t="shared" ca="1" si="181"/>
        <v>28.265749241644084</v>
      </c>
      <c r="Q675" s="94">
        <f t="shared" ca="1" si="182"/>
        <v>28.265749241644084</v>
      </c>
      <c r="R675" s="94">
        <f t="shared" ca="1" si="183"/>
        <v>2.8265749241644085</v>
      </c>
      <c r="S675" s="94">
        <f t="shared" ca="1" si="184"/>
        <v>2.8265749241644089</v>
      </c>
      <c r="T675" s="4">
        <f t="shared" ca="1" si="185"/>
        <v>0</v>
      </c>
      <c r="U675" s="46">
        <f t="shared" ca="1" si="186"/>
        <v>1401.7163216869442</v>
      </c>
      <c r="V675" s="4">
        <f t="shared" ca="1" si="187"/>
        <v>0</v>
      </c>
      <c r="W675" s="13">
        <f t="shared" ca="1" si="188"/>
        <v>1997.0108864156496</v>
      </c>
      <c r="X675" s="4">
        <f t="shared" ca="1" si="189"/>
        <v>0</v>
      </c>
    </row>
    <row r="676" spans="1:24">
      <c r="A676">
        <v>0</v>
      </c>
      <c r="B676">
        <v>3</v>
      </c>
      <c r="C676">
        <f t="shared" si="171"/>
        <v>5</v>
      </c>
      <c r="D676">
        <f t="shared" si="172"/>
        <v>3</v>
      </c>
      <c r="E676">
        <f t="shared" si="173"/>
        <v>0</v>
      </c>
      <c r="F676" s="100">
        <f t="shared" ca="1" si="174"/>
        <v>0</v>
      </c>
      <c r="G676">
        <v>0</v>
      </c>
      <c r="H676">
        <v>0</v>
      </c>
      <c r="I676">
        <v>2</v>
      </c>
      <c r="J676" s="1">
        <f t="shared" ca="1" si="175"/>
        <v>1.4701500000000025E-5</v>
      </c>
      <c r="K676" s="1">
        <f t="shared" ca="1" si="176"/>
        <v>0</v>
      </c>
      <c r="L676" s="13">
        <f t="shared" ca="1" si="177"/>
        <v>26</v>
      </c>
      <c r="M676" s="7">
        <f t="shared" ca="1" si="178"/>
        <v>974</v>
      </c>
      <c r="N676" s="44">
        <f t="shared" ca="1" si="179"/>
        <v>11</v>
      </c>
      <c r="O676" s="94">
        <f t="shared" ca="1" si="180"/>
        <v>2.8265749241644089</v>
      </c>
      <c r="P676" s="94">
        <f t="shared" ca="1" si="181"/>
        <v>28.265749241644084</v>
      </c>
      <c r="Q676" s="94">
        <f t="shared" ca="1" si="182"/>
        <v>28.265749241644084</v>
      </c>
      <c r="R676" s="94">
        <f t="shared" ca="1" si="183"/>
        <v>2.8265749241644085</v>
      </c>
      <c r="S676" s="94">
        <f t="shared" ca="1" si="184"/>
        <v>2.8265749241644089</v>
      </c>
      <c r="T676" s="4">
        <f t="shared" ca="1" si="185"/>
        <v>0</v>
      </c>
      <c r="U676" s="46">
        <f t="shared" ca="1" si="186"/>
        <v>1388.7163216869442</v>
      </c>
      <c r="V676" s="4">
        <f t="shared" ca="1" si="187"/>
        <v>0</v>
      </c>
      <c r="W676" s="13">
        <f t="shared" ca="1" si="188"/>
        <v>1331.3405909437663</v>
      </c>
      <c r="X676" s="4">
        <f t="shared" ca="1" si="189"/>
        <v>0</v>
      </c>
    </row>
    <row r="677" spans="1:24">
      <c r="A677">
        <v>0</v>
      </c>
      <c r="B677">
        <v>3</v>
      </c>
      <c r="C677">
        <f t="shared" si="171"/>
        <v>5</v>
      </c>
      <c r="D677">
        <f t="shared" si="172"/>
        <v>3</v>
      </c>
      <c r="E677">
        <f t="shared" si="173"/>
        <v>0</v>
      </c>
      <c r="F677" s="100">
        <f t="shared" ca="1" si="174"/>
        <v>0</v>
      </c>
      <c r="G677">
        <v>0</v>
      </c>
      <c r="H677">
        <v>0</v>
      </c>
      <c r="I677">
        <v>1</v>
      </c>
      <c r="J677" s="1">
        <f t="shared" ca="1" si="175"/>
        <v>1.4850000000000041E-7</v>
      </c>
      <c r="K677" s="1">
        <f t="shared" ca="1" si="176"/>
        <v>0</v>
      </c>
      <c r="L677" s="13">
        <f t="shared" ca="1" si="177"/>
        <v>13</v>
      </c>
      <c r="M677" s="7">
        <f t="shared" ca="1" si="178"/>
        <v>987</v>
      </c>
      <c r="N677" s="44">
        <f t="shared" ca="1" si="179"/>
        <v>12</v>
      </c>
      <c r="O677" s="94">
        <f t="shared" ca="1" si="180"/>
        <v>3.049271339469791</v>
      </c>
      <c r="P677" s="94">
        <f t="shared" ca="1" si="181"/>
        <v>29.824624148781758</v>
      </c>
      <c r="Q677" s="94">
        <f t="shared" ca="1" si="182"/>
        <v>28.265749241644084</v>
      </c>
      <c r="R677" s="94">
        <f t="shared" ca="1" si="183"/>
        <v>2.9045186695212921</v>
      </c>
      <c r="S677" s="94">
        <f t="shared" ca="1" si="184"/>
        <v>3.049271339469791</v>
      </c>
      <c r="T677" s="4">
        <f t="shared" ca="1" si="185"/>
        <v>0</v>
      </c>
      <c r="U677" s="46">
        <f t="shared" ca="1" si="186"/>
        <v>1466.9428976204611</v>
      </c>
      <c r="V677" s="4">
        <f t="shared" ca="1" si="187"/>
        <v>0</v>
      </c>
      <c r="W677" s="13">
        <f t="shared" ca="1" si="188"/>
        <v>665.67029547188315</v>
      </c>
      <c r="X677" s="4">
        <f t="shared" ca="1" si="189"/>
        <v>0</v>
      </c>
    </row>
    <row r="678" spans="1:24">
      <c r="A678">
        <v>0</v>
      </c>
      <c r="B678">
        <v>3</v>
      </c>
      <c r="C678">
        <f t="shared" si="171"/>
        <v>5</v>
      </c>
      <c r="D678">
        <f t="shared" si="172"/>
        <v>3</v>
      </c>
      <c r="E678">
        <f t="shared" si="173"/>
        <v>0</v>
      </c>
      <c r="F678" s="100">
        <f t="shared" ca="1" si="174"/>
        <v>0</v>
      </c>
      <c r="G678">
        <v>0</v>
      </c>
      <c r="H678">
        <v>0</v>
      </c>
      <c r="I678">
        <v>0</v>
      </c>
      <c r="J678" s="1">
        <f t="shared" ca="1" si="175"/>
        <v>5.0000000000000179E-10</v>
      </c>
      <c r="K678" s="1">
        <f t="shared" ca="1" si="176"/>
        <v>0</v>
      </c>
      <c r="L678" s="13">
        <f t="shared" ca="1" si="177"/>
        <v>0</v>
      </c>
      <c r="M678" s="7">
        <f t="shared" ca="1" si="178"/>
        <v>1000</v>
      </c>
      <c r="N678" s="44">
        <f t="shared" ca="1" si="179"/>
        <v>12</v>
      </c>
      <c r="O678" s="94">
        <f t="shared" ca="1" si="180"/>
        <v>3.049271339469791</v>
      </c>
      <c r="P678" s="94">
        <f t="shared" ca="1" si="181"/>
        <v>30.492713394697905</v>
      </c>
      <c r="Q678" s="94">
        <f t="shared" ca="1" si="182"/>
        <v>30.492713394697905</v>
      </c>
      <c r="R678" s="94">
        <f t="shared" ca="1" si="183"/>
        <v>3.0492713394697906</v>
      </c>
      <c r="S678" s="94">
        <f t="shared" ca="1" si="184"/>
        <v>3.049271339469791</v>
      </c>
      <c r="T678" s="4">
        <f t="shared" ca="1" si="185"/>
        <v>0</v>
      </c>
      <c r="U678" s="46">
        <f t="shared" ca="1" si="186"/>
        <v>1453.9428976204611</v>
      </c>
      <c r="V678" s="4">
        <f t="shared" ca="1" si="187"/>
        <v>0</v>
      </c>
      <c r="W678" s="13">
        <f t="shared" ca="1" si="188"/>
        <v>0</v>
      </c>
      <c r="X678" s="4">
        <f t="shared" ca="1" si="189"/>
        <v>0</v>
      </c>
    </row>
    <row r="679" spans="1:24">
      <c r="A679">
        <v>1</v>
      </c>
      <c r="B679">
        <v>0</v>
      </c>
      <c r="C679">
        <f t="shared" ref="C679:C742" si="190">MIN(8, 1+$B$543+$B$542+A679+B679)</f>
        <v>3</v>
      </c>
      <c r="D679">
        <f t="shared" ref="D679:D742" si="191">C679-(1+$B$543)</f>
        <v>1</v>
      </c>
      <c r="E679">
        <f t="shared" ref="E679:E742" si="192">MIN(A679, C679-(1+$B$543+$B$542))</f>
        <v>1</v>
      </c>
      <c r="F679" s="100">
        <f t="shared" ref="F679:F742" ca="1" si="193">IF(A679=3, Set2QA, IF(A679=2, (1-Set2QA)*Set2TA + (1-Set2QA)*(1-Set2TA)*(1-Set2DA)*Set2AM3*Set2AM33, IF(A679=1, (1-Set2QA)*(1-Set2TA)*Set2DA + (1-Set2QA)*(1-Set2TA)*(1-Set2DA)*Set2AM3*Set2AM32, (1-Set2QA)*(1-Set2TA)*(1-Set2DA)*(1-Set2AM3)))) * IF($B$542+$B$543&gt;0, IF(B679=3, Set2QA, IF(B679=2, (1-Set2QA)*Set2TA, IF(B679=1, (1-Set2QA)*(1-Set2TA)*Set2DA, (1-Set2QA)*(1-Set2TA)*(1-Set2DA)))), IF(B679=0, 1, 0))</f>
        <v>0.18020274999999999</v>
      </c>
      <c r="G679">
        <v>1</v>
      </c>
      <c r="H679">
        <v>1</v>
      </c>
      <c r="I679">
        <v>7</v>
      </c>
      <c r="J679" s="1">
        <f t="shared" ref="J679:J742" ca="1" si="194">POWER(95%,G679)*POWER(5%, 1-G679) * IF($B$543=0, IF(H679=0, 1, 0), POWER(Set2WSHitRate,H679)*POWER(1-Set2WSHitRate, 1-H679)) * IF(I679&lt;=D679, POWER(Set2WSHitRate, I679)*POWER(1-Set2WSHitRate, D679-I679)*COMBIN(D679,I679), 0)</f>
        <v>0</v>
      </c>
      <c r="K679" s="1">
        <f t="shared" ref="K679:K742" ca="1" si="195">F679*J679</f>
        <v>0</v>
      </c>
      <c r="L679" s="13">
        <f t="shared" ref="L679:L742" ca="1" si="196">MAX((G679+H679)*Set2WSTP + I679*$B$539, Set2SaveTP)</f>
        <v>221</v>
      </c>
      <c r="M679" s="7">
        <f t="shared" ref="M679:M742" ca="1" si="197">MAX(Set2MinTP-(L679+Set2Regain), 0)</f>
        <v>779</v>
      </c>
      <c r="N679" s="44">
        <f t="shared" ref="N679:N742" ca="1" si="198">CEILING(M679/Set2MeleeTP, 1)</f>
        <v>9</v>
      </c>
      <c r="O679" s="94">
        <f t="shared" ref="O679:O742" ca="1" si="199">VLOOKUP(N679, AvgRoundsSet2, 2)</f>
        <v>2.3639647217884514</v>
      </c>
      <c r="P679" s="94">
        <f t="shared" ref="P679:P742" ca="1" si="200">VLOOKUP(CEILING(MAX(M679-1, 0)/Set2MeleeTP, 1), AvgRoundsSet2, 2) + VLOOKUP(CEILING(MAX(M679-2, 0)/Set2MeleeTP, 1), AvgRoundsSet2, 2) + VLOOKUP(CEILING(MAX(M679-3, 0)/Set2MeleeTP, 1), AvgRoundsSet2, 2) + VLOOKUP(CEILING(MAX(M679-4, 0)/Set2MeleeTP, 1), AvgRoundsSet2, 2) + VLOOKUP(CEILING(MAX(M679-5, 0)/Set2MeleeTP, 1), AvgRoundsSet2, 2) + VLOOKUP(CEILING(MAX(M679-6, 0)/Set2MeleeTP, 1), AvgRoundsSet2, 2) + VLOOKUP(CEILING(MAX(M679-7, 0)/Set2MeleeTP, 1), AvgRoundsSet2, 2) + VLOOKUP(CEILING(MAX(M679-8, 0)/Set2MeleeTP, 1), AvgRoundsSet2, 2) + VLOOKUP(CEILING(MAX(M679-9, 0)/Set2MeleeTP, 1), AvgRoundsSet2, 2) + VLOOKUP(CEILING(MAX(M679-10, 0)/Set2MeleeTP, 1), AvgRoundsSet2, 2)</f>
        <v>23.639647217884519</v>
      </c>
      <c r="Q679" s="94">
        <f t="shared" ref="Q679:Q742" ca="1" si="201">VLOOKUP(CEILING(MAX(M679-11, 0)/Set2MeleeTP, 1), AvgRoundsSet2, 2) + VLOOKUP(CEILING(MAX(M679-12, 0)/Set2MeleeTP, 1), AvgRoundsSet2, 2) + VLOOKUP(CEILING(MAX(M679-13, 0)/Set2MeleeTP, 1), AvgRoundsSet2, 2) + VLOOKUP(CEILING(MAX(M679-14, 0)/Set2MeleeTP, 1), AvgRoundsSet2, 2) + VLOOKUP(CEILING(MAX(M679-15, 0)/Set2MeleeTP, 1), AvgRoundsSet2, 2) + VLOOKUP(CEILING(MAX(M679-16, 0)/Set2MeleeTP, 1), AvgRoundsSet2, 2) + VLOOKUP(CEILING(MAX(M679-17, 0)/Set2MeleeTP, 1), AvgRoundsSet2, 2) + VLOOKUP(CEILING(MAX(M679-18, 0)/Set2MeleeTP, 1), AvgRoundsSet2, 2) + VLOOKUP(CEILING(MAX(M679-19, 0)/Set2MeleeTP, 1), AvgRoundsSet2, 2) + VLOOKUP(CEILING(MAX(M679-20, 0)/Set2MeleeTP, 1), AvgRoundsSet2, 2)</f>
        <v>23.639647217884519</v>
      </c>
      <c r="R679" s="94">
        <f t="shared" ref="R679:R742" ca="1" si="202">(P679+Q679)/20</f>
        <v>2.3639647217884519</v>
      </c>
      <c r="S679" s="94">
        <f t="shared" ref="S679:S742" ca="1" si="203">R679*Set2ConserveTP + O679*(1-Set2ConserveTP)</f>
        <v>2.3639647217884514</v>
      </c>
      <c r="T679" s="4">
        <f t="shared" ref="T679:T742" ca="1" si="204">K679*S679</f>
        <v>0</v>
      </c>
      <c r="U679" s="46">
        <f t="shared" ref="U679:U742" ca="1" si="205">MIN(L679+(S679+Set2OverTP)*AvgHitsPerRound2*Set2MeleeTP + Set2Regain + 10.5*Set2ConserveTP, 3000)</f>
        <v>1394.2101516087316</v>
      </c>
      <c r="V679" s="4">
        <f t="shared" ref="V679:V742" ca="1" si="206">U679*K679</f>
        <v>0</v>
      </c>
      <c r="W679" s="13">
        <f t="shared" ref="W679:W742" ca="1" si="207">G679*$K$543*((1-$L$543)*$L$547 + $L$543*$M$547*$M$543)*Set2WSDmg + H679*$K$546*((1-$L$546)*$L$548 + $L$546*$M$548*$M$544) + I679*$K$544*((1-$L$544)*$L$547 + $L$544*$M$547*$M$544) + E679*$K$545*$L$545*$M$543</f>
        <v>16438.260675257192</v>
      </c>
      <c r="X679" s="4">
        <f t="shared" ref="X679:X742" ca="1" si="208">K679*W679</f>
        <v>0</v>
      </c>
    </row>
    <row r="680" spans="1:24">
      <c r="A680">
        <v>1</v>
      </c>
      <c r="B680">
        <v>0</v>
      </c>
      <c r="C680">
        <f t="shared" si="190"/>
        <v>3</v>
      </c>
      <c r="D680">
        <f t="shared" si="191"/>
        <v>1</v>
      </c>
      <c r="E680">
        <f t="shared" si="192"/>
        <v>1</v>
      </c>
      <c r="F680" s="100">
        <f t="shared" ca="1" si="193"/>
        <v>0.18020274999999999</v>
      </c>
      <c r="G680">
        <v>1</v>
      </c>
      <c r="H680">
        <v>1</v>
      </c>
      <c r="I680">
        <v>6</v>
      </c>
      <c r="J680" s="1">
        <f t="shared" ca="1" si="194"/>
        <v>0</v>
      </c>
      <c r="K680" s="1">
        <f t="shared" ca="1" si="195"/>
        <v>0</v>
      </c>
      <c r="L680" s="13">
        <f t="shared" ca="1" si="196"/>
        <v>208</v>
      </c>
      <c r="M680" s="7">
        <f t="shared" ca="1" si="197"/>
        <v>792</v>
      </c>
      <c r="N680" s="44">
        <f t="shared" ca="1" si="198"/>
        <v>9</v>
      </c>
      <c r="O680" s="94">
        <f t="shared" ca="1" si="199"/>
        <v>2.3639647217884514</v>
      </c>
      <c r="P680" s="94">
        <f t="shared" ca="1" si="200"/>
        <v>23.639647217884519</v>
      </c>
      <c r="Q680" s="94">
        <f t="shared" ca="1" si="201"/>
        <v>23.639647217884519</v>
      </c>
      <c r="R680" s="94">
        <f t="shared" ca="1" si="202"/>
        <v>2.3639647217884519</v>
      </c>
      <c r="S680" s="94">
        <f t="shared" ca="1" si="203"/>
        <v>2.3639647217884514</v>
      </c>
      <c r="T680" s="4">
        <f t="shared" ca="1" si="204"/>
        <v>0</v>
      </c>
      <c r="U680" s="46">
        <f t="shared" ca="1" si="205"/>
        <v>1381.2101516087316</v>
      </c>
      <c r="V680" s="4">
        <f t="shared" ca="1" si="206"/>
        <v>0</v>
      </c>
      <c r="W680" s="13">
        <f t="shared" ca="1" si="207"/>
        <v>15772.59037978531</v>
      </c>
      <c r="X680" s="4">
        <f t="shared" ca="1" si="208"/>
        <v>0</v>
      </c>
    </row>
    <row r="681" spans="1:24">
      <c r="A681">
        <v>1</v>
      </c>
      <c r="B681">
        <v>0</v>
      </c>
      <c r="C681">
        <f t="shared" si="190"/>
        <v>3</v>
      </c>
      <c r="D681">
        <f t="shared" si="191"/>
        <v>1</v>
      </c>
      <c r="E681">
        <f t="shared" si="192"/>
        <v>1</v>
      </c>
      <c r="F681" s="100">
        <f t="shared" ca="1" si="193"/>
        <v>0.18020274999999999</v>
      </c>
      <c r="G681">
        <v>1</v>
      </c>
      <c r="H681">
        <v>1</v>
      </c>
      <c r="I681">
        <v>5</v>
      </c>
      <c r="J681" s="1">
        <f t="shared" ca="1" si="194"/>
        <v>0</v>
      </c>
      <c r="K681" s="1">
        <f t="shared" ca="1" si="195"/>
        <v>0</v>
      </c>
      <c r="L681" s="13">
        <f t="shared" ca="1" si="196"/>
        <v>195</v>
      </c>
      <c r="M681" s="7">
        <f t="shared" ca="1" si="197"/>
        <v>805</v>
      </c>
      <c r="N681" s="44">
        <f t="shared" ca="1" si="198"/>
        <v>10</v>
      </c>
      <c r="O681" s="94">
        <f t="shared" ca="1" si="199"/>
        <v>2.5877599795741038</v>
      </c>
      <c r="P681" s="94">
        <f t="shared" ca="1" si="200"/>
        <v>24.311032991241476</v>
      </c>
      <c r="Q681" s="94">
        <f t="shared" ca="1" si="201"/>
        <v>23.639647217884519</v>
      </c>
      <c r="R681" s="94">
        <f t="shared" ca="1" si="202"/>
        <v>2.3975340104562997</v>
      </c>
      <c r="S681" s="94">
        <f t="shared" ca="1" si="203"/>
        <v>2.5877599795741038</v>
      </c>
      <c r="T681" s="4">
        <f t="shared" ca="1" si="204"/>
        <v>0</v>
      </c>
      <c r="U681" s="46">
        <f t="shared" ca="1" si="205"/>
        <v>1459.8868633777442</v>
      </c>
      <c r="V681" s="4">
        <f t="shared" ca="1" si="206"/>
        <v>0</v>
      </c>
      <c r="W681" s="13">
        <f t="shared" ca="1" si="207"/>
        <v>15106.920084313426</v>
      </c>
      <c r="X681" s="4">
        <f t="shared" ca="1" si="208"/>
        <v>0</v>
      </c>
    </row>
    <row r="682" spans="1:24">
      <c r="A682">
        <v>1</v>
      </c>
      <c r="B682">
        <v>0</v>
      </c>
      <c r="C682">
        <f t="shared" si="190"/>
        <v>3</v>
      </c>
      <c r="D682">
        <f t="shared" si="191"/>
        <v>1</v>
      </c>
      <c r="E682">
        <f t="shared" si="192"/>
        <v>1</v>
      </c>
      <c r="F682" s="100">
        <f t="shared" ca="1" si="193"/>
        <v>0.18020274999999999</v>
      </c>
      <c r="G682">
        <v>1</v>
      </c>
      <c r="H682">
        <v>1</v>
      </c>
      <c r="I682">
        <v>4</v>
      </c>
      <c r="J682" s="1">
        <f t="shared" ca="1" si="194"/>
        <v>0</v>
      </c>
      <c r="K682" s="1">
        <f t="shared" ca="1" si="195"/>
        <v>0</v>
      </c>
      <c r="L682" s="13">
        <f t="shared" ca="1" si="196"/>
        <v>182</v>
      </c>
      <c r="M682" s="7">
        <f t="shared" ca="1" si="197"/>
        <v>818</v>
      </c>
      <c r="N682" s="44">
        <f t="shared" ca="1" si="198"/>
        <v>10</v>
      </c>
      <c r="O682" s="94">
        <f t="shared" ca="1" si="199"/>
        <v>2.5877599795741038</v>
      </c>
      <c r="P682" s="94">
        <f t="shared" ca="1" si="200"/>
        <v>25.877599795741034</v>
      </c>
      <c r="Q682" s="94">
        <f t="shared" ca="1" si="201"/>
        <v>24.982418764598432</v>
      </c>
      <c r="R682" s="94">
        <f t="shared" ca="1" si="202"/>
        <v>2.5430009280169736</v>
      </c>
      <c r="S682" s="94">
        <f t="shared" ca="1" si="203"/>
        <v>2.5877599795741038</v>
      </c>
      <c r="T682" s="4">
        <f t="shared" ca="1" si="204"/>
        <v>0</v>
      </c>
      <c r="U682" s="46">
        <f t="shared" ca="1" si="205"/>
        <v>1446.8868633777442</v>
      </c>
      <c r="V682" s="4">
        <f t="shared" ca="1" si="206"/>
        <v>0</v>
      </c>
      <c r="W682" s="13">
        <f t="shared" ca="1" si="207"/>
        <v>14441.249788841542</v>
      </c>
      <c r="X682" s="4">
        <f t="shared" ca="1" si="208"/>
        <v>0</v>
      </c>
    </row>
    <row r="683" spans="1:24">
      <c r="A683">
        <v>1</v>
      </c>
      <c r="B683">
        <v>0</v>
      </c>
      <c r="C683">
        <f t="shared" si="190"/>
        <v>3</v>
      </c>
      <c r="D683">
        <f t="shared" si="191"/>
        <v>1</v>
      </c>
      <c r="E683">
        <f t="shared" si="192"/>
        <v>1</v>
      </c>
      <c r="F683" s="100">
        <f t="shared" ca="1" si="193"/>
        <v>0.18020274999999999</v>
      </c>
      <c r="G683">
        <v>1</v>
      </c>
      <c r="H683">
        <v>1</v>
      </c>
      <c r="I683">
        <v>3</v>
      </c>
      <c r="J683" s="1">
        <f t="shared" ca="1" si="194"/>
        <v>0</v>
      </c>
      <c r="K683" s="1">
        <f t="shared" ca="1" si="195"/>
        <v>0</v>
      </c>
      <c r="L683" s="13">
        <f t="shared" ca="1" si="196"/>
        <v>169</v>
      </c>
      <c r="M683" s="7">
        <f t="shared" ca="1" si="197"/>
        <v>831</v>
      </c>
      <c r="N683" s="44">
        <f t="shared" ca="1" si="198"/>
        <v>10</v>
      </c>
      <c r="O683" s="94">
        <f t="shared" ca="1" si="199"/>
        <v>2.5877599795741038</v>
      </c>
      <c r="P683" s="94">
        <f t="shared" ca="1" si="200"/>
        <v>25.877599795741034</v>
      </c>
      <c r="Q683" s="94">
        <f t="shared" ca="1" si="201"/>
        <v>25.877599795741034</v>
      </c>
      <c r="R683" s="94">
        <f t="shared" ca="1" si="202"/>
        <v>2.5877599795741033</v>
      </c>
      <c r="S683" s="94">
        <f t="shared" ca="1" si="203"/>
        <v>2.5877599795741038</v>
      </c>
      <c r="T683" s="4">
        <f t="shared" ca="1" si="204"/>
        <v>0</v>
      </c>
      <c r="U683" s="46">
        <f t="shared" ca="1" si="205"/>
        <v>1433.8868633777442</v>
      </c>
      <c r="V683" s="4">
        <f t="shared" ca="1" si="206"/>
        <v>0</v>
      </c>
      <c r="W683" s="13">
        <f t="shared" ca="1" si="207"/>
        <v>13775.57949336966</v>
      </c>
      <c r="X683" s="4">
        <f t="shared" ca="1" si="208"/>
        <v>0</v>
      </c>
    </row>
    <row r="684" spans="1:24">
      <c r="A684">
        <v>1</v>
      </c>
      <c r="B684">
        <v>0</v>
      </c>
      <c r="C684">
        <f t="shared" si="190"/>
        <v>3</v>
      </c>
      <c r="D684">
        <f t="shared" si="191"/>
        <v>1</v>
      </c>
      <c r="E684">
        <f t="shared" si="192"/>
        <v>1</v>
      </c>
      <c r="F684" s="100">
        <f t="shared" ca="1" si="193"/>
        <v>0.18020274999999999</v>
      </c>
      <c r="G684">
        <v>1</v>
      </c>
      <c r="H684">
        <v>1</v>
      </c>
      <c r="I684">
        <v>2</v>
      </c>
      <c r="J684" s="1">
        <f t="shared" ca="1" si="194"/>
        <v>0</v>
      </c>
      <c r="K684" s="1">
        <f t="shared" ca="1" si="195"/>
        <v>0</v>
      </c>
      <c r="L684" s="13">
        <f t="shared" ca="1" si="196"/>
        <v>156</v>
      </c>
      <c r="M684" s="7">
        <f t="shared" ca="1" si="197"/>
        <v>844</v>
      </c>
      <c r="N684" s="44">
        <f t="shared" ca="1" si="198"/>
        <v>10</v>
      </c>
      <c r="O684" s="94">
        <f t="shared" ca="1" si="199"/>
        <v>2.5877599795741038</v>
      </c>
      <c r="P684" s="94">
        <f t="shared" ca="1" si="200"/>
        <v>25.877599795741034</v>
      </c>
      <c r="Q684" s="94">
        <f t="shared" ca="1" si="201"/>
        <v>25.877599795741034</v>
      </c>
      <c r="R684" s="94">
        <f t="shared" ca="1" si="202"/>
        <v>2.5877599795741033</v>
      </c>
      <c r="S684" s="94">
        <f t="shared" ca="1" si="203"/>
        <v>2.5877599795741038</v>
      </c>
      <c r="T684" s="4">
        <f t="shared" ca="1" si="204"/>
        <v>0</v>
      </c>
      <c r="U684" s="46">
        <f t="shared" ca="1" si="205"/>
        <v>1420.8868633777442</v>
      </c>
      <c r="V684" s="4">
        <f t="shared" ca="1" si="206"/>
        <v>0</v>
      </c>
      <c r="W684" s="13">
        <f t="shared" ca="1" si="207"/>
        <v>13109.909197897776</v>
      </c>
      <c r="X684" s="4">
        <f t="shared" ca="1" si="208"/>
        <v>0</v>
      </c>
    </row>
    <row r="685" spans="1:24">
      <c r="A685">
        <v>1</v>
      </c>
      <c r="B685">
        <v>0</v>
      </c>
      <c r="C685">
        <f t="shared" si="190"/>
        <v>3</v>
      </c>
      <c r="D685">
        <f t="shared" si="191"/>
        <v>1</v>
      </c>
      <c r="E685">
        <f t="shared" si="192"/>
        <v>1</v>
      </c>
      <c r="F685" s="100">
        <f t="shared" ca="1" si="193"/>
        <v>0.18020274999999999</v>
      </c>
      <c r="G685">
        <v>1</v>
      </c>
      <c r="H685">
        <v>1</v>
      </c>
      <c r="I685">
        <v>1</v>
      </c>
      <c r="J685" s="1">
        <f t="shared" ca="1" si="194"/>
        <v>0.93109500000000001</v>
      </c>
      <c r="K685" s="1">
        <f t="shared" ca="1" si="195"/>
        <v>0.16778587951124999</v>
      </c>
      <c r="L685" s="13">
        <f t="shared" ca="1" si="196"/>
        <v>143</v>
      </c>
      <c r="M685" s="7">
        <f t="shared" ca="1" si="197"/>
        <v>857</v>
      </c>
      <c r="N685" s="44">
        <f t="shared" ca="1" si="198"/>
        <v>10</v>
      </c>
      <c r="O685" s="94">
        <f t="shared" ca="1" si="199"/>
        <v>2.5877599795741038</v>
      </c>
      <c r="P685" s="94">
        <f t="shared" ca="1" si="200"/>
        <v>25.877599795741034</v>
      </c>
      <c r="Q685" s="94">
        <f t="shared" ca="1" si="201"/>
        <v>25.877599795741034</v>
      </c>
      <c r="R685" s="94">
        <f t="shared" ca="1" si="202"/>
        <v>2.5877599795741033</v>
      </c>
      <c r="S685" s="94">
        <f t="shared" ca="1" si="203"/>
        <v>2.5877599795741038</v>
      </c>
      <c r="T685" s="4">
        <f t="shared" ca="1" si="204"/>
        <v>0.43418958413685532</v>
      </c>
      <c r="U685" s="46">
        <f t="shared" ca="1" si="205"/>
        <v>1407.8868633777442</v>
      </c>
      <c r="V685" s="4">
        <f t="shared" ca="1" si="206"/>
        <v>236.22353562416987</v>
      </c>
      <c r="W685" s="13">
        <f t="shared" ca="1" si="207"/>
        <v>12444.238902425894</v>
      </c>
      <c r="X685" s="4">
        <f t="shared" ca="1" si="208"/>
        <v>2087.9675690916406</v>
      </c>
    </row>
    <row r="686" spans="1:24">
      <c r="A686">
        <v>1</v>
      </c>
      <c r="B686">
        <v>0</v>
      </c>
      <c r="C686">
        <f t="shared" si="190"/>
        <v>3</v>
      </c>
      <c r="D686">
        <f t="shared" si="191"/>
        <v>1</v>
      </c>
      <c r="E686">
        <f t="shared" si="192"/>
        <v>1</v>
      </c>
      <c r="F686" s="100">
        <f t="shared" ca="1" si="193"/>
        <v>0.18020274999999999</v>
      </c>
      <c r="G686">
        <v>1</v>
      </c>
      <c r="H686">
        <v>1</v>
      </c>
      <c r="I686">
        <v>0</v>
      </c>
      <c r="J686" s="1">
        <f t="shared" ca="1" si="194"/>
        <v>9.4050000000000088E-3</v>
      </c>
      <c r="K686" s="1">
        <f t="shared" ca="1" si="195"/>
        <v>1.6948068637500015E-3</v>
      </c>
      <c r="L686" s="13">
        <f t="shared" ca="1" si="196"/>
        <v>130</v>
      </c>
      <c r="M686" s="7">
        <f t="shared" ca="1" si="197"/>
        <v>870</v>
      </c>
      <c r="N686" s="44">
        <f t="shared" ca="1" si="198"/>
        <v>10</v>
      </c>
      <c r="O686" s="94">
        <f t="shared" ca="1" si="199"/>
        <v>2.5877599795741038</v>
      </c>
      <c r="P686" s="94">
        <f t="shared" ca="1" si="200"/>
        <v>25.877599795741034</v>
      </c>
      <c r="Q686" s="94">
        <f t="shared" ca="1" si="201"/>
        <v>25.877599795741034</v>
      </c>
      <c r="R686" s="94">
        <f t="shared" ca="1" si="202"/>
        <v>2.5877599795741033</v>
      </c>
      <c r="S686" s="94">
        <f t="shared" ca="1" si="203"/>
        <v>2.5877599795741038</v>
      </c>
      <c r="T686" s="4">
        <f t="shared" ca="1" si="204"/>
        <v>4.3857533751197548E-3</v>
      </c>
      <c r="U686" s="46">
        <f t="shared" ca="1" si="205"/>
        <v>1394.8868633777442</v>
      </c>
      <c r="V686" s="4">
        <f t="shared" ca="1" si="206"/>
        <v>2.3640638302073116</v>
      </c>
      <c r="W686" s="13">
        <f t="shared" ca="1" si="207"/>
        <v>11778.56860695401</v>
      </c>
      <c r="X686" s="4">
        <f t="shared" ca="1" si="208"/>
        <v>19.96239892021595</v>
      </c>
    </row>
    <row r="687" spans="1:24">
      <c r="A687">
        <v>1</v>
      </c>
      <c r="B687">
        <v>0</v>
      </c>
      <c r="C687">
        <f t="shared" si="190"/>
        <v>3</v>
      </c>
      <c r="D687">
        <f t="shared" si="191"/>
        <v>1</v>
      </c>
      <c r="E687">
        <f t="shared" si="192"/>
        <v>1</v>
      </c>
      <c r="F687" s="100">
        <f t="shared" ca="1" si="193"/>
        <v>0.18020274999999999</v>
      </c>
      <c r="G687">
        <v>1</v>
      </c>
      <c r="H687">
        <v>0</v>
      </c>
      <c r="I687">
        <v>7</v>
      </c>
      <c r="J687" s="1">
        <f t="shared" ca="1" si="194"/>
        <v>0</v>
      </c>
      <c r="K687" s="1">
        <f t="shared" ca="1" si="195"/>
        <v>0</v>
      </c>
      <c r="L687" s="13">
        <f t="shared" ca="1" si="196"/>
        <v>156</v>
      </c>
      <c r="M687" s="7">
        <f t="shared" ca="1" si="197"/>
        <v>844</v>
      </c>
      <c r="N687" s="44">
        <f t="shared" ca="1" si="198"/>
        <v>10</v>
      </c>
      <c r="O687" s="94">
        <f t="shared" ca="1" si="199"/>
        <v>2.5877599795741038</v>
      </c>
      <c r="P687" s="94">
        <f t="shared" ca="1" si="200"/>
        <v>25.877599795741034</v>
      </c>
      <c r="Q687" s="94">
        <f t="shared" ca="1" si="201"/>
        <v>25.877599795741034</v>
      </c>
      <c r="R687" s="94">
        <f t="shared" ca="1" si="202"/>
        <v>2.5877599795741033</v>
      </c>
      <c r="S687" s="94">
        <f t="shared" ca="1" si="203"/>
        <v>2.5877599795741038</v>
      </c>
      <c r="T687" s="4">
        <f t="shared" ca="1" si="204"/>
        <v>0</v>
      </c>
      <c r="U687" s="46">
        <f t="shared" ca="1" si="205"/>
        <v>1420.8868633777442</v>
      </c>
      <c r="V687" s="4">
        <f t="shared" ca="1" si="206"/>
        <v>0</v>
      </c>
      <c r="W687" s="13">
        <f t="shared" ca="1" si="207"/>
        <v>15972.716608816479</v>
      </c>
      <c r="X687" s="4">
        <f t="shared" ca="1" si="208"/>
        <v>0</v>
      </c>
    </row>
    <row r="688" spans="1:24">
      <c r="A688">
        <v>1</v>
      </c>
      <c r="B688">
        <v>0</v>
      </c>
      <c r="C688">
        <f t="shared" si="190"/>
        <v>3</v>
      </c>
      <c r="D688">
        <f t="shared" si="191"/>
        <v>1</v>
      </c>
      <c r="E688">
        <f t="shared" si="192"/>
        <v>1</v>
      </c>
      <c r="F688" s="100">
        <f t="shared" ca="1" si="193"/>
        <v>0.18020274999999999</v>
      </c>
      <c r="G688">
        <v>1</v>
      </c>
      <c r="H688">
        <v>0</v>
      </c>
      <c r="I688">
        <v>6</v>
      </c>
      <c r="J688" s="1">
        <f t="shared" ca="1" si="194"/>
        <v>0</v>
      </c>
      <c r="K688" s="1">
        <f t="shared" ca="1" si="195"/>
        <v>0</v>
      </c>
      <c r="L688" s="13">
        <f t="shared" ca="1" si="196"/>
        <v>143</v>
      </c>
      <c r="M688" s="7">
        <f t="shared" ca="1" si="197"/>
        <v>857</v>
      </c>
      <c r="N688" s="44">
        <f t="shared" ca="1" si="198"/>
        <v>10</v>
      </c>
      <c r="O688" s="94">
        <f t="shared" ca="1" si="199"/>
        <v>2.5877599795741038</v>
      </c>
      <c r="P688" s="94">
        <f t="shared" ca="1" si="200"/>
        <v>25.877599795741034</v>
      </c>
      <c r="Q688" s="94">
        <f t="shared" ca="1" si="201"/>
        <v>25.877599795741034</v>
      </c>
      <c r="R688" s="94">
        <f t="shared" ca="1" si="202"/>
        <v>2.5877599795741033</v>
      </c>
      <c r="S688" s="94">
        <f t="shared" ca="1" si="203"/>
        <v>2.5877599795741038</v>
      </c>
      <c r="T688" s="4">
        <f t="shared" ca="1" si="204"/>
        <v>0</v>
      </c>
      <c r="U688" s="46">
        <f t="shared" ca="1" si="205"/>
        <v>1407.8868633777442</v>
      </c>
      <c r="V688" s="4">
        <f t="shared" ca="1" si="206"/>
        <v>0</v>
      </c>
      <c r="W688" s="13">
        <f t="shared" ca="1" si="207"/>
        <v>15307.046313344596</v>
      </c>
      <c r="X688" s="4">
        <f t="shared" ca="1" si="208"/>
        <v>0</v>
      </c>
    </row>
    <row r="689" spans="1:24">
      <c r="A689">
        <v>1</v>
      </c>
      <c r="B689">
        <v>0</v>
      </c>
      <c r="C689">
        <f t="shared" si="190"/>
        <v>3</v>
      </c>
      <c r="D689">
        <f t="shared" si="191"/>
        <v>1</v>
      </c>
      <c r="E689">
        <f t="shared" si="192"/>
        <v>1</v>
      </c>
      <c r="F689" s="100">
        <f t="shared" ca="1" si="193"/>
        <v>0.18020274999999999</v>
      </c>
      <c r="G689">
        <v>1</v>
      </c>
      <c r="H689">
        <v>0</v>
      </c>
      <c r="I689">
        <v>5</v>
      </c>
      <c r="J689" s="1">
        <f t="shared" ca="1" si="194"/>
        <v>0</v>
      </c>
      <c r="K689" s="1">
        <f t="shared" ca="1" si="195"/>
        <v>0</v>
      </c>
      <c r="L689" s="13">
        <f t="shared" ca="1" si="196"/>
        <v>130</v>
      </c>
      <c r="M689" s="7">
        <f t="shared" ca="1" si="197"/>
        <v>870</v>
      </c>
      <c r="N689" s="44">
        <f t="shared" ca="1" si="198"/>
        <v>10</v>
      </c>
      <c r="O689" s="94">
        <f t="shared" ca="1" si="199"/>
        <v>2.5877599795741038</v>
      </c>
      <c r="P689" s="94">
        <f t="shared" ca="1" si="200"/>
        <v>25.877599795741034</v>
      </c>
      <c r="Q689" s="94">
        <f t="shared" ca="1" si="201"/>
        <v>25.877599795741034</v>
      </c>
      <c r="R689" s="94">
        <f t="shared" ca="1" si="202"/>
        <v>2.5877599795741033</v>
      </c>
      <c r="S689" s="94">
        <f t="shared" ca="1" si="203"/>
        <v>2.5877599795741038</v>
      </c>
      <c r="T689" s="4">
        <f t="shared" ca="1" si="204"/>
        <v>0</v>
      </c>
      <c r="U689" s="46">
        <f t="shared" ca="1" si="205"/>
        <v>1394.8868633777442</v>
      </c>
      <c r="V689" s="4">
        <f t="shared" ca="1" si="206"/>
        <v>0</v>
      </c>
      <c r="W689" s="13">
        <f t="shared" ca="1" si="207"/>
        <v>14641.376017872713</v>
      </c>
      <c r="X689" s="4">
        <f t="shared" ca="1" si="208"/>
        <v>0</v>
      </c>
    </row>
    <row r="690" spans="1:24">
      <c r="A690">
        <v>1</v>
      </c>
      <c r="B690">
        <v>0</v>
      </c>
      <c r="C690">
        <f t="shared" si="190"/>
        <v>3</v>
      </c>
      <c r="D690">
        <f t="shared" si="191"/>
        <v>1</v>
      </c>
      <c r="E690">
        <f t="shared" si="192"/>
        <v>1</v>
      </c>
      <c r="F690" s="100">
        <f t="shared" ca="1" si="193"/>
        <v>0.18020274999999999</v>
      </c>
      <c r="G690">
        <v>1</v>
      </c>
      <c r="H690">
        <v>0</v>
      </c>
      <c r="I690">
        <v>4</v>
      </c>
      <c r="J690" s="1">
        <f t="shared" ca="1" si="194"/>
        <v>0</v>
      </c>
      <c r="K690" s="1">
        <f t="shared" ca="1" si="195"/>
        <v>0</v>
      </c>
      <c r="L690" s="13">
        <f t="shared" ca="1" si="196"/>
        <v>117</v>
      </c>
      <c r="M690" s="7">
        <f t="shared" ca="1" si="197"/>
        <v>883</v>
      </c>
      <c r="N690" s="44">
        <f t="shared" ca="1" si="198"/>
        <v>10</v>
      </c>
      <c r="O690" s="94">
        <f t="shared" ca="1" si="199"/>
        <v>2.5877599795741038</v>
      </c>
      <c r="P690" s="94">
        <f t="shared" ca="1" si="200"/>
        <v>25.877599795741034</v>
      </c>
      <c r="Q690" s="94">
        <f t="shared" ca="1" si="201"/>
        <v>25.877599795741034</v>
      </c>
      <c r="R690" s="94">
        <f t="shared" ca="1" si="202"/>
        <v>2.5877599795741033</v>
      </c>
      <c r="S690" s="94">
        <f t="shared" ca="1" si="203"/>
        <v>2.5877599795741038</v>
      </c>
      <c r="T690" s="4">
        <f t="shared" ca="1" si="204"/>
        <v>0</v>
      </c>
      <c r="U690" s="46">
        <f t="shared" ca="1" si="205"/>
        <v>1381.8868633777442</v>
      </c>
      <c r="V690" s="4">
        <f t="shared" ca="1" si="206"/>
        <v>0</v>
      </c>
      <c r="W690" s="13">
        <f t="shared" ca="1" si="207"/>
        <v>13975.705722400829</v>
      </c>
      <c r="X690" s="4">
        <f t="shared" ca="1" si="208"/>
        <v>0</v>
      </c>
    </row>
    <row r="691" spans="1:24">
      <c r="A691">
        <v>1</v>
      </c>
      <c r="B691">
        <v>0</v>
      </c>
      <c r="C691">
        <f t="shared" si="190"/>
        <v>3</v>
      </c>
      <c r="D691">
        <f t="shared" si="191"/>
        <v>1</v>
      </c>
      <c r="E691">
        <f t="shared" si="192"/>
        <v>1</v>
      </c>
      <c r="F691" s="100">
        <f t="shared" ca="1" si="193"/>
        <v>0.18020274999999999</v>
      </c>
      <c r="G691">
        <v>1</v>
      </c>
      <c r="H691">
        <v>0</v>
      </c>
      <c r="I691">
        <v>3</v>
      </c>
      <c r="J691" s="1">
        <f t="shared" ca="1" si="194"/>
        <v>0</v>
      </c>
      <c r="K691" s="1">
        <f t="shared" ca="1" si="195"/>
        <v>0</v>
      </c>
      <c r="L691" s="13">
        <f t="shared" ca="1" si="196"/>
        <v>104</v>
      </c>
      <c r="M691" s="7">
        <f t="shared" ca="1" si="197"/>
        <v>896</v>
      </c>
      <c r="N691" s="44">
        <f t="shared" ca="1" si="198"/>
        <v>11</v>
      </c>
      <c r="O691" s="94">
        <f t="shared" ca="1" si="199"/>
        <v>2.8265749241644089</v>
      </c>
      <c r="P691" s="94">
        <f t="shared" ca="1" si="200"/>
        <v>27.071674518692554</v>
      </c>
      <c r="Q691" s="94">
        <f t="shared" ca="1" si="201"/>
        <v>25.877599795741034</v>
      </c>
      <c r="R691" s="94">
        <f t="shared" ca="1" si="202"/>
        <v>2.6474637157216794</v>
      </c>
      <c r="S691" s="94">
        <f t="shared" ca="1" si="203"/>
        <v>2.8265749241644089</v>
      </c>
      <c r="T691" s="4">
        <f t="shared" ca="1" si="204"/>
        <v>0</v>
      </c>
      <c r="U691" s="46">
        <f t="shared" ca="1" si="205"/>
        <v>1466.7163216869442</v>
      </c>
      <c r="V691" s="4">
        <f t="shared" ca="1" si="206"/>
        <v>0</v>
      </c>
      <c r="W691" s="13">
        <f t="shared" ca="1" si="207"/>
        <v>13310.035426928947</v>
      </c>
      <c r="X691" s="4">
        <f t="shared" ca="1" si="208"/>
        <v>0</v>
      </c>
    </row>
    <row r="692" spans="1:24">
      <c r="A692">
        <v>1</v>
      </c>
      <c r="B692">
        <v>0</v>
      </c>
      <c r="C692">
        <f t="shared" si="190"/>
        <v>3</v>
      </c>
      <c r="D692">
        <f t="shared" si="191"/>
        <v>1</v>
      </c>
      <c r="E692">
        <f t="shared" si="192"/>
        <v>1</v>
      </c>
      <c r="F692" s="100">
        <f t="shared" ca="1" si="193"/>
        <v>0.18020274999999999</v>
      </c>
      <c r="G692">
        <v>1</v>
      </c>
      <c r="H692">
        <v>0</v>
      </c>
      <c r="I692">
        <v>2</v>
      </c>
      <c r="J692" s="1">
        <f t="shared" ca="1" si="194"/>
        <v>0</v>
      </c>
      <c r="K692" s="1">
        <f t="shared" ca="1" si="195"/>
        <v>0</v>
      </c>
      <c r="L692" s="13">
        <f t="shared" ca="1" si="196"/>
        <v>91</v>
      </c>
      <c r="M692" s="7">
        <f t="shared" ca="1" si="197"/>
        <v>909</v>
      </c>
      <c r="N692" s="44">
        <f t="shared" ca="1" si="198"/>
        <v>11</v>
      </c>
      <c r="O692" s="94">
        <f t="shared" ca="1" si="199"/>
        <v>2.8265749241644089</v>
      </c>
      <c r="P692" s="94">
        <f t="shared" ca="1" si="200"/>
        <v>28.265749241644084</v>
      </c>
      <c r="Q692" s="94">
        <f t="shared" ca="1" si="201"/>
        <v>27.788119352463475</v>
      </c>
      <c r="R692" s="94">
        <f t="shared" ca="1" si="202"/>
        <v>2.8026934297053776</v>
      </c>
      <c r="S692" s="94">
        <f t="shared" ca="1" si="203"/>
        <v>2.8265749241644089</v>
      </c>
      <c r="T692" s="4">
        <f t="shared" ca="1" si="204"/>
        <v>0</v>
      </c>
      <c r="U692" s="46">
        <f t="shared" ca="1" si="205"/>
        <v>1453.7163216869442</v>
      </c>
      <c r="V692" s="4">
        <f t="shared" ca="1" si="206"/>
        <v>0</v>
      </c>
      <c r="W692" s="13">
        <f t="shared" ca="1" si="207"/>
        <v>12644.365131457063</v>
      </c>
      <c r="X692" s="4">
        <f t="shared" ca="1" si="208"/>
        <v>0</v>
      </c>
    </row>
    <row r="693" spans="1:24">
      <c r="A693">
        <v>1</v>
      </c>
      <c r="B693">
        <v>0</v>
      </c>
      <c r="C693">
        <f t="shared" si="190"/>
        <v>3</v>
      </c>
      <c r="D693">
        <f t="shared" si="191"/>
        <v>1</v>
      </c>
      <c r="E693">
        <f t="shared" si="192"/>
        <v>1</v>
      </c>
      <c r="F693" s="100">
        <f t="shared" ca="1" si="193"/>
        <v>0.18020274999999999</v>
      </c>
      <c r="G693">
        <v>1</v>
      </c>
      <c r="H693">
        <v>0</v>
      </c>
      <c r="I693">
        <v>1</v>
      </c>
      <c r="J693" s="1">
        <f t="shared" ca="1" si="194"/>
        <v>9.4050000000000088E-3</v>
      </c>
      <c r="K693" s="1">
        <f t="shared" ca="1" si="195"/>
        <v>1.6948068637500015E-3</v>
      </c>
      <c r="L693" s="13">
        <f t="shared" ca="1" si="196"/>
        <v>78</v>
      </c>
      <c r="M693" s="7">
        <f t="shared" ca="1" si="197"/>
        <v>922</v>
      </c>
      <c r="N693" s="44">
        <f t="shared" ca="1" si="198"/>
        <v>11</v>
      </c>
      <c r="O693" s="94">
        <f t="shared" ca="1" si="199"/>
        <v>2.8265749241644089</v>
      </c>
      <c r="P693" s="94">
        <f t="shared" ca="1" si="200"/>
        <v>28.265749241644084</v>
      </c>
      <c r="Q693" s="94">
        <f t="shared" ca="1" si="201"/>
        <v>28.265749241644084</v>
      </c>
      <c r="R693" s="94">
        <f t="shared" ca="1" si="202"/>
        <v>2.8265749241644085</v>
      </c>
      <c r="S693" s="94">
        <f t="shared" ca="1" si="203"/>
        <v>2.8265749241644089</v>
      </c>
      <c r="T693" s="4">
        <f t="shared" ca="1" si="204"/>
        <v>4.7904985823774802E-3</v>
      </c>
      <c r="U693" s="46">
        <f t="shared" ca="1" si="205"/>
        <v>1440.7163216869442</v>
      </c>
      <c r="V693" s="4">
        <f t="shared" ca="1" si="206"/>
        <v>2.4417359107116883</v>
      </c>
      <c r="W693" s="13">
        <f t="shared" ca="1" si="207"/>
        <v>11978.694835985181</v>
      </c>
      <c r="X693" s="4">
        <f t="shared" ca="1" si="208"/>
        <v>20.301574226794383</v>
      </c>
    </row>
    <row r="694" spans="1:24">
      <c r="A694">
        <v>1</v>
      </c>
      <c r="B694">
        <v>0</v>
      </c>
      <c r="C694">
        <f t="shared" si="190"/>
        <v>3</v>
      </c>
      <c r="D694">
        <f t="shared" si="191"/>
        <v>1</v>
      </c>
      <c r="E694">
        <f t="shared" si="192"/>
        <v>1</v>
      </c>
      <c r="F694" s="100">
        <f t="shared" ca="1" si="193"/>
        <v>0.18020274999999999</v>
      </c>
      <c r="G694">
        <v>1</v>
      </c>
      <c r="H694">
        <v>0</v>
      </c>
      <c r="I694">
        <v>0</v>
      </c>
      <c r="J694" s="1">
        <f t="shared" ca="1" si="194"/>
        <v>9.5000000000000168E-5</v>
      </c>
      <c r="K694" s="1">
        <f t="shared" ca="1" si="195"/>
        <v>1.711926125000003E-5</v>
      </c>
      <c r="L694" s="13">
        <f t="shared" ca="1" si="196"/>
        <v>65</v>
      </c>
      <c r="M694" s="7">
        <f t="shared" ca="1" si="197"/>
        <v>935</v>
      </c>
      <c r="N694" s="44">
        <f t="shared" ca="1" si="198"/>
        <v>11</v>
      </c>
      <c r="O694" s="94">
        <f t="shared" ca="1" si="199"/>
        <v>2.8265749241644089</v>
      </c>
      <c r="P694" s="94">
        <f t="shared" ca="1" si="200"/>
        <v>28.265749241644084</v>
      </c>
      <c r="Q694" s="94">
        <f t="shared" ca="1" si="201"/>
        <v>28.265749241644084</v>
      </c>
      <c r="R694" s="94">
        <f t="shared" ca="1" si="202"/>
        <v>2.8265749241644085</v>
      </c>
      <c r="S694" s="94">
        <f t="shared" ca="1" si="203"/>
        <v>2.8265749241644089</v>
      </c>
      <c r="T694" s="4">
        <f t="shared" ca="1" si="204"/>
        <v>4.8388874569469536E-5</v>
      </c>
      <c r="U694" s="46">
        <f t="shared" ca="1" si="205"/>
        <v>1427.7163216869442</v>
      </c>
      <c r="V694" s="4">
        <f t="shared" ca="1" si="206"/>
        <v>2.4441448701847879E-2</v>
      </c>
      <c r="W694" s="13">
        <f t="shared" ca="1" si="207"/>
        <v>11313.024540513297</v>
      </c>
      <c r="X694" s="4">
        <f t="shared" ca="1" si="208"/>
        <v>0.19367062263670867</v>
      </c>
    </row>
    <row r="695" spans="1:24">
      <c r="A695">
        <v>1</v>
      </c>
      <c r="B695">
        <v>0</v>
      </c>
      <c r="C695">
        <f t="shared" si="190"/>
        <v>3</v>
      </c>
      <c r="D695">
        <f t="shared" si="191"/>
        <v>1</v>
      </c>
      <c r="E695">
        <f t="shared" si="192"/>
        <v>1</v>
      </c>
      <c r="F695" s="100">
        <f t="shared" ca="1" si="193"/>
        <v>0.18020274999999999</v>
      </c>
      <c r="G695">
        <v>0</v>
      </c>
      <c r="H695">
        <v>1</v>
      </c>
      <c r="I695">
        <v>7</v>
      </c>
      <c r="J695" s="1">
        <f t="shared" ca="1" si="194"/>
        <v>0</v>
      </c>
      <c r="K695" s="1">
        <f t="shared" ca="1" si="195"/>
        <v>0</v>
      </c>
      <c r="L695" s="13">
        <f t="shared" ca="1" si="196"/>
        <v>156</v>
      </c>
      <c r="M695" s="7">
        <f t="shared" ca="1" si="197"/>
        <v>844</v>
      </c>
      <c r="N695" s="44">
        <f t="shared" ca="1" si="198"/>
        <v>10</v>
      </c>
      <c r="O695" s="94">
        <f t="shared" ca="1" si="199"/>
        <v>2.5877599795741038</v>
      </c>
      <c r="P695" s="94">
        <f t="shared" ca="1" si="200"/>
        <v>25.877599795741034</v>
      </c>
      <c r="Q695" s="94">
        <f t="shared" ca="1" si="201"/>
        <v>25.877599795741034</v>
      </c>
      <c r="R695" s="94">
        <f t="shared" ca="1" si="202"/>
        <v>2.5877599795741033</v>
      </c>
      <c r="S695" s="94">
        <f t="shared" ca="1" si="203"/>
        <v>2.5877599795741038</v>
      </c>
      <c r="T695" s="4">
        <f t="shared" ca="1" si="204"/>
        <v>0</v>
      </c>
      <c r="U695" s="46">
        <f t="shared" ca="1" si="205"/>
        <v>1420.8868633777442</v>
      </c>
      <c r="V695" s="4">
        <f t="shared" ca="1" si="206"/>
        <v>0</v>
      </c>
      <c r="W695" s="13">
        <f t="shared" ca="1" si="207"/>
        <v>5125.2361347438955</v>
      </c>
      <c r="X695" s="4">
        <f t="shared" ca="1" si="208"/>
        <v>0</v>
      </c>
    </row>
    <row r="696" spans="1:24">
      <c r="A696">
        <v>1</v>
      </c>
      <c r="B696">
        <v>0</v>
      </c>
      <c r="C696">
        <f t="shared" si="190"/>
        <v>3</v>
      </c>
      <c r="D696">
        <f t="shared" si="191"/>
        <v>1</v>
      </c>
      <c r="E696">
        <f t="shared" si="192"/>
        <v>1</v>
      </c>
      <c r="F696" s="100">
        <f t="shared" ca="1" si="193"/>
        <v>0.18020274999999999</v>
      </c>
      <c r="G696">
        <v>0</v>
      </c>
      <c r="H696">
        <v>1</v>
      </c>
      <c r="I696">
        <v>6</v>
      </c>
      <c r="J696" s="1">
        <f t="shared" ca="1" si="194"/>
        <v>0</v>
      </c>
      <c r="K696" s="1">
        <f t="shared" ca="1" si="195"/>
        <v>0</v>
      </c>
      <c r="L696" s="13">
        <f t="shared" ca="1" si="196"/>
        <v>143</v>
      </c>
      <c r="M696" s="7">
        <f t="shared" ca="1" si="197"/>
        <v>857</v>
      </c>
      <c r="N696" s="44">
        <f t="shared" ca="1" si="198"/>
        <v>10</v>
      </c>
      <c r="O696" s="94">
        <f t="shared" ca="1" si="199"/>
        <v>2.5877599795741038</v>
      </c>
      <c r="P696" s="94">
        <f t="shared" ca="1" si="200"/>
        <v>25.877599795741034</v>
      </c>
      <c r="Q696" s="94">
        <f t="shared" ca="1" si="201"/>
        <v>25.877599795741034</v>
      </c>
      <c r="R696" s="94">
        <f t="shared" ca="1" si="202"/>
        <v>2.5877599795741033</v>
      </c>
      <c r="S696" s="94">
        <f t="shared" ca="1" si="203"/>
        <v>2.5877599795741038</v>
      </c>
      <c r="T696" s="4">
        <f t="shared" ca="1" si="204"/>
        <v>0</v>
      </c>
      <c r="U696" s="46">
        <f t="shared" ca="1" si="205"/>
        <v>1407.8868633777442</v>
      </c>
      <c r="V696" s="4">
        <f t="shared" ca="1" si="206"/>
        <v>0</v>
      </c>
      <c r="W696" s="13">
        <f t="shared" ca="1" si="207"/>
        <v>4459.5658392720125</v>
      </c>
      <c r="X696" s="4">
        <f t="shared" ca="1" si="208"/>
        <v>0</v>
      </c>
    </row>
    <row r="697" spans="1:24">
      <c r="A697">
        <v>1</v>
      </c>
      <c r="B697">
        <v>0</v>
      </c>
      <c r="C697">
        <f t="shared" si="190"/>
        <v>3</v>
      </c>
      <c r="D697">
        <f t="shared" si="191"/>
        <v>1</v>
      </c>
      <c r="E697">
        <f t="shared" si="192"/>
        <v>1</v>
      </c>
      <c r="F697" s="100">
        <f t="shared" ca="1" si="193"/>
        <v>0.18020274999999999</v>
      </c>
      <c r="G697">
        <v>0</v>
      </c>
      <c r="H697">
        <v>1</v>
      </c>
      <c r="I697">
        <v>5</v>
      </c>
      <c r="J697" s="1">
        <f t="shared" ca="1" si="194"/>
        <v>0</v>
      </c>
      <c r="K697" s="1">
        <f t="shared" ca="1" si="195"/>
        <v>0</v>
      </c>
      <c r="L697" s="13">
        <f t="shared" ca="1" si="196"/>
        <v>130</v>
      </c>
      <c r="M697" s="7">
        <f t="shared" ca="1" si="197"/>
        <v>870</v>
      </c>
      <c r="N697" s="44">
        <f t="shared" ca="1" si="198"/>
        <v>10</v>
      </c>
      <c r="O697" s="94">
        <f t="shared" ca="1" si="199"/>
        <v>2.5877599795741038</v>
      </c>
      <c r="P697" s="94">
        <f t="shared" ca="1" si="200"/>
        <v>25.877599795741034</v>
      </c>
      <c r="Q697" s="94">
        <f t="shared" ca="1" si="201"/>
        <v>25.877599795741034</v>
      </c>
      <c r="R697" s="94">
        <f t="shared" ca="1" si="202"/>
        <v>2.5877599795741033</v>
      </c>
      <c r="S697" s="94">
        <f t="shared" ca="1" si="203"/>
        <v>2.5877599795741038</v>
      </c>
      <c r="T697" s="4">
        <f t="shared" ca="1" si="204"/>
        <v>0</v>
      </c>
      <c r="U697" s="46">
        <f t="shared" ca="1" si="205"/>
        <v>1394.8868633777442</v>
      </c>
      <c r="V697" s="4">
        <f t="shared" ca="1" si="206"/>
        <v>0</v>
      </c>
      <c r="W697" s="13">
        <f t="shared" ca="1" si="207"/>
        <v>3793.895543800129</v>
      </c>
      <c r="X697" s="4">
        <f t="shared" ca="1" si="208"/>
        <v>0</v>
      </c>
    </row>
    <row r="698" spans="1:24">
      <c r="A698">
        <v>1</v>
      </c>
      <c r="B698">
        <v>0</v>
      </c>
      <c r="C698">
        <f t="shared" si="190"/>
        <v>3</v>
      </c>
      <c r="D698">
        <f t="shared" si="191"/>
        <v>1</v>
      </c>
      <c r="E698">
        <f t="shared" si="192"/>
        <v>1</v>
      </c>
      <c r="F698" s="100">
        <f t="shared" ca="1" si="193"/>
        <v>0.18020274999999999</v>
      </c>
      <c r="G698">
        <v>0</v>
      </c>
      <c r="H698">
        <v>1</v>
      </c>
      <c r="I698">
        <v>4</v>
      </c>
      <c r="J698" s="1">
        <f t="shared" ca="1" si="194"/>
        <v>0</v>
      </c>
      <c r="K698" s="1">
        <f t="shared" ca="1" si="195"/>
        <v>0</v>
      </c>
      <c r="L698" s="13">
        <f t="shared" ca="1" si="196"/>
        <v>117</v>
      </c>
      <c r="M698" s="7">
        <f t="shared" ca="1" si="197"/>
        <v>883</v>
      </c>
      <c r="N698" s="44">
        <f t="shared" ca="1" si="198"/>
        <v>10</v>
      </c>
      <c r="O698" s="94">
        <f t="shared" ca="1" si="199"/>
        <v>2.5877599795741038</v>
      </c>
      <c r="P698" s="94">
        <f t="shared" ca="1" si="200"/>
        <v>25.877599795741034</v>
      </c>
      <c r="Q698" s="94">
        <f t="shared" ca="1" si="201"/>
        <v>25.877599795741034</v>
      </c>
      <c r="R698" s="94">
        <f t="shared" ca="1" si="202"/>
        <v>2.5877599795741033</v>
      </c>
      <c r="S698" s="94">
        <f t="shared" ca="1" si="203"/>
        <v>2.5877599795741038</v>
      </c>
      <c r="T698" s="4">
        <f t="shared" ca="1" si="204"/>
        <v>0</v>
      </c>
      <c r="U698" s="46">
        <f t="shared" ca="1" si="205"/>
        <v>1381.8868633777442</v>
      </c>
      <c r="V698" s="4">
        <f t="shared" ca="1" si="206"/>
        <v>0</v>
      </c>
      <c r="W698" s="13">
        <f t="shared" ca="1" si="207"/>
        <v>3128.2252483282455</v>
      </c>
      <c r="X698" s="4">
        <f t="shared" ca="1" si="208"/>
        <v>0</v>
      </c>
    </row>
    <row r="699" spans="1:24">
      <c r="A699">
        <v>1</v>
      </c>
      <c r="B699">
        <v>0</v>
      </c>
      <c r="C699">
        <f t="shared" si="190"/>
        <v>3</v>
      </c>
      <c r="D699">
        <f t="shared" si="191"/>
        <v>1</v>
      </c>
      <c r="E699">
        <f t="shared" si="192"/>
        <v>1</v>
      </c>
      <c r="F699" s="100">
        <f t="shared" ca="1" si="193"/>
        <v>0.18020274999999999</v>
      </c>
      <c r="G699">
        <v>0</v>
      </c>
      <c r="H699">
        <v>1</v>
      </c>
      <c r="I699">
        <v>3</v>
      </c>
      <c r="J699" s="1">
        <f t="shared" ca="1" si="194"/>
        <v>0</v>
      </c>
      <c r="K699" s="1">
        <f t="shared" ca="1" si="195"/>
        <v>0</v>
      </c>
      <c r="L699" s="13">
        <f t="shared" ca="1" si="196"/>
        <v>104</v>
      </c>
      <c r="M699" s="7">
        <f t="shared" ca="1" si="197"/>
        <v>896</v>
      </c>
      <c r="N699" s="44">
        <f t="shared" ca="1" si="198"/>
        <v>11</v>
      </c>
      <c r="O699" s="94">
        <f t="shared" ca="1" si="199"/>
        <v>2.8265749241644089</v>
      </c>
      <c r="P699" s="94">
        <f t="shared" ca="1" si="200"/>
        <v>27.071674518692554</v>
      </c>
      <c r="Q699" s="94">
        <f t="shared" ca="1" si="201"/>
        <v>25.877599795741034</v>
      </c>
      <c r="R699" s="94">
        <f t="shared" ca="1" si="202"/>
        <v>2.6474637157216794</v>
      </c>
      <c r="S699" s="94">
        <f t="shared" ca="1" si="203"/>
        <v>2.8265749241644089</v>
      </c>
      <c r="T699" s="4">
        <f t="shared" ca="1" si="204"/>
        <v>0</v>
      </c>
      <c r="U699" s="46">
        <f t="shared" ca="1" si="205"/>
        <v>1466.7163216869442</v>
      </c>
      <c r="V699" s="4">
        <f t="shared" ca="1" si="206"/>
        <v>0</v>
      </c>
      <c r="W699" s="13">
        <f t="shared" ca="1" si="207"/>
        <v>2462.5549528563624</v>
      </c>
      <c r="X699" s="4">
        <f t="shared" ca="1" si="208"/>
        <v>0</v>
      </c>
    </row>
    <row r="700" spans="1:24">
      <c r="A700">
        <v>1</v>
      </c>
      <c r="B700">
        <v>0</v>
      </c>
      <c r="C700">
        <f t="shared" si="190"/>
        <v>3</v>
      </c>
      <c r="D700">
        <f t="shared" si="191"/>
        <v>1</v>
      </c>
      <c r="E700">
        <f t="shared" si="192"/>
        <v>1</v>
      </c>
      <c r="F700" s="100">
        <f t="shared" ca="1" si="193"/>
        <v>0.18020274999999999</v>
      </c>
      <c r="G700">
        <v>0</v>
      </c>
      <c r="H700">
        <v>1</v>
      </c>
      <c r="I700">
        <v>2</v>
      </c>
      <c r="J700" s="1">
        <f t="shared" ca="1" si="194"/>
        <v>0</v>
      </c>
      <c r="K700" s="1">
        <f t="shared" ca="1" si="195"/>
        <v>0</v>
      </c>
      <c r="L700" s="13">
        <f t="shared" ca="1" si="196"/>
        <v>91</v>
      </c>
      <c r="M700" s="7">
        <f t="shared" ca="1" si="197"/>
        <v>909</v>
      </c>
      <c r="N700" s="44">
        <f t="shared" ca="1" si="198"/>
        <v>11</v>
      </c>
      <c r="O700" s="94">
        <f t="shared" ca="1" si="199"/>
        <v>2.8265749241644089</v>
      </c>
      <c r="P700" s="94">
        <f t="shared" ca="1" si="200"/>
        <v>28.265749241644084</v>
      </c>
      <c r="Q700" s="94">
        <f t="shared" ca="1" si="201"/>
        <v>27.788119352463475</v>
      </c>
      <c r="R700" s="94">
        <f t="shared" ca="1" si="202"/>
        <v>2.8026934297053776</v>
      </c>
      <c r="S700" s="94">
        <f t="shared" ca="1" si="203"/>
        <v>2.8265749241644089</v>
      </c>
      <c r="T700" s="4">
        <f t="shared" ca="1" si="204"/>
        <v>0</v>
      </c>
      <c r="U700" s="46">
        <f t="shared" ca="1" si="205"/>
        <v>1453.7163216869442</v>
      </c>
      <c r="V700" s="4">
        <f t="shared" ca="1" si="206"/>
        <v>0</v>
      </c>
      <c r="W700" s="13">
        <f t="shared" ca="1" si="207"/>
        <v>1796.8846573844794</v>
      </c>
      <c r="X700" s="4">
        <f t="shared" ca="1" si="208"/>
        <v>0</v>
      </c>
    </row>
    <row r="701" spans="1:24">
      <c r="A701">
        <v>1</v>
      </c>
      <c r="B701">
        <v>0</v>
      </c>
      <c r="C701">
        <f t="shared" si="190"/>
        <v>3</v>
      </c>
      <c r="D701">
        <f t="shared" si="191"/>
        <v>1</v>
      </c>
      <c r="E701">
        <f t="shared" si="192"/>
        <v>1</v>
      </c>
      <c r="F701" s="100">
        <f t="shared" ca="1" si="193"/>
        <v>0.18020274999999999</v>
      </c>
      <c r="G701">
        <v>0</v>
      </c>
      <c r="H701">
        <v>1</v>
      </c>
      <c r="I701">
        <v>1</v>
      </c>
      <c r="J701" s="1">
        <f t="shared" ca="1" si="194"/>
        <v>4.9005E-2</v>
      </c>
      <c r="K701" s="1">
        <f t="shared" ca="1" si="195"/>
        <v>8.8308357637499994E-3</v>
      </c>
      <c r="L701" s="13">
        <f t="shared" ca="1" si="196"/>
        <v>78</v>
      </c>
      <c r="M701" s="7">
        <f t="shared" ca="1" si="197"/>
        <v>922</v>
      </c>
      <c r="N701" s="44">
        <f t="shared" ca="1" si="198"/>
        <v>11</v>
      </c>
      <c r="O701" s="94">
        <f t="shared" ca="1" si="199"/>
        <v>2.8265749241644089</v>
      </c>
      <c r="P701" s="94">
        <f t="shared" ca="1" si="200"/>
        <v>28.265749241644084</v>
      </c>
      <c r="Q701" s="94">
        <f t="shared" ca="1" si="201"/>
        <v>28.265749241644084</v>
      </c>
      <c r="R701" s="94">
        <f t="shared" ca="1" si="202"/>
        <v>2.8265749241644085</v>
      </c>
      <c r="S701" s="94">
        <f t="shared" ca="1" si="203"/>
        <v>2.8265749241644089</v>
      </c>
      <c r="T701" s="4">
        <f t="shared" ca="1" si="204"/>
        <v>2.4961018929230003E-2</v>
      </c>
      <c r="U701" s="46">
        <f t="shared" ca="1" si="205"/>
        <v>1440.7163216869442</v>
      </c>
      <c r="V701" s="4">
        <f t="shared" ca="1" si="206"/>
        <v>12.722729218971416</v>
      </c>
      <c r="W701" s="13">
        <f t="shared" ca="1" si="207"/>
        <v>1131.2143619125961</v>
      </c>
      <c r="X701" s="4">
        <f t="shared" ca="1" si="208"/>
        <v>9.9895682436453885</v>
      </c>
    </row>
    <row r="702" spans="1:24">
      <c r="A702">
        <v>1</v>
      </c>
      <c r="B702">
        <v>0</v>
      </c>
      <c r="C702">
        <f t="shared" si="190"/>
        <v>3</v>
      </c>
      <c r="D702">
        <f t="shared" si="191"/>
        <v>1</v>
      </c>
      <c r="E702">
        <f t="shared" si="192"/>
        <v>1</v>
      </c>
      <c r="F702" s="100">
        <f t="shared" ca="1" si="193"/>
        <v>0.18020274999999999</v>
      </c>
      <c r="G702">
        <v>0</v>
      </c>
      <c r="H702">
        <v>1</v>
      </c>
      <c r="I702">
        <v>0</v>
      </c>
      <c r="J702" s="1">
        <f t="shared" ca="1" si="194"/>
        <v>4.9500000000000043E-4</v>
      </c>
      <c r="K702" s="1">
        <f t="shared" ca="1" si="195"/>
        <v>8.9200361250000074E-5</v>
      </c>
      <c r="L702" s="13">
        <f t="shared" ca="1" si="196"/>
        <v>65</v>
      </c>
      <c r="M702" s="7">
        <f t="shared" ca="1" si="197"/>
        <v>935</v>
      </c>
      <c r="N702" s="44">
        <f t="shared" ca="1" si="198"/>
        <v>11</v>
      </c>
      <c r="O702" s="94">
        <f t="shared" ca="1" si="199"/>
        <v>2.8265749241644089</v>
      </c>
      <c r="P702" s="94">
        <f t="shared" ca="1" si="200"/>
        <v>28.265749241644084</v>
      </c>
      <c r="Q702" s="94">
        <f t="shared" ca="1" si="201"/>
        <v>28.265749241644084</v>
      </c>
      <c r="R702" s="94">
        <f t="shared" ca="1" si="202"/>
        <v>2.8265749241644085</v>
      </c>
      <c r="S702" s="94">
        <f t="shared" ca="1" si="203"/>
        <v>2.8265749241644089</v>
      </c>
      <c r="T702" s="4">
        <f t="shared" ca="1" si="204"/>
        <v>2.5213150433565684E-4</v>
      </c>
      <c r="U702" s="46">
        <f t="shared" ca="1" si="205"/>
        <v>1427.7163216869442</v>
      </c>
      <c r="V702" s="4">
        <f t="shared" ca="1" si="206"/>
        <v>0.12735281165699674</v>
      </c>
      <c r="W702" s="13">
        <f t="shared" ca="1" si="207"/>
        <v>465.54406644071304</v>
      </c>
      <c r="X702" s="4">
        <f t="shared" ca="1" si="208"/>
        <v>4.1526698904305638E-2</v>
      </c>
    </row>
    <row r="703" spans="1:24">
      <c r="A703">
        <v>1</v>
      </c>
      <c r="B703">
        <v>0</v>
      </c>
      <c r="C703">
        <f t="shared" si="190"/>
        <v>3</v>
      </c>
      <c r="D703">
        <f t="shared" si="191"/>
        <v>1</v>
      </c>
      <c r="E703">
        <f t="shared" si="192"/>
        <v>1</v>
      </c>
      <c r="F703" s="100">
        <f t="shared" ca="1" si="193"/>
        <v>0.18020274999999999</v>
      </c>
      <c r="G703">
        <v>0</v>
      </c>
      <c r="H703">
        <v>0</v>
      </c>
      <c r="I703">
        <v>7</v>
      </c>
      <c r="J703" s="1">
        <f t="shared" ca="1" si="194"/>
        <v>0</v>
      </c>
      <c r="K703" s="1">
        <f t="shared" ca="1" si="195"/>
        <v>0</v>
      </c>
      <c r="L703" s="13">
        <f t="shared" ca="1" si="196"/>
        <v>91</v>
      </c>
      <c r="M703" s="7">
        <f t="shared" ca="1" si="197"/>
        <v>909</v>
      </c>
      <c r="N703" s="44">
        <f t="shared" ca="1" si="198"/>
        <v>11</v>
      </c>
      <c r="O703" s="94">
        <f t="shared" ca="1" si="199"/>
        <v>2.8265749241644089</v>
      </c>
      <c r="P703" s="94">
        <f t="shared" ca="1" si="200"/>
        <v>28.265749241644084</v>
      </c>
      <c r="Q703" s="94">
        <f t="shared" ca="1" si="201"/>
        <v>27.788119352463475</v>
      </c>
      <c r="R703" s="94">
        <f t="shared" ca="1" si="202"/>
        <v>2.8026934297053776</v>
      </c>
      <c r="S703" s="94">
        <f t="shared" ca="1" si="203"/>
        <v>2.8265749241644089</v>
      </c>
      <c r="T703" s="4">
        <f t="shared" ca="1" si="204"/>
        <v>0</v>
      </c>
      <c r="U703" s="46">
        <f t="shared" ca="1" si="205"/>
        <v>1453.7163216869442</v>
      </c>
      <c r="V703" s="4">
        <f t="shared" ca="1" si="206"/>
        <v>0</v>
      </c>
      <c r="W703" s="13">
        <f t="shared" ca="1" si="207"/>
        <v>4659.6920683031822</v>
      </c>
      <c r="X703" s="4">
        <f t="shared" ca="1" si="208"/>
        <v>0</v>
      </c>
    </row>
    <row r="704" spans="1:24">
      <c r="A704">
        <v>1</v>
      </c>
      <c r="B704">
        <v>0</v>
      </c>
      <c r="C704">
        <f t="shared" si="190"/>
        <v>3</v>
      </c>
      <c r="D704">
        <f t="shared" si="191"/>
        <v>1</v>
      </c>
      <c r="E704">
        <f t="shared" si="192"/>
        <v>1</v>
      </c>
      <c r="F704" s="100">
        <f t="shared" ca="1" si="193"/>
        <v>0.18020274999999999</v>
      </c>
      <c r="G704">
        <v>0</v>
      </c>
      <c r="H704">
        <v>0</v>
      </c>
      <c r="I704">
        <v>6</v>
      </c>
      <c r="J704" s="1">
        <f t="shared" ca="1" si="194"/>
        <v>0</v>
      </c>
      <c r="K704" s="1">
        <f t="shared" ca="1" si="195"/>
        <v>0</v>
      </c>
      <c r="L704" s="13">
        <f t="shared" ca="1" si="196"/>
        <v>78</v>
      </c>
      <c r="M704" s="7">
        <f t="shared" ca="1" si="197"/>
        <v>922</v>
      </c>
      <c r="N704" s="44">
        <f t="shared" ca="1" si="198"/>
        <v>11</v>
      </c>
      <c r="O704" s="94">
        <f t="shared" ca="1" si="199"/>
        <v>2.8265749241644089</v>
      </c>
      <c r="P704" s="94">
        <f t="shared" ca="1" si="200"/>
        <v>28.265749241644084</v>
      </c>
      <c r="Q704" s="94">
        <f t="shared" ca="1" si="201"/>
        <v>28.265749241644084</v>
      </c>
      <c r="R704" s="94">
        <f t="shared" ca="1" si="202"/>
        <v>2.8265749241644085</v>
      </c>
      <c r="S704" s="94">
        <f t="shared" ca="1" si="203"/>
        <v>2.8265749241644089</v>
      </c>
      <c r="T704" s="4">
        <f t="shared" ca="1" si="204"/>
        <v>0</v>
      </c>
      <c r="U704" s="46">
        <f t="shared" ca="1" si="205"/>
        <v>1440.7163216869442</v>
      </c>
      <c r="V704" s="4">
        <f t="shared" ca="1" si="206"/>
        <v>0</v>
      </c>
      <c r="W704" s="13">
        <f t="shared" ca="1" si="207"/>
        <v>3994.0217728312991</v>
      </c>
      <c r="X704" s="4">
        <f t="shared" ca="1" si="208"/>
        <v>0</v>
      </c>
    </row>
    <row r="705" spans="1:24">
      <c r="A705">
        <v>1</v>
      </c>
      <c r="B705">
        <v>0</v>
      </c>
      <c r="C705">
        <f t="shared" si="190"/>
        <v>3</v>
      </c>
      <c r="D705">
        <f t="shared" si="191"/>
        <v>1</v>
      </c>
      <c r="E705">
        <f t="shared" si="192"/>
        <v>1</v>
      </c>
      <c r="F705" s="100">
        <f t="shared" ca="1" si="193"/>
        <v>0.18020274999999999</v>
      </c>
      <c r="G705">
        <v>0</v>
      </c>
      <c r="H705">
        <v>0</v>
      </c>
      <c r="I705">
        <v>5</v>
      </c>
      <c r="J705" s="1">
        <f t="shared" ca="1" si="194"/>
        <v>0</v>
      </c>
      <c r="K705" s="1">
        <f t="shared" ca="1" si="195"/>
        <v>0</v>
      </c>
      <c r="L705" s="13">
        <f t="shared" ca="1" si="196"/>
        <v>65</v>
      </c>
      <c r="M705" s="7">
        <f t="shared" ca="1" si="197"/>
        <v>935</v>
      </c>
      <c r="N705" s="44">
        <f t="shared" ca="1" si="198"/>
        <v>11</v>
      </c>
      <c r="O705" s="94">
        <f t="shared" ca="1" si="199"/>
        <v>2.8265749241644089</v>
      </c>
      <c r="P705" s="94">
        <f t="shared" ca="1" si="200"/>
        <v>28.265749241644084</v>
      </c>
      <c r="Q705" s="94">
        <f t="shared" ca="1" si="201"/>
        <v>28.265749241644084</v>
      </c>
      <c r="R705" s="94">
        <f t="shared" ca="1" si="202"/>
        <v>2.8265749241644085</v>
      </c>
      <c r="S705" s="94">
        <f t="shared" ca="1" si="203"/>
        <v>2.8265749241644089</v>
      </c>
      <c r="T705" s="4">
        <f t="shared" ca="1" si="204"/>
        <v>0</v>
      </c>
      <c r="U705" s="46">
        <f t="shared" ca="1" si="205"/>
        <v>1427.7163216869442</v>
      </c>
      <c r="V705" s="4">
        <f t="shared" ca="1" si="206"/>
        <v>0</v>
      </c>
      <c r="W705" s="13">
        <f t="shared" ca="1" si="207"/>
        <v>3328.3514773594161</v>
      </c>
      <c r="X705" s="4">
        <f t="shared" ca="1" si="208"/>
        <v>0</v>
      </c>
    </row>
    <row r="706" spans="1:24">
      <c r="A706">
        <v>1</v>
      </c>
      <c r="B706">
        <v>0</v>
      </c>
      <c r="C706">
        <f t="shared" si="190"/>
        <v>3</v>
      </c>
      <c r="D706">
        <f t="shared" si="191"/>
        <v>1</v>
      </c>
      <c r="E706">
        <f t="shared" si="192"/>
        <v>1</v>
      </c>
      <c r="F706" s="100">
        <f t="shared" ca="1" si="193"/>
        <v>0.18020274999999999</v>
      </c>
      <c r="G706">
        <v>0</v>
      </c>
      <c r="H706">
        <v>0</v>
      </c>
      <c r="I706">
        <v>4</v>
      </c>
      <c r="J706" s="1">
        <f t="shared" ca="1" si="194"/>
        <v>0</v>
      </c>
      <c r="K706" s="1">
        <f t="shared" ca="1" si="195"/>
        <v>0</v>
      </c>
      <c r="L706" s="13">
        <f t="shared" ca="1" si="196"/>
        <v>52</v>
      </c>
      <c r="M706" s="7">
        <f t="shared" ca="1" si="197"/>
        <v>948</v>
      </c>
      <c r="N706" s="44">
        <f t="shared" ca="1" si="198"/>
        <v>11</v>
      </c>
      <c r="O706" s="94">
        <f t="shared" ca="1" si="199"/>
        <v>2.8265749241644089</v>
      </c>
      <c r="P706" s="94">
        <f t="shared" ca="1" si="200"/>
        <v>28.265749241644084</v>
      </c>
      <c r="Q706" s="94">
        <f t="shared" ca="1" si="201"/>
        <v>28.265749241644084</v>
      </c>
      <c r="R706" s="94">
        <f t="shared" ca="1" si="202"/>
        <v>2.8265749241644085</v>
      </c>
      <c r="S706" s="94">
        <f t="shared" ca="1" si="203"/>
        <v>2.8265749241644089</v>
      </c>
      <c r="T706" s="4">
        <f t="shared" ca="1" si="204"/>
        <v>0</v>
      </c>
      <c r="U706" s="46">
        <f t="shared" ca="1" si="205"/>
        <v>1414.7163216869442</v>
      </c>
      <c r="V706" s="4">
        <f t="shared" ca="1" si="206"/>
        <v>0</v>
      </c>
      <c r="W706" s="13">
        <f t="shared" ca="1" si="207"/>
        <v>2662.6811818875326</v>
      </c>
      <c r="X706" s="4">
        <f t="shared" ca="1" si="208"/>
        <v>0</v>
      </c>
    </row>
    <row r="707" spans="1:24">
      <c r="A707">
        <v>1</v>
      </c>
      <c r="B707">
        <v>0</v>
      </c>
      <c r="C707">
        <f t="shared" si="190"/>
        <v>3</v>
      </c>
      <c r="D707">
        <f t="shared" si="191"/>
        <v>1</v>
      </c>
      <c r="E707">
        <f t="shared" si="192"/>
        <v>1</v>
      </c>
      <c r="F707" s="100">
        <f t="shared" ca="1" si="193"/>
        <v>0.18020274999999999</v>
      </c>
      <c r="G707">
        <v>0</v>
      </c>
      <c r="H707">
        <v>0</v>
      </c>
      <c r="I707">
        <v>3</v>
      </c>
      <c r="J707" s="1">
        <f t="shared" ca="1" si="194"/>
        <v>0</v>
      </c>
      <c r="K707" s="1">
        <f t="shared" ca="1" si="195"/>
        <v>0</v>
      </c>
      <c r="L707" s="13">
        <f t="shared" ca="1" si="196"/>
        <v>39</v>
      </c>
      <c r="M707" s="7">
        <f t="shared" ca="1" si="197"/>
        <v>961</v>
      </c>
      <c r="N707" s="44">
        <f t="shared" ca="1" si="198"/>
        <v>11</v>
      </c>
      <c r="O707" s="94">
        <f t="shared" ca="1" si="199"/>
        <v>2.8265749241644089</v>
      </c>
      <c r="P707" s="94">
        <f t="shared" ca="1" si="200"/>
        <v>28.265749241644084</v>
      </c>
      <c r="Q707" s="94">
        <f t="shared" ca="1" si="201"/>
        <v>28.265749241644084</v>
      </c>
      <c r="R707" s="94">
        <f t="shared" ca="1" si="202"/>
        <v>2.8265749241644085</v>
      </c>
      <c r="S707" s="94">
        <f t="shared" ca="1" si="203"/>
        <v>2.8265749241644089</v>
      </c>
      <c r="T707" s="4">
        <f t="shared" ca="1" si="204"/>
        <v>0</v>
      </c>
      <c r="U707" s="46">
        <f t="shared" ca="1" si="205"/>
        <v>1401.7163216869442</v>
      </c>
      <c r="V707" s="4">
        <f t="shared" ca="1" si="206"/>
        <v>0</v>
      </c>
      <c r="W707" s="13">
        <f t="shared" ca="1" si="207"/>
        <v>1997.0108864156496</v>
      </c>
      <c r="X707" s="4">
        <f t="shared" ca="1" si="208"/>
        <v>0</v>
      </c>
    </row>
    <row r="708" spans="1:24">
      <c r="A708">
        <v>1</v>
      </c>
      <c r="B708">
        <v>0</v>
      </c>
      <c r="C708">
        <f t="shared" si="190"/>
        <v>3</v>
      </c>
      <c r="D708">
        <f t="shared" si="191"/>
        <v>1</v>
      </c>
      <c r="E708">
        <f t="shared" si="192"/>
        <v>1</v>
      </c>
      <c r="F708" s="100">
        <f t="shared" ca="1" si="193"/>
        <v>0.18020274999999999</v>
      </c>
      <c r="G708">
        <v>0</v>
      </c>
      <c r="H708">
        <v>0</v>
      </c>
      <c r="I708">
        <v>2</v>
      </c>
      <c r="J708" s="1">
        <f t="shared" ca="1" si="194"/>
        <v>0</v>
      </c>
      <c r="K708" s="1">
        <f t="shared" ca="1" si="195"/>
        <v>0</v>
      </c>
      <c r="L708" s="13">
        <f t="shared" ca="1" si="196"/>
        <v>26</v>
      </c>
      <c r="M708" s="7">
        <f t="shared" ca="1" si="197"/>
        <v>974</v>
      </c>
      <c r="N708" s="44">
        <f t="shared" ca="1" si="198"/>
        <v>11</v>
      </c>
      <c r="O708" s="94">
        <f t="shared" ca="1" si="199"/>
        <v>2.8265749241644089</v>
      </c>
      <c r="P708" s="94">
        <f t="shared" ca="1" si="200"/>
        <v>28.265749241644084</v>
      </c>
      <c r="Q708" s="94">
        <f t="shared" ca="1" si="201"/>
        <v>28.265749241644084</v>
      </c>
      <c r="R708" s="94">
        <f t="shared" ca="1" si="202"/>
        <v>2.8265749241644085</v>
      </c>
      <c r="S708" s="94">
        <f t="shared" ca="1" si="203"/>
        <v>2.8265749241644089</v>
      </c>
      <c r="T708" s="4">
        <f t="shared" ca="1" si="204"/>
        <v>0</v>
      </c>
      <c r="U708" s="46">
        <f t="shared" ca="1" si="205"/>
        <v>1388.7163216869442</v>
      </c>
      <c r="V708" s="4">
        <f t="shared" ca="1" si="206"/>
        <v>0</v>
      </c>
      <c r="W708" s="13">
        <f t="shared" ca="1" si="207"/>
        <v>1331.3405909437663</v>
      </c>
      <c r="X708" s="4">
        <f t="shared" ca="1" si="208"/>
        <v>0</v>
      </c>
    </row>
    <row r="709" spans="1:24">
      <c r="A709">
        <v>1</v>
      </c>
      <c r="B709">
        <v>0</v>
      </c>
      <c r="C709">
        <f t="shared" si="190"/>
        <v>3</v>
      </c>
      <c r="D709">
        <f t="shared" si="191"/>
        <v>1</v>
      </c>
      <c r="E709">
        <f t="shared" si="192"/>
        <v>1</v>
      </c>
      <c r="F709" s="100">
        <f t="shared" ca="1" si="193"/>
        <v>0.18020274999999999</v>
      </c>
      <c r="G709">
        <v>0</v>
      </c>
      <c r="H709">
        <v>0</v>
      </c>
      <c r="I709">
        <v>1</v>
      </c>
      <c r="J709" s="1">
        <f t="shared" ca="1" si="194"/>
        <v>4.9500000000000043E-4</v>
      </c>
      <c r="K709" s="1">
        <f t="shared" ca="1" si="195"/>
        <v>8.9200361250000074E-5</v>
      </c>
      <c r="L709" s="13">
        <f t="shared" ca="1" si="196"/>
        <v>13</v>
      </c>
      <c r="M709" s="7">
        <f t="shared" ca="1" si="197"/>
        <v>987</v>
      </c>
      <c r="N709" s="44">
        <f t="shared" ca="1" si="198"/>
        <v>12</v>
      </c>
      <c r="O709" s="94">
        <f t="shared" ca="1" si="199"/>
        <v>3.049271339469791</v>
      </c>
      <c r="P709" s="94">
        <f t="shared" ca="1" si="200"/>
        <v>29.824624148781758</v>
      </c>
      <c r="Q709" s="94">
        <f t="shared" ca="1" si="201"/>
        <v>28.265749241644084</v>
      </c>
      <c r="R709" s="94">
        <f t="shared" ca="1" si="202"/>
        <v>2.9045186695212921</v>
      </c>
      <c r="S709" s="94">
        <f t="shared" ca="1" si="203"/>
        <v>3.049271339469791</v>
      </c>
      <c r="T709" s="4">
        <f t="shared" ca="1" si="204"/>
        <v>2.7199610502997695E-4</v>
      </c>
      <c r="U709" s="46">
        <f t="shared" ca="1" si="205"/>
        <v>1466.9428976204611</v>
      </c>
      <c r="V709" s="4">
        <f t="shared" ca="1" si="206"/>
        <v>0.13085183640086701</v>
      </c>
      <c r="W709" s="13">
        <f t="shared" ca="1" si="207"/>
        <v>665.67029547188315</v>
      </c>
      <c r="X709" s="4">
        <f t="shared" ca="1" si="208"/>
        <v>5.9378030829486263E-2</v>
      </c>
    </row>
    <row r="710" spans="1:24">
      <c r="A710">
        <v>1</v>
      </c>
      <c r="B710">
        <v>0</v>
      </c>
      <c r="C710">
        <f t="shared" si="190"/>
        <v>3</v>
      </c>
      <c r="D710">
        <f t="shared" si="191"/>
        <v>1</v>
      </c>
      <c r="E710">
        <f t="shared" si="192"/>
        <v>1</v>
      </c>
      <c r="F710" s="100">
        <f t="shared" ca="1" si="193"/>
        <v>0.18020274999999999</v>
      </c>
      <c r="G710">
        <v>0</v>
      </c>
      <c r="H710">
        <v>0</v>
      </c>
      <c r="I710">
        <v>0</v>
      </c>
      <c r="J710" s="1">
        <f t="shared" ca="1" si="194"/>
        <v>5.0000000000000089E-6</v>
      </c>
      <c r="K710" s="1">
        <f t="shared" ca="1" si="195"/>
        <v>9.0101375000000153E-7</v>
      </c>
      <c r="L710" s="13">
        <f t="shared" ca="1" si="196"/>
        <v>0</v>
      </c>
      <c r="M710" s="7">
        <f t="shared" ca="1" si="197"/>
        <v>1000</v>
      </c>
      <c r="N710" s="44">
        <f t="shared" ca="1" si="198"/>
        <v>12</v>
      </c>
      <c r="O710" s="94">
        <f t="shared" ca="1" si="199"/>
        <v>3.049271339469791</v>
      </c>
      <c r="P710" s="94">
        <f t="shared" ca="1" si="200"/>
        <v>30.492713394697905</v>
      </c>
      <c r="Q710" s="94">
        <f t="shared" ca="1" si="201"/>
        <v>30.492713394697905</v>
      </c>
      <c r="R710" s="94">
        <f t="shared" ca="1" si="202"/>
        <v>3.0492713394697906</v>
      </c>
      <c r="S710" s="94">
        <f t="shared" ca="1" si="203"/>
        <v>3.049271339469791</v>
      </c>
      <c r="T710" s="4">
        <f t="shared" ca="1" si="204"/>
        <v>2.747435404343204E-6</v>
      </c>
      <c r="U710" s="46">
        <f t="shared" ca="1" si="205"/>
        <v>1453.9428976204611</v>
      </c>
      <c r="V710" s="4">
        <f t="shared" ca="1" si="206"/>
        <v>1.3100225424708799E-3</v>
      </c>
      <c r="W710" s="13">
        <f t="shared" ca="1" si="207"/>
        <v>0</v>
      </c>
      <c r="X710" s="4">
        <f t="shared" ca="1" si="208"/>
        <v>0</v>
      </c>
    </row>
    <row r="711" spans="1:24">
      <c r="A711">
        <v>1</v>
      </c>
      <c r="B711">
        <v>1</v>
      </c>
      <c r="C711">
        <f t="shared" si="190"/>
        <v>4</v>
      </c>
      <c r="D711">
        <f t="shared" si="191"/>
        <v>2</v>
      </c>
      <c r="E711">
        <f t="shared" si="192"/>
        <v>1</v>
      </c>
      <c r="F711" s="100">
        <f t="shared" ca="1" si="193"/>
        <v>9.703225E-2</v>
      </c>
      <c r="G711">
        <v>1</v>
      </c>
      <c r="H711">
        <v>1</v>
      </c>
      <c r="I711">
        <v>7</v>
      </c>
      <c r="J711" s="1">
        <f t="shared" ca="1" si="194"/>
        <v>0</v>
      </c>
      <c r="K711" s="1">
        <f t="shared" ca="1" si="195"/>
        <v>0</v>
      </c>
      <c r="L711" s="13">
        <f t="shared" ca="1" si="196"/>
        <v>221</v>
      </c>
      <c r="M711" s="7">
        <f t="shared" ca="1" si="197"/>
        <v>779</v>
      </c>
      <c r="N711" s="44">
        <f t="shared" ca="1" si="198"/>
        <v>9</v>
      </c>
      <c r="O711" s="94">
        <f t="shared" ca="1" si="199"/>
        <v>2.3639647217884514</v>
      </c>
      <c r="P711" s="94">
        <f t="shared" ca="1" si="200"/>
        <v>23.639647217884519</v>
      </c>
      <c r="Q711" s="94">
        <f t="shared" ca="1" si="201"/>
        <v>23.639647217884519</v>
      </c>
      <c r="R711" s="94">
        <f t="shared" ca="1" si="202"/>
        <v>2.3639647217884519</v>
      </c>
      <c r="S711" s="94">
        <f t="shared" ca="1" si="203"/>
        <v>2.3639647217884514</v>
      </c>
      <c r="T711" s="4">
        <f t="shared" ca="1" si="204"/>
        <v>0</v>
      </c>
      <c r="U711" s="46">
        <f t="shared" ca="1" si="205"/>
        <v>1394.2101516087316</v>
      </c>
      <c r="V711" s="4">
        <f t="shared" ca="1" si="206"/>
        <v>0</v>
      </c>
      <c r="W711" s="13">
        <f t="shared" ca="1" si="207"/>
        <v>16438.260675257192</v>
      </c>
      <c r="X711" s="4">
        <f t="shared" ca="1" si="208"/>
        <v>0</v>
      </c>
    </row>
    <row r="712" spans="1:24">
      <c r="A712">
        <v>1</v>
      </c>
      <c r="B712">
        <v>1</v>
      </c>
      <c r="C712">
        <f t="shared" si="190"/>
        <v>4</v>
      </c>
      <c r="D712">
        <f t="shared" si="191"/>
        <v>2</v>
      </c>
      <c r="E712">
        <f t="shared" si="192"/>
        <v>1</v>
      </c>
      <c r="F712" s="100">
        <f t="shared" ca="1" si="193"/>
        <v>9.703225E-2</v>
      </c>
      <c r="G712">
        <v>1</v>
      </c>
      <c r="H712">
        <v>1</v>
      </c>
      <c r="I712">
        <v>6</v>
      </c>
      <c r="J712" s="1">
        <f t="shared" ca="1" si="194"/>
        <v>0</v>
      </c>
      <c r="K712" s="1">
        <f t="shared" ca="1" si="195"/>
        <v>0</v>
      </c>
      <c r="L712" s="13">
        <f t="shared" ca="1" si="196"/>
        <v>208</v>
      </c>
      <c r="M712" s="7">
        <f t="shared" ca="1" si="197"/>
        <v>792</v>
      </c>
      <c r="N712" s="44">
        <f t="shared" ca="1" si="198"/>
        <v>9</v>
      </c>
      <c r="O712" s="94">
        <f t="shared" ca="1" si="199"/>
        <v>2.3639647217884514</v>
      </c>
      <c r="P712" s="94">
        <f t="shared" ca="1" si="200"/>
        <v>23.639647217884519</v>
      </c>
      <c r="Q712" s="94">
        <f t="shared" ca="1" si="201"/>
        <v>23.639647217884519</v>
      </c>
      <c r="R712" s="94">
        <f t="shared" ca="1" si="202"/>
        <v>2.3639647217884519</v>
      </c>
      <c r="S712" s="94">
        <f t="shared" ca="1" si="203"/>
        <v>2.3639647217884514</v>
      </c>
      <c r="T712" s="4">
        <f t="shared" ca="1" si="204"/>
        <v>0</v>
      </c>
      <c r="U712" s="46">
        <f t="shared" ca="1" si="205"/>
        <v>1381.2101516087316</v>
      </c>
      <c r="V712" s="4">
        <f t="shared" ca="1" si="206"/>
        <v>0</v>
      </c>
      <c r="W712" s="13">
        <f t="shared" ca="1" si="207"/>
        <v>15772.59037978531</v>
      </c>
      <c r="X712" s="4">
        <f t="shared" ca="1" si="208"/>
        <v>0</v>
      </c>
    </row>
    <row r="713" spans="1:24">
      <c r="A713">
        <v>1</v>
      </c>
      <c r="B713">
        <v>1</v>
      </c>
      <c r="C713">
        <f t="shared" si="190"/>
        <v>4</v>
      </c>
      <c r="D713">
        <f t="shared" si="191"/>
        <v>2</v>
      </c>
      <c r="E713">
        <f t="shared" si="192"/>
        <v>1</v>
      </c>
      <c r="F713" s="100">
        <f t="shared" ca="1" si="193"/>
        <v>9.703225E-2</v>
      </c>
      <c r="G713">
        <v>1</v>
      </c>
      <c r="H713">
        <v>1</v>
      </c>
      <c r="I713">
        <v>5</v>
      </c>
      <c r="J713" s="1">
        <f t="shared" ca="1" si="194"/>
        <v>0</v>
      </c>
      <c r="K713" s="1">
        <f t="shared" ca="1" si="195"/>
        <v>0</v>
      </c>
      <c r="L713" s="13">
        <f t="shared" ca="1" si="196"/>
        <v>195</v>
      </c>
      <c r="M713" s="7">
        <f t="shared" ca="1" si="197"/>
        <v>805</v>
      </c>
      <c r="N713" s="44">
        <f t="shared" ca="1" si="198"/>
        <v>10</v>
      </c>
      <c r="O713" s="94">
        <f t="shared" ca="1" si="199"/>
        <v>2.5877599795741038</v>
      </c>
      <c r="P713" s="94">
        <f t="shared" ca="1" si="200"/>
        <v>24.311032991241476</v>
      </c>
      <c r="Q713" s="94">
        <f t="shared" ca="1" si="201"/>
        <v>23.639647217884519</v>
      </c>
      <c r="R713" s="94">
        <f t="shared" ca="1" si="202"/>
        <v>2.3975340104562997</v>
      </c>
      <c r="S713" s="94">
        <f t="shared" ca="1" si="203"/>
        <v>2.5877599795741038</v>
      </c>
      <c r="T713" s="4">
        <f t="shared" ca="1" si="204"/>
        <v>0</v>
      </c>
      <c r="U713" s="46">
        <f t="shared" ca="1" si="205"/>
        <v>1459.8868633777442</v>
      </c>
      <c r="V713" s="4">
        <f t="shared" ca="1" si="206"/>
        <v>0</v>
      </c>
      <c r="W713" s="13">
        <f t="shared" ca="1" si="207"/>
        <v>15106.920084313426</v>
      </c>
      <c r="X713" s="4">
        <f t="shared" ca="1" si="208"/>
        <v>0</v>
      </c>
    </row>
    <row r="714" spans="1:24">
      <c r="A714">
        <v>1</v>
      </c>
      <c r="B714">
        <v>1</v>
      </c>
      <c r="C714">
        <f t="shared" si="190"/>
        <v>4</v>
      </c>
      <c r="D714">
        <f t="shared" si="191"/>
        <v>2</v>
      </c>
      <c r="E714">
        <f t="shared" si="192"/>
        <v>1</v>
      </c>
      <c r="F714" s="100">
        <f t="shared" ca="1" si="193"/>
        <v>9.703225E-2</v>
      </c>
      <c r="G714">
        <v>1</v>
      </c>
      <c r="H714">
        <v>1</v>
      </c>
      <c r="I714">
        <v>4</v>
      </c>
      <c r="J714" s="1">
        <f t="shared" ca="1" si="194"/>
        <v>0</v>
      </c>
      <c r="K714" s="1">
        <f t="shared" ca="1" si="195"/>
        <v>0</v>
      </c>
      <c r="L714" s="13">
        <f t="shared" ca="1" si="196"/>
        <v>182</v>
      </c>
      <c r="M714" s="7">
        <f t="shared" ca="1" si="197"/>
        <v>818</v>
      </c>
      <c r="N714" s="44">
        <f t="shared" ca="1" si="198"/>
        <v>10</v>
      </c>
      <c r="O714" s="94">
        <f t="shared" ca="1" si="199"/>
        <v>2.5877599795741038</v>
      </c>
      <c r="P714" s="94">
        <f t="shared" ca="1" si="200"/>
        <v>25.877599795741034</v>
      </c>
      <c r="Q714" s="94">
        <f t="shared" ca="1" si="201"/>
        <v>24.982418764598432</v>
      </c>
      <c r="R714" s="94">
        <f t="shared" ca="1" si="202"/>
        <v>2.5430009280169736</v>
      </c>
      <c r="S714" s="94">
        <f t="shared" ca="1" si="203"/>
        <v>2.5877599795741038</v>
      </c>
      <c r="T714" s="4">
        <f t="shared" ca="1" si="204"/>
        <v>0</v>
      </c>
      <c r="U714" s="46">
        <f t="shared" ca="1" si="205"/>
        <v>1446.8868633777442</v>
      </c>
      <c r="V714" s="4">
        <f t="shared" ca="1" si="206"/>
        <v>0</v>
      </c>
      <c r="W714" s="13">
        <f t="shared" ca="1" si="207"/>
        <v>14441.249788841542</v>
      </c>
      <c r="X714" s="4">
        <f t="shared" ca="1" si="208"/>
        <v>0</v>
      </c>
    </row>
    <row r="715" spans="1:24">
      <c r="A715">
        <v>1</v>
      </c>
      <c r="B715">
        <v>1</v>
      </c>
      <c r="C715">
        <f t="shared" si="190"/>
        <v>4</v>
      </c>
      <c r="D715">
        <f t="shared" si="191"/>
        <v>2</v>
      </c>
      <c r="E715">
        <f t="shared" si="192"/>
        <v>1</v>
      </c>
      <c r="F715" s="100">
        <f t="shared" ca="1" si="193"/>
        <v>9.703225E-2</v>
      </c>
      <c r="G715">
        <v>1</v>
      </c>
      <c r="H715">
        <v>1</v>
      </c>
      <c r="I715">
        <v>3</v>
      </c>
      <c r="J715" s="1">
        <f t="shared" ca="1" si="194"/>
        <v>0</v>
      </c>
      <c r="K715" s="1">
        <f t="shared" ca="1" si="195"/>
        <v>0</v>
      </c>
      <c r="L715" s="13">
        <f t="shared" ca="1" si="196"/>
        <v>169</v>
      </c>
      <c r="M715" s="7">
        <f t="shared" ca="1" si="197"/>
        <v>831</v>
      </c>
      <c r="N715" s="44">
        <f t="shared" ca="1" si="198"/>
        <v>10</v>
      </c>
      <c r="O715" s="94">
        <f t="shared" ca="1" si="199"/>
        <v>2.5877599795741038</v>
      </c>
      <c r="P715" s="94">
        <f t="shared" ca="1" si="200"/>
        <v>25.877599795741034</v>
      </c>
      <c r="Q715" s="94">
        <f t="shared" ca="1" si="201"/>
        <v>25.877599795741034</v>
      </c>
      <c r="R715" s="94">
        <f t="shared" ca="1" si="202"/>
        <v>2.5877599795741033</v>
      </c>
      <c r="S715" s="94">
        <f t="shared" ca="1" si="203"/>
        <v>2.5877599795741038</v>
      </c>
      <c r="T715" s="4">
        <f t="shared" ca="1" si="204"/>
        <v>0</v>
      </c>
      <c r="U715" s="46">
        <f t="shared" ca="1" si="205"/>
        <v>1433.8868633777442</v>
      </c>
      <c r="V715" s="4">
        <f t="shared" ca="1" si="206"/>
        <v>0</v>
      </c>
      <c r="W715" s="13">
        <f t="shared" ca="1" si="207"/>
        <v>13775.57949336966</v>
      </c>
      <c r="X715" s="4">
        <f t="shared" ca="1" si="208"/>
        <v>0</v>
      </c>
    </row>
    <row r="716" spans="1:24">
      <c r="A716">
        <v>1</v>
      </c>
      <c r="B716">
        <v>1</v>
      </c>
      <c r="C716">
        <f t="shared" si="190"/>
        <v>4</v>
      </c>
      <c r="D716">
        <f t="shared" si="191"/>
        <v>2</v>
      </c>
      <c r="E716">
        <f t="shared" si="192"/>
        <v>1</v>
      </c>
      <c r="F716" s="100">
        <f t="shared" ca="1" si="193"/>
        <v>9.703225E-2</v>
      </c>
      <c r="G716">
        <v>1</v>
      </c>
      <c r="H716">
        <v>1</v>
      </c>
      <c r="I716">
        <v>2</v>
      </c>
      <c r="J716" s="1">
        <f t="shared" ca="1" si="194"/>
        <v>0.92178404999999997</v>
      </c>
      <c r="K716" s="1">
        <f t="shared" ca="1" si="195"/>
        <v>8.94427803856125E-2</v>
      </c>
      <c r="L716" s="13">
        <f t="shared" ca="1" si="196"/>
        <v>156</v>
      </c>
      <c r="M716" s="7">
        <f t="shared" ca="1" si="197"/>
        <v>844</v>
      </c>
      <c r="N716" s="44">
        <f t="shared" ca="1" si="198"/>
        <v>10</v>
      </c>
      <c r="O716" s="94">
        <f t="shared" ca="1" si="199"/>
        <v>2.5877599795741038</v>
      </c>
      <c r="P716" s="94">
        <f t="shared" ca="1" si="200"/>
        <v>25.877599795741034</v>
      </c>
      <c r="Q716" s="94">
        <f t="shared" ca="1" si="201"/>
        <v>25.877599795741034</v>
      </c>
      <c r="R716" s="94">
        <f t="shared" ca="1" si="202"/>
        <v>2.5877599795741033</v>
      </c>
      <c r="S716" s="94">
        <f t="shared" ca="1" si="203"/>
        <v>2.5877599795741038</v>
      </c>
      <c r="T716" s="4">
        <f t="shared" ca="1" si="204"/>
        <v>0.23145644754372366</v>
      </c>
      <c r="U716" s="46">
        <f t="shared" ca="1" si="205"/>
        <v>1420.8868633777442</v>
      </c>
      <c r="V716" s="4">
        <f t="shared" ca="1" si="206"/>
        <v>127.08807167389737</v>
      </c>
      <c r="W716" s="13">
        <f t="shared" ca="1" si="207"/>
        <v>13109.909197897776</v>
      </c>
      <c r="X716" s="4">
        <f t="shared" ca="1" si="208"/>
        <v>1172.586729262892</v>
      </c>
    </row>
    <row r="717" spans="1:24">
      <c r="A717">
        <v>1</v>
      </c>
      <c r="B717">
        <v>1</v>
      </c>
      <c r="C717">
        <f t="shared" si="190"/>
        <v>4</v>
      </c>
      <c r="D717">
        <f t="shared" si="191"/>
        <v>2</v>
      </c>
      <c r="E717">
        <f t="shared" si="192"/>
        <v>1</v>
      </c>
      <c r="F717" s="100">
        <f t="shared" ca="1" si="193"/>
        <v>9.703225E-2</v>
      </c>
      <c r="G717">
        <v>1</v>
      </c>
      <c r="H717">
        <v>1</v>
      </c>
      <c r="I717">
        <v>1</v>
      </c>
      <c r="J717" s="1">
        <f t="shared" ca="1" si="194"/>
        <v>1.8621900000000018E-2</v>
      </c>
      <c r="K717" s="1">
        <f t="shared" ca="1" si="195"/>
        <v>1.8069248562750018E-3</v>
      </c>
      <c r="L717" s="13">
        <f t="shared" ca="1" si="196"/>
        <v>143</v>
      </c>
      <c r="M717" s="7">
        <f t="shared" ca="1" si="197"/>
        <v>857</v>
      </c>
      <c r="N717" s="44">
        <f t="shared" ca="1" si="198"/>
        <v>10</v>
      </c>
      <c r="O717" s="94">
        <f t="shared" ca="1" si="199"/>
        <v>2.5877599795741038</v>
      </c>
      <c r="P717" s="94">
        <f t="shared" ca="1" si="200"/>
        <v>25.877599795741034</v>
      </c>
      <c r="Q717" s="94">
        <f t="shared" ca="1" si="201"/>
        <v>25.877599795741034</v>
      </c>
      <c r="R717" s="94">
        <f t="shared" ca="1" si="202"/>
        <v>2.5877599795741033</v>
      </c>
      <c r="S717" s="94">
        <f t="shared" ca="1" si="203"/>
        <v>2.5877599795741038</v>
      </c>
      <c r="T717" s="4">
        <f t="shared" ca="1" si="204"/>
        <v>4.6758878291661386E-3</v>
      </c>
      <c r="U717" s="46">
        <f t="shared" ca="1" si="205"/>
        <v>1407.8868633777442</v>
      </c>
      <c r="V717" s="4">
        <f t="shared" ca="1" si="206"/>
        <v>2.5439457682602935</v>
      </c>
      <c r="W717" s="13">
        <f t="shared" ca="1" si="207"/>
        <v>12444.238902425894</v>
      </c>
      <c r="X717" s="4">
        <f t="shared" ca="1" si="208"/>
        <v>22.485804590217693</v>
      </c>
    </row>
    <row r="718" spans="1:24">
      <c r="A718">
        <v>1</v>
      </c>
      <c r="B718">
        <v>1</v>
      </c>
      <c r="C718">
        <f t="shared" si="190"/>
        <v>4</v>
      </c>
      <c r="D718">
        <f t="shared" si="191"/>
        <v>2</v>
      </c>
      <c r="E718">
        <f t="shared" si="192"/>
        <v>1</v>
      </c>
      <c r="F718" s="100">
        <f t="shared" ca="1" si="193"/>
        <v>9.703225E-2</v>
      </c>
      <c r="G718">
        <v>1</v>
      </c>
      <c r="H718">
        <v>1</v>
      </c>
      <c r="I718">
        <v>0</v>
      </c>
      <c r="J718" s="1">
        <f t="shared" ca="1" si="194"/>
        <v>9.4050000000000172E-5</v>
      </c>
      <c r="K718" s="1">
        <f t="shared" ca="1" si="195"/>
        <v>9.1258831125000161E-6</v>
      </c>
      <c r="L718" s="13">
        <f t="shared" ca="1" si="196"/>
        <v>130</v>
      </c>
      <c r="M718" s="7">
        <f t="shared" ca="1" si="197"/>
        <v>870</v>
      </c>
      <c r="N718" s="44">
        <f t="shared" ca="1" si="198"/>
        <v>10</v>
      </c>
      <c r="O718" s="94">
        <f t="shared" ca="1" si="199"/>
        <v>2.5877599795741038</v>
      </c>
      <c r="P718" s="94">
        <f t="shared" ca="1" si="200"/>
        <v>25.877599795741034</v>
      </c>
      <c r="Q718" s="94">
        <f t="shared" ca="1" si="201"/>
        <v>25.877599795741034</v>
      </c>
      <c r="R718" s="94">
        <f t="shared" ca="1" si="202"/>
        <v>2.5877599795741033</v>
      </c>
      <c r="S718" s="94">
        <f t="shared" ca="1" si="203"/>
        <v>2.5877599795741038</v>
      </c>
      <c r="T718" s="4">
        <f t="shared" ca="1" si="204"/>
        <v>2.3615595096798699E-5</v>
      </c>
      <c r="U718" s="46">
        <f t="shared" ca="1" si="205"/>
        <v>1394.8868633777442</v>
      </c>
      <c r="V718" s="4">
        <f t="shared" ca="1" si="206"/>
        <v>1.2729574470347074E-2</v>
      </c>
      <c r="W718" s="13">
        <f t="shared" ca="1" si="207"/>
        <v>11778.56860695401</v>
      </c>
      <c r="X718" s="4">
        <f t="shared" ca="1" si="208"/>
        <v>0.10748984033962444</v>
      </c>
    </row>
    <row r="719" spans="1:24">
      <c r="A719">
        <v>1</v>
      </c>
      <c r="B719">
        <v>1</v>
      </c>
      <c r="C719">
        <f t="shared" si="190"/>
        <v>4</v>
      </c>
      <c r="D719">
        <f t="shared" si="191"/>
        <v>2</v>
      </c>
      <c r="E719">
        <f t="shared" si="192"/>
        <v>1</v>
      </c>
      <c r="F719" s="100">
        <f t="shared" ca="1" si="193"/>
        <v>9.703225E-2</v>
      </c>
      <c r="G719">
        <v>1</v>
      </c>
      <c r="H719">
        <v>0</v>
      </c>
      <c r="I719">
        <v>7</v>
      </c>
      <c r="J719" s="1">
        <f t="shared" ca="1" si="194"/>
        <v>0</v>
      </c>
      <c r="K719" s="1">
        <f t="shared" ca="1" si="195"/>
        <v>0</v>
      </c>
      <c r="L719" s="13">
        <f t="shared" ca="1" si="196"/>
        <v>156</v>
      </c>
      <c r="M719" s="7">
        <f t="shared" ca="1" si="197"/>
        <v>844</v>
      </c>
      <c r="N719" s="44">
        <f t="shared" ca="1" si="198"/>
        <v>10</v>
      </c>
      <c r="O719" s="94">
        <f t="shared" ca="1" si="199"/>
        <v>2.5877599795741038</v>
      </c>
      <c r="P719" s="94">
        <f t="shared" ca="1" si="200"/>
        <v>25.877599795741034</v>
      </c>
      <c r="Q719" s="94">
        <f t="shared" ca="1" si="201"/>
        <v>25.877599795741034</v>
      </c>
      <c r="R719" s="94">
        <f t="shared" ca="1" si="202"/>
        <v>2.5877599795741033</v>
      </c>
      <c r="S719" s="94">
        <f t="shared" ca="1" si="203"/>
        <v>2.5877599795741038</v>
      </c>
      <c r="T719" s="4">
        <f t="shared" ca="1" si="204"/>
        <v>0</v>
      </c>
      <c r="U719" s="46">
        <f t="shared" ca="1" si="205"/>
        <v>1420.8868633777442</v>
      </c>
      <c r="V719" s="4">
        <f t="shared" ca="1" si="206"/>
        <v>0</v>
      </c>
      <c r="W719" s="13">
        <f t="shared" ca="1" si="207"/>
        <v>15972.716608816479</v>
      </c>
      <c r="X719" s="4">
        <f t="shared" ca="1" si="208"/>
        <v>0</v>
      </c>
    </row>
    <row r="720" spans="1:24">
      <c r="A720">
        <v>1</v>
      </c>
      <c r="B720">
        <v>1</v>
      </c>
      <c r="C720">
        <f t="shared" si="190"/>
        <v>4</v>
      </c>
      <c r="D720">
        <f t="shared" si="191"/>
        <v>2</v>
      </c>
      <c r="E720">
        <f t="shared" si="192"/>
        <v>1</v>
      </c>
      <c r="F720" s="100">
        <f t="shared" ca="1" si="193"/>
        <v>9.703225E-2</v>
      </c>
      <c r="G720">
        <v>1</v>
      </c>
      <c r="H720">
        <v>0</v>
      </c>
      <c r="I720">
        <v>6</v>
      </c>
      <c r="J720" s="1">
        <f t="shared" ca="1" si="194"/>
        <v>0</v>
      </c>
      <c r="K720" s="1">
        <f t="shared" ca="1" si="195"/>
        <v>0</v>
      </c>
      <c r="L720" s="13">
        <f t="shared" ca="1" si="196"/>
        <v>143</v>
      </c>
      <c r="M720" s="7">
        <f t="shared" ca="1" si="197"/>
        <v>857</v>
      </c>
      <c r="N720" s="44">
        <f t="shared" ca="1" si="198"/>
        <v>10</v>
      </c>
      <c r="O720" s="94">
        <f t="shared" ca="1" si="199"/>
        <v>2.5877599795741038</v>
      </c>
      <c r="P720" s="94">
        <f t="shared" ca="1" si="200"/>
        <v>25.877599795741034</v>
      </c>
      <c r="Q720" s="94">
        <f t="shared" ca="1" si="201"/>
        <v>25.877599795741034</v>
      </c>
      <c r="R720" s="94">
        <f t="shared" ca="1" si="202"/>
        <v>2.5877599795741033</v>
      </c>
      <c r="S720" s="94">
        <f t="shared" ca="1" si="203"/>
        <v>2.5877599795741038</v>
      </c>
      <c r="T720" s="4">
        <f t="shared" ca="1" si="204"/>
        <v>0</v>
      </c>
      <c r="U720" s="46">
        <f t="shared" ca="1" si="205"/>
        <v>1407.8868633777442</v>
      </c>
      <c r="V720" s="4">
        <f t="shared" ca="1" si="206"/>
        <v>0</v>
      </c>
      <c r="W720" s="13">
        <f t="shared" ca="1" si="207"/>
        <v>15307.046313344596</v>
      </c>
      <c r="X720" s="4">
        <f t="shared" ca="1" si="208"/>
        <v>0</v>
      </c>
    </row>
    <row r="721" spans="1:24">
      <c r="A721">
        <v>1</v>
      </c>
      <c r="B721">
        <v>1</v>
      </c>
      <c r="C721">
        <f t="shared" si="190"/>
        <v>4</v>
      </c>
      <c r="D721">
        <f t="shared" si="191"/>
        <v>2</v>
      </c>
      <c r="E721">
        <f t="shared" si="192"/>
        <v>1</v>
      </c>
      <c r="F721" s="100">
        <f t="shared" ca="1" si="193"/>
        <v>9.703225E-2</v>
      </c>
      <c r="G721">
        <v>1</v>
      </c>
      <c r="H721">
        <v>0</v>
      </c>
      <c r="I721">
        <v>5</v>
      </c>
      <c r="J721" s="1">
        <f t="shared" ca="1" si="194"/>
        <v>0</v>
      </c>
      <c r="K721" s="1">
        <f t="shared" ca="1" si="195"/>
        <v>0</v>
      </c>
      <c r="L721" s="13">
        <f t="shared" ca="1" si="196"/>
        <v>130</v>
      </c>
      <c r="M721" s="7">
        <f t="shared" ca="1" si="197"/>
        <v>870</v>
      </c>
      <c r="N721" s="44">
        <f t="shared" ca="1" si="198"/>
        <v>10</v>
      </c>
      <c r="O721" s="94">
        <f t="shared" ca="1" si="199"/>
        <v>2.5877599795741038</v>
      </c>
      <c r="P721" s="94">
        <f t="shared" ca="1" si="200"/>
        <v>25.877599795741034</v>
      </c>
      <c r="Q721" s="94">
        <f t="shared" ca="1" si="201"/>
        <v>25.877599795741034</v>
      </c>
      <c r="R721" s="94">
        <f t="shared" ca="1" si="202"/>
        <v>2.5877599795741033</v>
      </c>
      <c r="S721" s="94">
        <f t="shared" ca="1" si="203"/>
        <v>2.5877599795741038</v>
      </c>
      <c r="T721" s="4">
        <f t="shared" ca="1" si="204"/>
        <v>0</v>
      </c>
      <c r="U721" s="46">
        <f t="shared" ca="1" si="205"/>
        <v>1394.8868633777442</v>
      </c>
      <c r="V721" s="4">
        <f t="shared" ca="1" si="206"/>
        <v>0</v>
      </c>
      <c r="W721" s="13">
        <f t="shared" ca="1" si="207"/>
        <v>14641.376017872713</v>
      </c>
      <c r="X721" s="4">
        <f t="shared" ca="1" si="208"/>
        <v>0</v>
      </c>
    </row>
    <row r="722" spans="1:24">
      <c r="A722">
        <v>1</v>
      </c>
      <c r="B722">
        <v>1</v>
      </c>
      <c r="C722">
        <f t="shared" si="190"/>
        <v>4</v>
      </c>
      <c r="D722">
        <f t="shared" si="191"/>
        <v>2</v>
      </c>
      <c r="E722">
        <f t="shared" si="192"/>
        <v>1</v>
      </c>
      <c r="F722" s="100">
        <f t="shared" ca="1" si="193"/>
        <v>9.703225E-2</v>
      </c>
      <c r="G722">
        <v>1</v>
      </c>
      <c r="H722">
        <v>0</v>
      </c>
      <c r="I722">
        <v>4</v>
      </c>
      <c r="J722" s="1">
        <f t="shared" ca="1" si="194"/>
        <v>0</v>
      </c>
      <c r="K722" s="1">
        <f t="shared" ca="1" si="195"/>
        <v>0</v>
      </c>
      <c r="L722" s="13">
        <f t="shared" ca="1" si="196"/>
        <v>117</v>
      </c>
      <c r="M722" s="7">
        <f t="shared" ca="1" si="197"/>
        <v>883</v>
      </c>
      <c r="N722" s="44">
        <f t="shared" ca="1" si="198"/>
        <v>10</v>
      </c>
      <c r="O722" s="94">
        <f t="shared" ca="1" si="199"/>
        <v>2.5877599795741038</v>
      </c>
      <c r="P722" s="94">
        <f t="shared" ca="1" si="200"/>
        <v>25.877599795741034</v>
      </c>
      <c r="Q722" s="94">
        <f t="shared" ca="1" si="201"/>
        <v>25.877599795741034</v>
      </c>
      <c r="R722" s="94">
        <f t="shared" ca="1" si="202"/>
        <v>2.5877599795741033</v>
      </c>
      <c r="S722" s="94">
        <f t="shared" ca="1" si="203"/>
        <v>2.5877599795741038</v>
      </c>
      <c r="T722" s="4">
        <f t="shared" ca="1" si="204"/>
        <v>0</v>
      </c>
      <c r="U722" s="46">
        <f t="shared" ca="1" si="205"/>
        <v>1381.8868633777442</v>
      </c>
      <c r="V722" s="4">
        <f t="shared" ca="1" si="206"/>
        <v>0</v>
      </c>
      <c r="W722" s="13">
        <f t="shared" ca="1" si="207"/>
        <v>13975.705722400829</v>
      </c>
      <c r="X722" s="4">
        <f t="shared" ca="1" si="208"/>
        <v>0</v>
      </c>
    </row>
    <row r="723" spans="1:24">
      <c r="A723">
        <v>1</v>
      </c>
      <c r="B723">
        <v>1</v>
      </c>
      <c r="C723">
        <f t="shared" si="190"/>
        <v>4</v>
      </c>
      <c r="D723">
        <f t="shared" si="191"/>
        <v>2</v>
      </c>
      <c r="E723">
        <f t="shared" si="192"/>
        <v>1</v>
      </c>
      <c r="F723" s="100">
        <f t="shared" ca="1" si="193"/>
        <v>9.703225E-2</v>
      </c>
      <c r="G723">
        <v>1</v>
      </c>
      <c r="H723">
        <v>0</v>
      </c>
      <c r="I723">
        <v>3</v>
      </c>
      <c r="J723" s="1">
        <f t="shared" ca="1" si="194"/>
        <v>0</v>
      </c>
      <c r="K723" s="1">
        <f t="shared" ca="1" si="195"/>
        <v>0</v>
      </c>
      <c r="L723" s="13">
        <f t="shared" ca="1" si="196"/>
        <v>104</v>
      </c>
      <c r="M723" s="7">
        <f t="shared" ca="1" si="197"/>
        <v>896</v>
      </c>
      <c r="N723" s="44">
        <f t="shared" ca="1" si="198"/>
        <v>11</v>
      </c>
      <c r="O723" s="94">
        <f t="shared" ca="1" si="199"/>
        <v>2.8265749241644089</v>
      </c>
      <c r="P723" s="94">
        <f t="shared" ca="1" si="200"/>
        <v>27.071674518692554</v>
      </c>
      <c r="Q723" s="94">
        <f t="shared" ca="1" si="201"/>
        <v>25.877599795741034</v>
      </c>
      <c r="R723" s="94">
        <f t="shared" ca="1" si="202"/>
        <v>2.6474637157216794</v>
      </c>
      <c r="S723" s="94">
        <f t="shared" ca="1" si="203"/>
        <v>2.8265749241644089</v>
      </c>
      <c r="T723" s="4">
        <f t="shared" ca="1" si="204"/>
        <v>0</v>
      </c>
      <c r="U723" s="46">
        <f t="shared" ca="1" si="205"/>
        <v>1466.7163216869442</v>
      </c>
      <c r="V723" s="4">
        <f t="shared" ca="1" si="206"/>
        <v>0</v>
      </c>
      <c r="W723" s="13">
        <f t="shared" ca="1" si="207"/>
        <v>13310.035426928947</v>
      </c>
      <c r="X723" s="4">
        <f t="shared" ca="1" si="208"/>
        <v>0</v>
      </c>
    </row>
    <row r="724" spans="1:24">
      <c r="A724">
        <v>1</v>
      </c>
      <c r="B724">
        <v>1</v>
      </c>
      <c r="C724">
        <f t="shared" si="190"/>
        <v>4</v>
      </c>
      <c r="D724">
        <f t="shared" si="191"/>
        <v>2</v>
      </c>
      <c r="E724">
        <f t="shared" si="192"/>
        <v>1</v>
      </c>
      <c r="F724" s="100">
        <f t="shared" ca="1" si="193"/>
        <v>9.703225E-2</v>
      </c>
      <c r="G724">
        <v>1</v>
      </c>
      <c r="H724">
        <v>0</v>
      </c>
      <c r="I724">
        <v>2</v>
      </c>
      <c r="J724" s="1">
        <f t="shared" ca="1" si="194"/>
        <v>9.3109500000000088E-3</v>
      </c>
      <c r="K724" s="1">
        <f t="shared" ca="1" si="195"/>
        <v>9.0346242813750088E-4</v>
      </c>
      <c r="L724" s="13">
        <f t="shared" ca="1" si="196"/>
        <v>91</v>
      </c>
      <c r="M724" s="7">
        <f t="shared" ca="1" si="197"/>
        <v>909</v>
      </c>
      <c r="N724" s="44">
        <f t="shared" ca="1" si="198"/>
        <v>11</v>
      </c>
      <c r="O724" s="94">
        <f t="shared" ca="1" si="199"/>
        <v>2.8265749241644089</v>
      </c>
      <c r="P724" s="94">
        <f t="shared" ca="1" si="200"/>
        <v>28.265749241644084</v>
      </c>
      <c r="Q724" s="94">
        <f t="shared" ca="1" si="201"/>
        <v>27.788119352463475</v>
      </c>
      <c r="R724" s="94">
        <f t="shared" ca="1" si="202"/>
        <v>2.8026934297053776</v>
      </c>
      <c r="S724" s="94">
        <f t="shared" ca="1" si="203"/>
        <v>2.8265749241644089</v>
      </c>
      <c r="T724" s="4">
        <f t="shared" ca="1" si="204"/>
        <v>2.5537042442981494E-3</v>
      </c>
      <c r="U724" s="46">
        <f t="shared" ca="1" si="205"/>
        <v>1453.7163216869442</v>
      </c>
      <c r="V724" s="4">
        <f t="shared" ca="1" si="206"/>
        <v>1.3133780778144029</v>
      </c>
      <c r="W724" s="13">
        <f t="shared" ca="1" si="207"/>
        <v>12644.365131457063</v>
      </c>
      <c r="X724" s="4">
        <f t="shared" ca="1" si="208"/>
        <v>11.423708823923349</v>
      </c>
    </row>
    <row r="725" spans="1:24">
      <c r="A725">
        <v>1</v>
      </c>
      <c r="B725">
        <v>1</v>
      </c>
      <c r="C725">
        <f t="shared" si="190"/>
        <v>4</v>
      </c>
      <c r="D725">
        <f t="shared" si="191"/>
        <v>2</v>
      </c>
      <c r="E725">
        <f t="shared" si="192"/>
        <v>1</v>
      </c>
      <c r="F725" s="100">
        <f t="shared" ca="1" si="193"/>
        <v>9.703225E-2</v>
      </c>
      <c r="G725">
        <v>1</v>
      </c>
      <c r="H725">
        <v>0</v>
      </c>
      <c r="I725">
        <v>1</v>
      </c>
      <c r="J725" s="1">
        <f t="shared" ca="1" si="194"/>
        <v>1.8810000000000034E-4</v>
      </c>
      <c r="K725" s="1">
        <f t="shared" ca="1" si="195"/>
        <v>1.8251766225000032E-5</v>
      </c>
      <c r="L725" s="13">
        <f t="shared" ca="1" si="196"/>
        <v>78</v>
      </c>
      <c r="M725" s="7">
        <f t="shared" ca="1" si="197"/>
        <v>922</v>
      </c>
      <c r="N725" s="44">
        <f t="shared" ca="1" si="198"/>
        <v>11</v>
      </c>
      <c r="O725" s="94">
        <f t="shared" ca="1" si="199"/>
        <v>2.8265749241644089</v>
      </c>
      <c r="P725" s="94">
        <f t="shared" ca="1" si="200"/>
        <v>28.265749241644084</v>
      </c>
      <c r="Q725" s="94">
        <f t="shared" ca="1" si="201"/>
        <v>28.265749241644084</v>
      </c>
      <c r="R725" s="94">
        <f t="shared" ca="1" si="202"/>
        <v>2.8265749241644085</v>
      </c>
      <c r="S725" s="94">
        <f t="shared" ca="1" si="203"/>
        <v>2.8265749241644089</v>
      </c>
      <c r="T725" s="4">
        <f t="shared" ca="1" si="204"/>
        <v>5.1589984733295987E-5</v>
      </c>
      <c r="U725" s="46">
        <f t="shared" ca="1" si="205"/>
        <v>1440.7163216869442</v>
      </c>
      <c r="V725" s="4">
        <f t="shared" ca="1" si="206"/>
        <v>2.629561749997205E-2</v>
      </c>
      <c r="W725" s="13">
        <f t="shared" ca="1" si="207"/>
        <v>11978.694835985181</v>
      </c>
      <c r="X725" s="4">
        <f t="shared" ca="1" si="208"/>
        <v>0.21863233782701663</v>
      </c>
    </row>
    <row r="726" spans="1:24">
      <c r="A726">
        <v>1</v>
      </c>
      <c r="B726">
        <v>1</v>
      </c>
      <c r="C726">
        <f t="shared" si="190"/>
        <v>4</v>
      </c>
      <c r="D726">
        <f t="shared" si="191"/>
        <v>2</v>
      </c>
      <c r="E726">
        <f t="shared" si="192"/>
        <v>1</v>
      </c>
      <c r="F726" s="100">
        <f t="shared" ca="1" si="193"/>
        <v>9.703225E-2</v>
      </c>
      <c r="G726">
        <v>1</v>
      </c>
      <c r="H726">
        <v>0</v>
      </c>
      <c r="I726">
        <v>0</v>
      </c>
      <c r="J726" s="1">
        <f t="shared" ca="1" si="194"/>
        <v>9.5000000000000255E-7</v>
      </c>
      <c r="K726" s="1">
        <f t="shared" ca="1" si="195"/>
        <v>9.2180637500000243E-8</v>
      </c>
      <c r="L726" s="13">
        <f t="shared" ca="1" si="196"/>
        <v>65</v>
      </c>
      <c r="M726" s="7">
        <f t="shared" ca="1" si="197"/>
        <v>935</v>
      </c>
      <c r="N726" s="44">
        <f t="shared" ca="1" si="198"/>
        <v>11</v>
      </c>
      <c r="O726" s="94">
        <f t="shared" ca="1" si="199"/>
        <v>2.8265749241644089</v>
      </c>
      <c r="P726" s="94">
        <f t="shared" ca="1" si="200"/>
        <v>28.265749241644084</v>
      </c>
      <c r="Q726" s="94">
        <f t="shared" ca="1" si="201"/>
        <v>28.265749241644084</v>
      </c>
      <c r="R726" s="94">
        <f t="shared" ca="1" si="202"/>
        <v>2.8265749241644085</v>
      </c>
      <c r="S726" s="94">
        <f t="shared" ca="1" si="203"/>
        <v>2.8265749241644089</v>
      </c>
      <c r="T726" s="4">
        <f t="shared" ca="1" si="204"/>
        <v>2.6055547845099005E-7</v>
      </c>
      <c r="U726" s="46">
        <f t="shared" ca="1" si="205"/>
        <v>1427.7163216869442</v>
      </c>
      <c r="V726" s="4">
        <f t="shared" ca="1" si="206"/>
        <v>1.3160780070225794E-4</v>
      </c>
      <c r="W726" s="13">
        <f t="shared" ca="1" si="207"/>
        <v>11313.024540513297</v>
      </c>
      <c r="X726" s="4">
        <f t="shared" ca="1" si="208"/>
        <v>1.0428418141976631E-3</v>
      </c>
    </row>
    <row r="727" spans="1:24">
      <c r="A727">
        <v>1</v>
      </c>
      <c r="B727">
        <v>1</v>
      </c>
      <c r="C727">
        <f t="shared" si="190"/>
        <v>4</v>
      </c>
      <c r="D727">
        <f t="shared" si="191"/>
        <v>2</v>
      </c>
      <c r="E727">
        <f t="shared" si="192"/>
        <v>1</v>
      </c>
      <c r="F727" s="100">
        <f t="shared" ca="1" si="193"/>
        <v>9.703225E-2</v>
      </c>
      <c r="G727">
        <v>0</v>
      </c>
      <c r="H727">
        <v>1</v>
      </c>
      <c r="I727">
        <v>7</v>
      </c>
      <c r="J727" s="1">
        <f t="shared" ca="1" si="194"/>
        <v>0</v>
      </c>
      <c r="K727" s="1">
        <f t="shared" ca="1" si="195"/>
        <v>0</v>
      </c>
      <c r="L727" s="13">
        <f t="shared" ca="1" si="196"/>
        <v>156</v>
      </c>
      <c r="M727" s="7">
        <f t="shared" ca="1" si="197"/>
        <v>844</v>
      </c>
      <c r="N727" s="44">
        <f t="shared" ca="1" si="198"/>
        <v>10</v>
      </c>
      <c r="O727" s="94">
        <f t="shared" ca="1" si="199"/>
        <v>2.5877599795741038</v>
      </c>
      <c r="P727" s="94">
        <f t="shared" ca="1" si="200"/>
        <v>25.877599795741034</v>
      </c>
      <c r="Q727" s="94">
        <f t="shared" ca="1" si="201"/>
        <v>25.877599795741034</v>
      </c>
      <c r="R727" s="94">
        <f t="shared" ca="1" si="202"/>
        <v>2.5877599795741033</v>
      </c>
      <c r="S727" s="94">
        <f t="shared" ca="1" si="203"/>
        <v>2.5877599795741038</v>
      </c>
      <c r="T727" s="4">
        <f t="shared" ca="1" si="204"/>
        <v>0</v>
      </c>
      <c r="U727" s="46">
        <f t="shared" ca="1" si="205"/>
        <v>1420.8868633777442</v>
      </c>
      <c r="V727" s="4">
        <f t="shared" ca="1" si="206"/>
        <v>0</v>
      </c>
      <c r="W727" s="13">
        <f t="shared" ca="1" si="207"/>
        <v>5125.2361347438955</v>
      </c>
      <c r="X727" s="4">
        <f t="shared" ca="1" si="208"/>
        <v>0</v>
      </c>
    </row>
    <row r="728" spans="1:24">
      <c r="A728">
        <v>1</v>
      </c>
      <c r="B728">
        <v>1</v>
      </c>
      <c r="C728">
        <f t="shared" si="190"/>
        <v>4</v>
      </c>
      <c r="D728">
        <f t="shared" si="191"/>
        <v>2</v>
      </c>
      <c r="E728">
        <f t="shared" si="192"/>
        <v>1</v>
      </c>
      <c r="F728" s="100">
        <f t="shared" ca="1" si="193"/>
        <v>9.703225E-2</v>
      </c>
      <c r="G728">
        <v>0</v>
      </c>
      <c r="H728">
        <v>1</v>
      </c>
      <c r="I728">
        <v>6</v>
      </c>
      <c r="J728" s="1">
        <f t="shared" ca="1" si="194"/>
        <v>0</v>
      </c>
      <c r="K728" s="1">
        <f t="shared" ca="1" si="195"/>
        <v>0</v>
      </c>
      <c r="L728" s="13">
        <f t="shared" ca="1" si="196"/>
        <v>143</v>
      </c>
      <c r="M728" s="7">
        <f t="shared" ca="1" si="197"/>
        <v>857</v>
      </c>
      <c r="N728" s="44">
        <f t="shared" ca="1" si="198"/>
        <v>10</v>
      </c>
      <c r="O728" s="94">
        <f t="shared" ca="1" si="199"/>
        <v>2.5877599795741038</v>
      </c>
      <c r="P728" s="94">
        <f t="shared" ca="1" si="200"/>
        <v>25.877599795741034</v>
      </c>
      <c r="Q728" s="94">
        <f t="shared" ca="1" si="201"/>
        <v>25.877599795741034</v>
      </c>
      <c r="R728" s="94">
        <f t="shared" ca="1" si="202"/>
        <v>2.5877599795741033</v>
      </c>
      <c r="S728" s="94">
        <f t="shared" ca="1" si="203"/>
        <v>2.5877599795741038</v>
      </c>
      <c r="T728" s="4">
        <f t="shared" ca="1" si="204"/>
        <v>0</v>
      </c>
      <c r="U728" s="46">
        <f t="shared" ca="1" si="205"/>
        <v>1407.8868633777442</v>
      </c>
      <c r="V728" s="4">
        <f t="shared" ca="1" si="206"/>
        <v>0</v>
      </c>
      <c r="W728" s="13">
        <f t="shared" ca="1" si="207"/>
        <v>4459.5658392720125</v>
      </c>
      <c r="X728" s="4">
        <f t="shared" ca="1" si="208"/>
        <v>0</v>
      </c>
    </row>
    <row r="729" spans="1:24">
      <c r="A729">
        <v>1</v>
      </c>
      <c r="B729">
        <v>1</v>
      </c>
      <c r="C729">
        <f t="shared" si="190"/>
        <v>4</v>
      </c>
      <c r="D729">
        <f t="shared" si="191"/>
        <v>2</v>
      </c>
      <c r="E729">
        <f t="shared" si="192"/>
        <v>1</v>
      </c>
      <c r="F729" s="100">
        <f t="shared" ca="1" si="193"/>
        <v>9.703225E-2</v>
      </c>
      <c r="G729">
        <v>0</v>
      </c>
      <c r="H729">
        <v>1</v>
      </c>
      <c r="I729">
        <v>5</v>
      </c>
      <c r="J729" s="1">
        <f t="shared" ca="1" si="194"/>
        <v>0</v>
      </c>
      <c r="K729" s="1">
        <f t="shared" ca="1" si="195"/>
        <v>0</v>
      </c>
      <c r="L729" s="13">
        <f t="shared" ca="1" si="196"/>
        <v>130</v>
      </c>
      <c r="M729" s="7">
        <f t="shared" ca="1" si="197"/>
        <v>870</v>
      </c>
      <c r="N729" s="44">
        <f t="shared" ca="1" si="198"/>
        <v>10</v>
      </c>
      <c r="O729" s="94">
        <f t="shared" ca="1" si="199"/>
        <v>2.5877599795741038</v>
      </c>
      <c r="P729" s="94">
        <f t="shared" ca="1" si="200"/>
        <v>25.877599795741034</v>
      </c>
      <c r="Q729" s="94">
        <f t="shared" ca="1" si="201"/>
        <v>25.877599795741034</v>
      </c>
      <c r="R729" s="94">
        <f t="shared" ca="1" si="202"/>
        <v>2.5877599795741033</v>
      </c>
      <c r="S729" s="94">
        <f t="shared" ca="1" si="203"/>
        <v>2.5877599795741038</v>
      </c>
      <c r="T729" s="4">
        <f t="shared" ca="1" si="204"/>
        <v>0</v>
      </c>
      <c r="U729" s="46">
        <f t="shared" ca="1" si="205"/>
        <v>1394.8868633777442</v>
      </c>
      <c r="V729" s="4">
        <f t="shared" ca="1" si="206"/>
        <v>0</v>
      </c>
      <c r="W729" s="13">
        <f t="shared" ca="1" si="207"/>
        <v>3793.895543800129</v>
      </c>
      <c r="X729" s="4">
        <f t="shared" ca="1" si="208"/>
        <v>0</v>
      </c>
    </row>
    <row r="730" spans="1:24">
      <c r="A730">
        <v>1</v>
      </c>
      <c r="B730">
        <v>1</v>
      </c>
      <c r="C730">
        <f t="shared" si="190"/>
        <v>4</v>
      </c>
      <c r="D730">
        <f t="shared" si="191"/>
        <v>2</v>
      </c>
      <c r="E730">
        <f t="shared" si="192"/>
        <v>1</v>
      </c>
      <c r="F730" s="100">
        <f t="shared" ca="1" si="193"/>
        <v>9.703225E-2</v>
      </c>
      <c r="G730">
        <v>0</v>
      </c>
      <c r="H730">
        <v>1</v>
      </c>
      <c r="I730">
        <v>4</v>
      </c>
      <c r="J730" s="1">
        <f t="shared" ca="1" si="194"/>
        <v>0</v>
      </c>
      <c r="K730" s="1">
        <f t="shared" ca="1" si="195"/>
        <v>0</v>
      </c>
      <c r="L730" s="13">
        <f t="shared" ca="1" si="196"/>
        <v>117</v>
      </c>
      <c r="M730" s="7">
        <f t="shared" ca="1" si="197"/>
        <v>883</v>
      </c>
      <c r="N730" s="44">
        <f t="shared" ca="1" si="198"/>
        <v>10</v>
      </c>
      <c r="O730" s="94">
        <f t="shared" ca="1" si="199"/>
        <v>2.5877599795741038</v>
      </c>
      <c r="P730" s="94">
        <f t="shared" ca="1" si="200"/>
        <v>25.877599795741034</v>
      </c>
      <c r="Q730" s="94">
        <f t="shared" ca="1" si="201"/>
        <v>25.877599795741034</v>
      </c>
      <c r="R730" s="94">
        <f t="shared" ca="1" si="202"/>
        <v>2.5877599795741033</v>
      </c>
      <c r="S730" s="94">
        <f t="shared" ca="1" si="203"/>
        <v>2.5877599795741038</v>
      </c>
      <c r="T730" s="4">
        <f t="shared" ca="1" si="204"/>
        <v>0</v>
      </c>
      <c r="U730" s="46">
        <f t="shared" ca="1" si="205"/>
        <v>1381.8868633777442</v>
      </c>
      <c r="V730" s="4">
        <f t="shared" ca="1" si="206"/>
        <v>0</v>
      </c>
      <c r="W730" s="13">
        <f t="shared" ca="1" si="207"/>
        <v>3128.2252483282455</v>
      </c>
      <c r="X730" s="4">
        <f t="shared" ca="1" si="208"/>
        <v>0</v>
      </c>
    </row>
    <row r="731" spans="1:24">
      <c r="A731">
        <v>1</v>
      </c>
      <c r="B731">
        <v>1</v>
      </c>
      <c r="C731">
        <f t="shared" si="190"/>
        <v>4</v>
      </c>
      <c r="D731">
        <f t="shared" si="191"/>
        <v>2</v>
      </c>
      <c r="E731">
        <f t="shared" si="192"/>
        <v>1</v>
      </c>
      <c r="F731" s="100">
        <f t="shared" ca="1" si="193"/>
        <v>9.703225E-2</v>
      </c>
      <c r="G731">
        <v>0</v>
      </c>
      <c r="H731">
        <v>1</v>
      </c>
      <c r="I731">
        <v>3</v>
      </c>
      <c r="J731" s="1">
        <f t="shared" ca="1" si="194"/>
        <v>0</v>
      </c>
      <c r="K731" s="1">
        <f t="shared" ca="1" si="195"/>
        <v>0</v>
      </c>
      <c r="L731" s="13">
        <f t="shared" ca="1" si="196"/>
        <v>104</v>
      </c>
      <c r="M731" s="7">
        <f t="shared" ca="1" si="197"/>
        <v>896</v>
      </c>
      <c r="N731" s="44">
        <f t="shared" ca="1" si="198"/>
        <v>11</v>
      </c>
      <c r="O731" s="94">
        <f t="shared" ca="1" si="199"/>
        <v>2.8265749241644089</v>
      </c>
      <c r="P731" s="94">
        <f t="shared" ca="1" si="200"/>
        <v>27.071674518692554</v>
      </c>
      <c r="Q731" s="94">
        <f t="shared" ca="1" si="201"/>
        <v>25.877599795741034</v>
      </c>
      <c r="R731" s="94">
        <f t="shared" ca="1" si="202"/>
        <v>2.6474637157216794</v>
      </c>
      <c r="S731" s="94">
        <f t="shared" ca="1" si="203"/>
        <v>2.8265749241644089</v>
      </c>
      <c r="T731" s="4">
        <f t="shared" ca="1" si="204"/>
        <v>0</v>
      </c>
      <c r="U731" s="46">
        <f t="shared" ca="1" si="205"/>
        <v>1466.7163216869442</v>
      </c>
      <c r="V731" s="4">
        <f t="shared" ca="1" si="206"/>
        <v>0</v>
      </c>
      <c r="W731" s="13">
        <f t="shared" ca="1" si="207"/>
        <v>2462.5549528563624</v>
      </c>
      <c r="X731" s="4">
        <f t="shared" ca="1" si="208"/>
        <v>0</v>
      </c>
    </row>
    <row r="732" spans="1:24">
      <c r="A732">
        <v>1</v>
      </c>
      <c r="B732">
        <v>1</v>
      </c>
      <c r="C732">
        <f t="shared" si="190"/>
        <v>4</v>
      </c>
      <c r="D732">
        <f t="shared" si="191"/>
        <v>2</v>
      </c>
      <c r="E732">
        <f t="shared" si="192"/>
        <v>1</v>
      </c>
      <c r="F732" s="100">
        <f t="shared" ca="1" si="193"/>
        <v>9.703225E-2</v>
      </c>
      <c r="G732">
        <v>0</v>
      </c>
      <c r="H732">
        <v>1</v>
      </c>
      <c r="I732">
        <v>2</v>
      </c>
      <c r="J732" s="1">
        <f t="shared" ca="1" si="194"/>
        <v>4.8514950000000001E-2</v>
      </c>
      <c r="K732" s="1">
        <f t="shared" ca="1" si="195"/>
        <v>4.7075147571374997E-3</v>
      </c>
      <c r="L732" s="13">
        <f t="shared" ca="1" si="196"/>
        <v>91</v>
      </c>
      <c r="M732" s="7">
        <f t="shared" ca="1" si="197"/>
        <v>909</v>
      </c>
      <c r="N732" s="44">
        <f t="shared" ca="1" si="198"/>
        <v>11</v>
      </c>
      <c r="O732" s="94">
        <f t="shared" ca="1" si="199"/>
        <v>2.8265749241644089</v>
      </c>
      <c r="P732" s="94">
        <f t="shared" ca="1" si="200"/>
        <v>28.265749241644084</v>
      </c>
      <c r="Q732" s="94">
        <f t="shared" ca="1" si="201"/>
        <v>27.788119352463475</v>
      </c>
      <c r="R732" s="94">
        <f t="shared" ca="1" si="202"/>
        <v>2.8026934297053776</v>
      </c>
      <c r="S732" s="94">
        <f t="shared" ca="1" si="203"/>
        <v>2.8265749241644089</v>
      </c>
      <c r="T732" s="4">
        <f t="shared" ca="1" si="204"/>
        <v>1.3306143167658765E-2</v>
      </c>
      <c r="U732" s="46">
        <f t="shared" ca="1" si="205"/>
        <v>1453.7163216869442</v>
      </c>
      <c r="V732" s="4">
        <f t="shared" ca="1" si="206"/>
        <v>6.8433910370329345</v>
      </c>
      <c r="W732" s="13">
        <f t="shared" ca="1" si="207"/>
        <v>1796.8846573844794</v>
      </c>
      <c r="X732" s="4">
        <f t="shared" ca="1" si="208"/>
        <v>8.4588610415113976</v>
      </c>
    </row>
    <row r="733" spans="1:24">
      <c r="A733">
        <v>1</v>
      </c>
      <c r="B733">
        <v>1</v>
      </c>
      <c r="C733">
        <f t="shared" si="190"/>
        <v>4</v>
      </c>
      <c r="D733">
        <f t="shared" si="191"/>
        <v>2</v>
      </c>
      <c r="E733">
        <f t="shared" si="192"/>
        <v>1</v>
      </c>
      <c r="F733" s="100">
        <f t="shared" ca="1" si="193"/>
        <v>9.703225E-2</v>
      </c>
      <c r="G733">
        <v>0</v>
      </c>
      <c r="H733">
        <v>1</v>
      </c>
      <c r="I733">
        <v>1</v>
      </c>
      <c r="J733" s="1">
        <f t="shared" ca="1" si="194"/>
        <v>9.8010000000000089E-4</v>
      </c>
      <c r="K733" s="1">
        <f t="shared" ca="1" si="195"/>
        <v>9.5101308225000085E-5</v>
      </c>
      <c r="L733" s="13">
        <f t="shared" ca="1" si="196"/>
        <v>78</v>
      </c>
      <c r="M733" s="7">
        <f t="shared" ca="1" si="197"/>
        <v>922</v>
      </c>
      <c r="N733" s="44">
        <f t="shared" ca="1" si="198"/>
        <v>11</v>
      </c>
      <c r="O733" s="94">
        <f t="shared" ca="1" si="199"/>
        <v>2.8265749241644089</v>
      </c>
      <c r="P733" s="94">
        <f t="shared" ca="1" si="200"/>
        <v>28.265749241644084</v>
      </c>
      <c r="Q733" s="94">
        <f t="shared" ca="1" si="201"/>
        <v>28.265749241644084</v>
      </c>
      <c r="R733" s="94">
        <f t="shared" ca="1" si="202"/>
        <v>2.8265749241644085</v>
      </c>
      <c r="S733" s="94">
        <f t="shared" ca="1" si="203"/>
        <v>2.8265749241644089</v>
      </c>
      <c r="T733" s="4">
        <f t="shared" ca="1" si="204"/>
        <v>2.6881097308401568E-4</v>
      </c>
      <c r="U733" s="46">
        <f t="shared" ca="1" si="205"/>
        <v>1440.7163216869442</v>
      </c>
      <c r="V733" s="4">
        <f t="shared" ca="1" si="206"/>
        <v>0.13701400697353847</v>
      </c>
      <c r="W733" s="13">
        <f t="shared" ca="1" si="207"/>
        <v>1131.2143619125961</v>
      </c>
      <c r="X733" s="4">
        <f t="shared" ca="1" si="208"/>
        <v>0.1075799657007966</v>
      </c>
    </row>
    <row r="734" spans="1:24">
      <c r="A734">
        <v>1</v>
      </c>
      <c r="B734">
        <v>1</v>
      </c>
      <c r="C734">
        <f t="shared" si="190"/>
        <v>4</v>
      </c>
      <c r="D734">
        <f t="shared" si="191"/>
        <v>2</v>
      </c>
      <c r="E734">
        <f t="shared" si="192"/>
        <v>1</v>
      </c>
      <c r="F734" s="100">
        <f t="shared" ca="1" si="193"/>
        <v>9.703225E-2</v>
      </c>
      <c r="G734">
        <v>0</v>
      </c>
      <c r="H734">
        <v>1</v>
      </c>
      <c r="I734">
        <v>0</v>
      </c>
      <c r="J734" s="1">
        <f t="shared" ca="1" si="194"/>
        <v>4.9500000000000094E-6</v>
      </c>
      <c r="K734" s="1">
        <f t="shared" ca="1" si="195"/>
        <v>4.803096375000009E-7</v>
      </c>
      <c r="L734" s="13">
        <f t="shared" ca="1" si="196"/>
        <v>65</v>
      </c>
      <c r="M734" s="7">
        <f t="shared" ca="1" si="197"/>
        <v>935</v>
      </c>
      <c r="N734" s="44">
        <f t="shared" ca="1" si="198"/>
        <v>11</v>
      </c>
      <c r="O734" s="94">
        <f t="shared" ca="1" si="199"/>
        <v>2.8265749241644089</v>
      </c>
      <c r="P734" s="94">
        <f t="shared" ca="1" si="200"/>
        <v>28.265749241644084</v>
      </c>
      <c r="Q734" s="94">
        <f t="shared" ca="1" si="201"/>
        <v>28.265749241644084</v>
      </c>
      <c r="R734" s="94">
        <f t="shared" ca="1" si="202"/>
        <v>2.8265749241644085</v>
      </c>
      <c r="S734" s="94">
        <f t="shared" ca="1" si="203"/>
        <v>2.8265749241644089</v>
      </c>
      <c r="T734" s="4">
        <f t="shared" ca="1" si="204"/>
        <v>1.3576311771919998E-6</v>
      </c>
      <c r="U734" s="46">
        <f t="shared" ca="1" si="205"/>
        <v>1427.7163216869442</v>
      </c>
      <c r="V734" s="4">
        <f t="shared" ca="1" si="206"/>
        <v>6.8574590892229081E-4</v>
      </c>
      <c r="W734" s="13">
        <f t="shared" ca="1" si="207"/>
        <v>465.54406644071304</v>
      </c>
      <c r="X734" s="4">
        <f t="shared" ca="1" si="208"/>
        <v>2.2360530179241521E-4</v>
      </c>
    </row>
    <row r="735" spans="1:24">
      <c r="A735">
        <v>1</v>
      </c>
      <c r="B735">
        <v>1</v>
      </c>
      <c r="C735">
        <f t="shared" si="190"/>
        <v>4</v>
      </c>
      <c r="D735">
        <f t="shared" si="191"/>
        <v>2</v>
      </c>
      <c r="E735">
        <f t="shared" si="192"/>
        <v>1</v>
      </c>
      <c r="F735" s="100">
        <f t="shared" ca="1" si="193"/>
        <v>9.703225E-2</v>
      </c>
      <c r="G735">
        <v>0</v>
      </c>
      <c r="H735">
        <v>0</v>
      </c>
      <c r="I735">
        <v>7</v>
      </c>
      <c r="J735" s="1">
        <f t="shared" ca="1" si="194"/>
        <v>0</v>
      </c>
      <c r="K735" s="1">
        <f t="shared" ca="1" si="195"/>
        <v>0</v>
      </c>
      <c r="L735" s="13">
        <f t="shared" ca="1" si="196"/>
        <v>91</v>
      </c>
      <c r="M735" s="7">
        <f t="shared" ca="1" si="197"/>
        <v>909</v>
      </c>
      <c r="N735" s="44">
        <f t="shared" ca="1" si="198"/>
        <v>11</v>
      </c>
      <c r="O735" s="94">
        <f t="shared" ca="1" si="199"/>
        <v>2.8265749241644089</v>
      </c>
      <c r="P735" s="94">
        <f t="shared" ca="1" si="200"/>
        <v>28.265749241644084</v>
      </c>
      <c r="Q735" s="94">
        <f t="shared" ca="1" si="201"/>
        <v>27.788119352463475</v>
      </c>
      <c r="R735" s="94">
        <f t="shared" ca="1" si="202"/>
        <v>2.8026934297053776</v>
      </c>
      <c r="S735" s="94">
        <f t="shared" ca="1" si="203"/>
        <v>2.8265749241644089</v>
      </c>
      <c r="T735" s="4">
        <f t="shared" ca="1" si="204"/>
        <v>0</v>
      </c>
      <c r="U735" s="46">
        <f t="shared" ca="1" si="205"/>
        <v>1453.7163216869442</v>
      </c>
      <c r="V735" s="4">
        <f t="shared" ca="1" si="206"/>
        <v>0</v>
      </c>
      <c r="W735" s="13">
        <f t="shared" ca="1" si="207"/>
        <v>4659.6920683031822</v>
      </c>
      <c r="X735" s="4">
        <f t="shared" ca="1" si="208"/>
        <v>0</v>
      </c>
    </row>
    <row r="736" spans="1:24">
      <c r="A736">
        <v>1</v>
      </c>
      <c r="B736">
        <v>1</v>
      </c>
      <c r="C736">
        <f t="shared" si="190"/>
        <v>4</v>
      </c>
      <c r="D736">
        <f t="shared" si="191"/>
        <v>2</v>
      </c>
      <c r="E736">
        <f t="shared" si="192"/>
        <v>1</v>
      </c>
      <c r="F736" s="100">
        <f t="shared" ca="1" si="193"/>
        <v>9.703225E-2</v>
      </c>
      <c r="G736">
        <v>0</v>
      </c>
      <c r="H736">
        <v>0</v>
      </c>
      <c r="I736">
        <v>6</v>
      </c>
      <c r="J736" s="1">
        <f t="shared" ca="1" si="194"/>
        <v>0</v>
      </c>
      <c r="K736" s="1">
        <f t="shared" ca="1" si="195"/>
        <v>0</v>
      </c>
      <c r="L736" s="13">
        <f t="shared" ca="1" si="196"/>
        <v>78</v>
      </c>
      <c r="M736" s="7">
        <f t="shared" ca="1" si="197"/>
        <v>922</v>
      </c>
      <c r="N736" s="44">
        <f t="shared" ca="1" si="198"/>
        <v>11</v>
      </c>
      <c r="O736" s="94">
        <f t="shared" ca="1" si="199"/>
        <v>2.8265749241644089</v>
      </c>
      <c r="P736" s="94">
        <f t="shared" ca="1" si="200"/>
        <v>28.265749241644084</v>
      </c>
      <c r="Q736" s="94">
        <f t="shared" ca="1" si="201"/>
        <v>28.265749241644084</v>
      </c>
      <c r="R736" s="94">
        <f t="shared" ca="1" si="202"/>
        <v>2.8265749241644085</v>
      </c>
      <c r="S736" s="94">
        <f t="shared" ca="1" si="203"/>
        <v>2.8265749241644089</v>
      </c>
      <c r="T736" s="4">
        <f t="shared" ca="1" si="204"/>
        <v>0</v>
      </c>
      <c r="U736" s="46">
        <f t="shared" ca="1" si="205"/>
        <v>1440.7163216869442</v>
      </c>
      <c r="V736" s="4">
        <f t="shared" ca="1" si="206"/>
        <v>0</v>
      </c>
      <c r="W736" s="13">
        <f t="shared" ca="1" si="207"/>
        <v>3994.0217728312991</v>
      </c>
      <c r="X736" s="4">
        <f t="shared" ca="1" si="208"/>
        <v>0</v>
      </c>
    </row>
    <row r="737" spans="1:24">
      <c r="A737">
        <v>1</v>
      </c>
      <c r="B737">
        <v>1</v>
      </c>
      <c r="C737">
        <f t="shared" si="190"/>
        <v>4</v>
      </c>
      <c r="D737">
        <f t="shared" si="191"/>
        <v>2</v>
      </c>
      <c r="E737">
        <f t="shared" si="192"/>
        <v>1</v>
      </c>
      <c r="F737" s="100">
        <f t="shared" ca="1" si="193"/>
        <v>9.703225E-2</v>
      </c>
      <c r="G737">
        <v>0</v>
      </c>
      <c r="H737">
        <v>0</v>
      </c>
      <c r="I737">
        <v>5</v>
      </c>
      <c r="J737" s="1">
        <f t="shared" ca="1" si="194"/>
        <v>0</v>
      </c>
      <c r="K737" s="1">
        <f t="shared" ca="1" si="195"/>
        <v>0</v>
      </c>
      <c r="L737" s="13">
        <f t="shared" ca="1" si="196"/>
        <v>65</v>
      </c>
      <c r="M737" s="7">
        <f t="shared" ca="1" si="197"/>
        <v>935</v>
      </c>
      <c r="N737" s="44">
        <f t="shared" ca="1" si="198"/>
        <v>11</v>
      </c>
      <c r="O737" s="94">
        <f t="shared" ca="1" si="199"/>
        <v>2.8265749241644089</v>
      </c>
      <c r="P737" s="94">
        <f t="shared" ca="1" si="200"/>
        <v>28.265749241644084</v>
      </c>
      <c r="Q737" s="94">
        <f t="shared" ca="1" si="201"/>
        <v>28.265749241644084</v>
      </c>
      <c r="R737" s="94">
        <f t="shared" ca="1" si="202"/>
        <v>2.8265749241644085</v>
      </c>
      <c r="S737" s="94">
        <f t="shared" ca="1" si="203"/>
        <v>2.8265749241644089</v>
      </c>
      <c r="T737" s="4">
        <f t="shared" ca="1" si="204"/>
        <v>0</v>
      </c>
      <c r="U737" s="46">
        <f t="shared" ca="1" si="205"/>
        <v>1427.7163216869442</v>
      </c>
      <c r="V737" s="4">
        <f t="shared" ca="1" si="206"/>
        <v>0</v>
      </c>
      <c r="W737" s="13">
        <f t="shared" ca="1" si="207"/>
        <v>3328.3514773594161</v>
      </c>
      <c r="X737" s="4">
        <f t="shared" ca="1" si="208"/>
        <v>0</v>
      </c>
    </row>
    <row r="738" spans="1:24">
      <c r="A738">
        <v>1</v>
      </c>
      <c r="B738">
        <v>1</v>
      </c>
      <c r="C738">
        <f t="shared" si="190"/>
        <v>4</v>
      </c>
      <c r="D738">
        <f t="shared" si="191"/>
        <v>2</v>
      </c>
      <c r="E738">
        <f t="shared" si="192"/>
        <v>1</v>
      </c>
      <c r="F738" s="100">
        <f t="shared" ca="1" si="193"/>
        <v>9.703225E-2</v>
      </c>
      <c r="G738">
        <v>0</v>
      </c>
      <c r="H738">
        <v>0</v>
      </c>
      <c r="I738">
        <v>4</v>
      </c>
      <c r="J738" s="1">
        <f t="shared" ca="1" si="194"/>
        <v>0</v>
      </c>
      <c r="K738" s="1">
        <f t="shared" ca="1" si="195"/>
        <v>0</v>
      </c>
      <c r="L738" s="13">
        <f t="shared" ca="1" si="196"/>
        <v>52</v>
      </c>
      <c r="M738" s="7">
        <f t="shared" ca="1" si="197"/>
        <v>948</v>
      </c>
      <c r="N738" s="44">
        <f t="shared" ca="1" si="198"/>
        <v>11</v>
      </c>
      <c r="O738" s="94">
        <f t="shared" ca="1" si="199"/>
        <v>2.8265749241644089</v>
      </c>
      <c r="P738" s="94">
        <f t="shared" ca="1" si="200"/>
        <v>28.265749241644084</v>
      </c>
      <c r="Q738" s="94">
        <f t="shared" ca="1" si="201"/>
        <v>28.265749241644084</v>
      </c>
      <c r="R738" s="94">
        <f t="shared" ca="1" si="202"/>
        <v>2.8265749241644085</v>
      </c>
      <c r="S738" s="94">
        <f t="shared" ca="1" si="203"/>
        <v>2.8265749241644089</v>
      </c>
      <c r="T738" s="4">
        <f t="shared" ca="1" si="204"/>
        <v>0</v>
      </c>
      <c r="U738" s="46">
        <f t="shared" ca="1" si="205"/>
        <v>1414.7163216869442</v>
      </c>
      <c r="V738" s="4">
        <f t="shared" ca="1" si="206"/>
        <v>0</v>
      </c>
      <c r="W738" s="13">
        <f t="shared" ca="1" si="207"/>
        <v>2662.6811818875326</v>
      </c>
      <c r="X738" s="4">
        <f t="shared" ca="1" si="208"/>
        <v>0</v>
      </c>
    </row>
    <row r="739" spans="1:24">
      <c r="A739">
        <v>1</v>
      </c>
      <c r="B739">
        <v>1</v>
      </c>
      <c r="C739">
        <f t="shared" si="190"/>
        <v>4</v>
      </c>
      <c r="D739">
        <f t="shared" si="191"/>
        <v>2</v>
      </c>
      <c r="E739">
        <f t="shared" si="192"/>
        <v>1</v>
      </c>
      <c r="F739" s="100">
        <f t="shared" ca="1" si="193"/>
        <v>9.703225E-2</v>
      </c>
      <c r="G739">
        <v>0</v>
      </c>
      <c r="H739">
        <v>0</v>
      </c>
      <c r="I739">
        <v>3</v>
      </c>
      <c r="J739" s="1">
        <f t="shared" ca="1" si="194"/>
        <v>0</v>
      </c>
      <c r="K739" s="1">
        <f t="shared" ca="1" si="195"/>
        <v>0</v>
      </c>
      <c r="L739" s="13">
        <f t="shared" ca="1" si="196"/>
        <v>39</v>
      </c>
      <c r="M739" s="7">
        <f t="shared" ca="1" si="197"/>
        <v>961</v>
      </c>
      <c r="N739" s="44">
        <f t="shared" ca="1" si="198"/>
        <v>11</v>
      </c>
      <c r="O739" s="94">
        <f t="shared" ca="1" si="199"/>
        <v>2.8265749241644089</v>
      </c>
      <c r="P739" s="94">
        <f t="shared" ca="1" si="200"/>
        <v>28.265749241644084</v>
      </c>
      <c r="Q739" s="94">
        <f t="shared" ca="1" si="201"/>
        <v>28.265749241644084</v>
      </c>
      <c r="R739" s="94">
        <f t="shared" ca="1" si="202"/>
        <v>2.8265749241644085</v>
      </c>
      <c r="S739" s="94">
        <f t="shared" ca="1" si="203"/>
        <v>2.8265749241644089</v>
      </c>
      <c r="T739" s="4">
        <f t="shared" ca="1" si="204"/>
        <v>0</v>
      </c>
      <c r="U739" s="46">
        <f t="shared" ca="1" si="205"/>
        <v>1401.7163216869442</v>
      </c>
      <c r="V739" s="4">
        <f t="shared" ca="1" si="206"/>
        <v>0</v>
      </c>
      <c r="W739" s="13">
        <f t="shared" ca="1" si="207"/>
        <v>1997.0108864156496</v>
      </c>
      <c r="X739" s="4">
        <f t="shared" ca="1" si="208"/>
        <v>0</v>
      </c>
    </row>
    <row r="740" spans="1:24">
      <c r="A740">
        <v>1</v>
      </c>
      <c r="B740">
        <v>1</v>
      </c>
      <c r="C740">
        <f t="shared" si="190"/>
        <v>4</v>
      </c>
      <c r="D740">
        <f t="shared" si="191"/>
        <v>2</v>
      </c>
      <c r="E740">
        <f t="shared" si="192"/>
        <v>1</v>
      </c>
      <c r="F740" s="100">
        <f t="shared" ca="1" si="193"/>
        <v>9.703225E-2</v>
      </c>
      <c r="G740">
        <v>0</v>
      </c>
      <c r="H740">
        <v>0</v>
      </c>
      <c r="I740">
        <v>2</v>
      </c>
      <c r="J740" s="1">
        <f t="shared" ca="1" si="194"/>
        <v>4.9005000000000045E-4</v>
      </c>
      <c r="K740" s="1">
        <f t="shared" ca="1" si="195"/>
        <v>4.7550654112500042E-5</v>
      </c>
      <c r="L740" s="13">
        <f t="shared" ca="1" si="196"/>
        <v>26</v>
      </c>
      <c r="M740" s="7">
        <f t="shared" ca="1" si="197"/>
        <v>974</v>
      </c>
      <c r="N740" s="44">
        <f t="shared" ca="1" si="198"/>
        <v>11</v>
      </c>
      <c r="O740" s="94">
        <f t="shared" ca="1" si="199"/>
        <v>2.8265749241644089</v>
      </c>
      <c r="P740" s="94">
        <f t="shared" ca="1" si="200"/>
        <v>28.265749241644084</v>
      </c>
      <c r="Q740" s="94">
        <f t="shared" ca="1" si="201"/>
        <v>28.265749241644084</v>
      </c>
      <c r="R740" s="94">
        <f t="shared" ca="1" si="202"/>
        <v>2.8265749241644085</v>
      </c>
      <c r="S740" s="94">
        <f t="shared" ca="1" si="203"/>
        <v>2.8265749241644089</v>
      </c>
      <c r="T740" s="4">
        <f t="shared" ca="1" si="204"/>
        <v>1.3440548654200784E-4</v>
      </c>
      <c r="U740" s="46">
        <f t="shared" ca="1" si="205"/>
        <v>1388.7163216869442</v>
      </c>
      <c r="V740" s="4">
        <f t="shared" ca="1" si="206"/>
        <v>6.6034369472919227E-2</v>
      </c>
      <c r="W740" s="13">
        <f t="shared" ca="1" si="207"/>
        <v>1331.3405909437663</v>
      </c>
      <c r="X740" s="4">
        <f t="shared" ca="1" si="208"/>
        <v>6.3306115945898439E-2</v>
      </c>
    </row>
    <row r="741" spans="1:24">
      <c r="A741">
        <v>1</v>
      </c>
      <c r="B741">
        <v>1</v>
      </c>
      <c r="C741">
        <f t="shared" si="190"/>
        <v>4</v>
      </c>
      <c r="D741">
        <f t="shared" si="191"/>
        <v>2</v>
      </c>
      <c r="E741">
        <f t="shared" si="192"/>
        <v>1</v>
      </c>
      <c r="F741" s="100">
        <f t="shared" ca="1" si="193"/>
        <v>9.703225E-2</v>
      </c>
      <c r="G741">
        <v>0</v>
      </c>
      <c r="H741">
        <v>0</v>
      </c>
      <c r="I741">
        <v>1</v>
      </c>
      <c r="J741" s="1">
        <f t="shared" ca="1" si="194"/>
        <v>9.9000000000000187E-6</v>
      </c>
      <c r="K741" s="1">
        <f t="shared" ca="1" si="195"/>
        <v>9.606192750000018E-7</v>
      </c>
      <c r="L741" s="13">
        <f t="shared" ca="1" si="196"/>
        <v>13</v>
      </c>
      <c r="M741" s="7">
        <f t="shared" ca="1" si="197"/>
        <v>987</v>
      </c>
      <c r="N741" s="44">
        <f t="shared" ca="1" si="198"/>
        <v>12</v>
      </c>
      <c r="O741" s="94">
        <f t="shared" ca="1" si="199"/>
        <v>3.049271339469791</v>
      </c>
      <c r="P741" s="94">
        <f t="shared" ca="1" si="200"/>
        <v>29.824624148781758</v>
      </c>
      <c r="Q741" s="94">
        <f t="shared" ca="1" si="201"/>
        <v>28.265749241644084</v>
      </c>
      <c r="R741" s="94">
        <f t="shared" ca="1" si="202"/>
        <v>2.9045186695212921</v>
      </c>
      <c r="S741" s="94">
        <f t="shared" ca="1" si="203"/>
        <v>3.049271339469791</v>
      </c>
      <c r="T741" s="4">
        <f t="shared" ca="1" si="204"/>
        <v>2.9291888233997551E-6</v>
      </c>
      <c r="U741" s="46">
        <f t="shared" ca="1" si="205"/>
        <v>1466.9428976204611</v>
      </c>
      <c r="V741" s="4">
        <f t="shared" ca="1" si="206"/>
        <v>1.4091736227785691E-3</v>
      </c>
      <c r="W741" s="13">
        <f t="shared" ca="1" si="207"/>
        <v>665.67029547188315</v>
      </c>
      <c r="X741" s="4">
        <f t="shared" ca="1" si="208"/>
        <v>6.3945571662523738E-4</v>
      </c>
    </row>
    <row r="742" spans="1:24">
      <c r="A742">
        <v>1</v>
      </c>
      <c r="B742">
        <v>1</v>
      </c>
      <c r="C742">
        <f t="shared" si="190"/>
        <v>4</v>
      </c>
      <c r="D742">
        <f t="shared" si="191"/>
        <v>2</v>
      </c>
      <c r="E742">
        <f t="shared" si="192"/>
        <v>1</v>
      </c>
      <c r="F742" s="100">
        <f t="shared" ca="1" si="193"/>
        <v>9.703225E-2</v>
      </c>
      <c r="G742">
        <v>0</v>
      </c>
      <c r="H742">
        <v>0</v>
      </c>
      <c r="I742">
        <v>0</v>
      </c>
      <c r="J742" s="1">
        <f t="shared" ca="1" si="194"/>
        <v>5.0000000000000137E-8</v>
      </c>
      <c r="K742" s="1">
        <f t="shared" ca="1" si="195"/>
        <v>4.8516125000000132E-9</v>
      </c>
      <c r="L742" s="13">
        <f t="shared" ca="1" si="196"/>
        <v>0</v>
      </c>
      <c r="M742" s="7">
        <f t="shared" ca="1" si="197"/>
        <v>1000</v>
      </c>
      <c r="N742" s="44">
        <f t="shared" ca="1" si="198"/>
        <v>12</v>
      </c>
      <c r="O742" s="94">
        <f t="shared" ca="1" si="199"/>
        <v>3.049271339469791</v>
      </c>
      <c r="P742" s="94">
        <f t="shared" ca="1" si="200"/>
        <v>30.492713394697905</v>
      </c>
      <c r="Q742" s="94">
        <f t="shared" ca="1" si="201"/>
        <v>30.492713394697905</v>
      </c>
      <c r="R742" s="94">
        <f t="shared" ca="1" si="202"/>
        <v>3.0492713394697906</v>
      </c>
      <c r="S742" s="94">
        <f t="shared" ca="1" si="203"/>
        <v>3.049271339469791</v>
      </c>
      <c r="T742" s="4">
        <f t="shared" ca="1" si="204"/>
        <v>1.4793882946463422E-8</v>
      </c>
      <c r="U742" s="46">
        <f t="shared" ca="1" si="205"/>
        <v>1453.9428976204611</v>
      </c>
      <c r="V742" s="4">
        <f t="shared" ca="1" si="206"/>
        <v>7.0539675363816685E-6</v>
      </c>
      <c r="W742" s="13">
        <f t="shared" ca="1" si="207"/>
        <v>0</v>
      </c>
      <c r="X742" s="4">
        <f t="shared" ca="1" si="208"/>
        <v>0</v>
      </c>
    </row>
    <row r="743" spans="1:24">
      <c r="A743">
        <v>1</v>
      </c>
      <c r="B743">
        <v>2</v>
      </c>
      <c r="C743">
        <f t="shared" ref="C743:C806" si="209">MIN(8, 1+$B$543+$B$542+A743+B743)</f>
        <v>5</v>
      </c>
      <c r="D743">
        <f t="shared" ref="D743:D806" si="210">C743-(1+$B$543)</f>
        <v>3</v>
      </c>
      <c r="E743">
        <f t="shared" ref="E743:E806" si="211">MIN(A743, C743-(1+$B$543+$B$542))</f>
        <v>1</v>
      </c>
      <c r="F743" s="100">
        <f t="shared" ref="F743:F806" ca="1" si="212">IF(A743=3, Set2QA, IF(A743=2, (1-Set2QA)*Set2TA + (1-Set2QA)*(1-Set2TA)*(1-Set2DA)*Set2AM3*Set2AM33, IF(A743=1, (1-Set2QA)*(1-Set2TA)*Set2DA + (1-Set2QA)*(1-Set2TA)*(1-Set2DA)*Set2AM3*Set2AM32, (1-Set2QA)*(1-Set2TA)*(1-Set2DA)*(1-Set2AM3)))) * IF($B$542+$B$543&gt;0, IF(B743=3, Set2QA, IF(B743=2, (1-Set2QA)*Set2TA, IF(B743=1, (1-Set2QA)*(1-Set2TA)*Set2DA, (1-Set2QA)*(1-Set2TA)*(1-Set2DA)))), IF(B743=0, 1, 0))</f>
        <v>3.4264999999999997E-2</v>
      </c>
      <c r="G743">
        <v>1</v>
      </c>
      <c r="H743">
        <v>1</v>
      </c>
      <c r="I743">
        <v>7</v>
      </c>
      <c r="J743" s="1">
        <f t="shared" ref="J743:J806" ca="1" si="213">POWER(95%,G743)*POWER(5%, 1-G743) * IF($B$543=0, IF(H743=0, 1, 0), POWER(Set2WSHitRate,H743)*POWER(1-Set2WSHitRate, 1-H743)) * IF(I743&lt;=D743, POWER(Set2WSHitRate, I743)*POWER(1-Set2WSHitRate, D743-I743)*COMBIN(D743,I743), 0)</f>
        <v>0</v>
      </c>
      <c r="K743" s="1">
        <f t="shared" ref="K743:K806" ca="1" si="214">F743*J743</f>
        <v>0</v>
      </c>
      <c r="L743" s="13">
        <f t="shared" ref="L743:L806" ca="1" si="215">MAX((G743+H743)*Set2WSTP + I743*$B$539, Set2SaveTP)</f>
        <v>221</v>
      </c>
      <c r="M743" s="7">
        <f t="shared" ref="M743:M806" ca="1" si="216">MAX(Set2MinTP-(L743+Set2Regain), 0)</f>
        <v>779</v>
      </c>
      <c r="N743" s="44">
        <f t="shared" ref="N743:N806" ca="1" si="217">CEILING(M743/Set2MeleeTP, 1)</f>
        <v>9</v>
      </c>
      <c r="O743" s="94">
        <f t="shared" ref="O743:O806" ca="1" si="218">VLOOKUP(N743, AvgRoundsSet2, 2)</f>
        <v>2.3639647217884514</v>
      </c>
      <c r="P743" s="94">
        <f t="shared" ref="P743:P806" ca="1" si="219">VLOOKUP(CEILING(MAX(M743-1, 0)/Set2MeleeTP, 1), AvgRoundsSet2, 2) + VLOOKUP(CEILING(MAX(M743-2, 0)/Set2MeleeTP, 1), AvgRoundsSet2, 2) + VLOOKUP(CEILING(MAX(M743-3, 0)/Set2MeleeTP, 1), AvgRoundsSet2, 2) + VLOOKUP(CEILING(MAX(M743-4, 0)/Set2MeleeTP, 1), AvgRoundsSet2, 2) + VLOOKUP(CEILING(MAX(M743-5, 0)/Set2MeleeTP, 1), AvgRoundsSet2, 2) + VLOOKUP(CEILING(MAX(M743-6, 0)/Set2MeleeTP, 1), AvgRoundsSet2, 2) + VLOOKUP(CEILING(MAX(M743-7, 0)/Set2MeleeTP, 1), AvgRoundsSet2, 2) + VLOOKUP(CEILING(MAX(M743-8, 0)/Set2MeleeTP, 1), AvgRoundsSet2, 2) + VLOOKUP(CEILING(MAX(M743-9, 0)/Set2MeleeTP, 1), AvgRoundsSet2, 2) + VLOOKUP(CEILING(MAX(M743-10, 0)/Set2MeleeTP, 1), AvgRoundsSet2, 2)</f>
        <v>23.639647217884519</v>
      </c>
      <c r="Q743" s="94">
        <f t="shared" ref="Q743:Q806" ca="1" si="220">VLOOKUP(CEILING(MAX(M743-11, 0)/Set2MeleeTP, 1), AvgRoundsSet2, 2) + VLOOKUP(CEILING(MAX(M743-12, 0)/Set2MeleeTP, 1), AvgRoundsSet2, 2) + VLOOKUP(CEILING(MAX(M743-13, 0)/Set2MeleeTP, 1), AvgRoundsSet2, 2) + VLOOKUP(CEILING(MAX(M743-14, 0)/Set2MeleeTP, 1), AvgRoundsSet2, 2) + VLOOKUP(CEILING(MAX(M743-15, 0)/Set2MeleeTP, 1), AvgRoundsSet2, 2) + VLOOKUP(CEILING(MAX(M743-16, 0)/Set2MeleeTP, 1), AvgRoundsSet2, 2) + VLOOKUP(CEILING(MAX(M743-17, 0)/Set2MeleeTP, 1), AvgRoundsSet2, 2) + VLOOKUP(CEILING(MAX(M743-18, 0)/Set2MeleeTP, 1), AvgRoundsSet2, 2) + VLOOKUP(CEILING(MAX(M743-19, 0)/Set2MeleeTP, 1), AvgRoundsSet2, 2) + VLOOKUP(CEILING(MAX(M743-20, 0)/Set2MeleeTP, 1), AvgRoundsSet2, 2)</f>
        <v>23.639647217884519</v>
      </c>
      <c r="R743" s="94">
        <f t="shared" ref="R743:R806" ca="1" si="221">(P743+Q743)/20</f>
        <v>2.3639647217884519</v>
      </c>
      <c r="S743" s="94">
        <f t="shared" ref="S743:S806" ca="1" si="222">R743*Set2ConserveTP + O743*(1-Set2ConserveTP)</f>
        <v>2.3639647217884514</v>
      </c>
      <c r="T743" s="4">
        <f t="shared" ref="T743:T806" ca="1" si="223">K743*S743</f>
        <v>0</v>
      </c>
      <c r="U743" s="46">
        <f t="shared" ref="U743:U806" ca="1" si="224">MIN(L743+(S743+Set2OverTP)*AvgHitsPerRound2*Set2MeleeTP + Set2Regain + 10.5*Set2ConserveTP, 3000)</f>
        <v>1394.2101516087316</v>
      </c>
      <c r="V743" s="4">
        <f t="shared" ref="V743:V806" ca="1" si="225">U743*K743</f>
        <v>0</v>
      </c>
      <c r="W743" s="13">
        <f t="shared" ref="W743:W806" ca="1" si="226">G743*$K$543*((1-$L$543)*$L$547 + $L$543*$M$547*$M$543)*Set2WSDmg + H743*$K$546*((1-$L$546)*$L$548 + $L$546*$M$548*$M$544) + I743*$K$544*((1-$L$544)*$L$547 + $L$544*$M$547*$M$544) + E743*$K$545*$L$545*$M$543</f>
        <v>16438.260675257192</v>
      </c>
      <c r="X743" s="4">
        <f t="shared" ref="X743:X806" ca="1" si="227">K743*W743</f>
        <v>0</v>
      </c>
    </row>
    <row r="744" spans="1:24">
      <c r="A744">
        <v>1</v>
      </c>
      <c r="B744">
        <v>2</v>
      </c>
      <c r="C744">
        <f t="shared" si="209"/>
        <v>5</v>
      </c>
      <c r="D744">
        <f t="shared" si="210"/>
        <v>3</v>
      </c>
      <c r="E744">
        <f t="shared" si="211"/>
        <v>1</v>
      </c>
      <c r="F744" s="100">
        <f t="shared" ca="1" si="212"/>
        <v>3.4264999999999997E-2</v>
      </c>
      <c r="G744">
        <v>1</v>
      </c>
      <c r="H744">
        <v>1</v>
      </c>
      <c r="I744">
        <v>6</v>
      </c>
      <c r="J744" s="1">
        <f t="shared" ca="1" si="213"/>
        <v>0</v>
      </c>
      <c r="K744" s="1">
        <f t="shared" ca="1" si="214"/>
        <v>0</v>
      </c>
      <c r="L744" s="13">
        <f t="shared" ca="1" si="215"/>
        <v>208</v>
      </c>
      <c r="M744" s="7">
        <f t="shared" ca="1" si="216"/>
        <v>792</v>
      </c>
      <c r="N744" s="44">
        <f t="shared" ca="1" si="217"/>
        <v>9</v>
      </c>
      <c r="O744" s="94">
        <f t="shared" ca="1" si="218"/>
        <v>2.3639647217884514</v>
      </c>
      <c r="P744" s="94">
        <f t="shared" ca="1" si="219"/>
        <v>23.639647217884519</v>
      </c>
      <c r="Q744" s="94">
        <f t="shared" ca="1" si="220"/>
        <v>23.639647217884519</v>
      </c>
      <c r="R744" s="94">
        <f t="shared" ca="1" si="221"/>
        <v>2.3639647217884519</v>
      </c>
      <c r="S744" s="94">
        <f t="shared" ca="1" si="222"/>
        <v>2.3639647217884514</v>
      </c>
      <c r="T744" s="4">
        <f t="shared" ca="1" si="223"/>
        <v>0</v>
      </c>
      <c r="U744" s="46">
        <f t="shared" ca="1" si="224"/>
        <v>1381.2101516087316</v>
      </c>
      <c r="V744" s="4">
        <f t="shared" ca="1" si="225"/>
        <v>0</v>
      </c>
      <c r="W744" s="13">
        <f t="shared" ca="1" si="226"/>
        <v>15772.59037978531</v>
      </c>
      <c r="X744" s="4">
        <f t="shared" ca="1" si="227"/>
        <v>0</v>
      </c>
    </row>
    <row r="745" spans="1:24">
      <c r="A745">
        <v>1</v>
      </c>
      <c r="B745">
        <v>2</v>
      </c>
      <c r="C745">
        <f t="shared" si="209"/>
        <v>5</v>
      </c>
      <c r="D745">
        <f t="shared" si="210"/>
        <v>3</v>
      </c>
      <c r="E745">
        <f t="shared" si="211"/>
        <v>1</v>
      </c>
      <c r="F745" s="100">
        <f t="shared" ca="1" si="212"/>
        <v>3.4264999999999997E-2</v>
      </c>
      <c r="G745">
        <v>1</v>
      </c>
      <c r="H745">
        <v>1</v>
      </c>
      <c r="I745">
        <v>5</v>
      </c>
      <c r="J745" s="1">
        <f t="shared" ca="1" si="213"/>
        <v>0</v>
      </c>
      <c r="K745" s="1">
        <f t="shared" ca="1" si="214"/>
        <v>0</v>
      </c>
      <c r="L745" s="13">
        <f t="shared" ca="1" si="215"/>
        <v>195</v>
      </c>
      <c r="M745" s="7">
        <f t="shared" ca="1" si="216"/>
        <v>805</v>
      </c>
      <c r="N745" s="44">
        <f t="shared" ca="1" si="217"/>
        <v>10</v>
      </c>
      <c r="O745" s="94">
        <f t="shared" ca="1" si="218"/>
        <v>2.5877599795741038</v>
      </c>
      <c r="P745" s="94">
        <f t="shared" ca="1" si="219"/>
        <v>24.311032991241476</v>
      </c>
      <c r="Q745" s="94">
        <f t="shared" ca="1" si="220"/>
        <v>23.639647217884519</v>
      </c>
      <c r="R745" s="94">
        <f t="shared" ca="1" si="221"/>
        <v>2.3975340104562997</v>
      </c>
      <c r="S745" s="94">
        <f t="shared" ca="1" si="222"/>
        <v>2.5877599795741038</v>
      </c>
      <c r="T745" s="4">
        <f t="shared" ca="1" si="223"/>
        <v>0</v>
      </c>
      <c r="U745" s="46">
        <f t="shared" ca="1" si="224"/>
        <v>1459.8868633777442</v>
      </c>
      <c r="V745" s="4">
        <f t="shared" ca="1" si="225"/>
        <v>0</v>
      </c>
      <c r="W745" s="13">
        <f t="shared" ca="1" si="226"/>
        <v>15106.920084313426</v>
      </c>
      <c r="X745" s="4">
        <f t="shared" ca="1" si="227"/>
        <v>0</v>
      </c>
    </row>
    <row r="746" spans="1:24">
      <c r="A746">
        <v>1</v>
      </c>
      <c r="B746">
        <v>2</v>
      </c>
      <c r="C746">
        <f t="shared" si="209"/>
        <v>5</v>
      </c>
      <c r="D746">
        <f t="shared" si="210"/>
        <v>3</v>
      </c>
      <c r="E746">
        <f t="shared" si="211"/>
        <v>1</v>
      </c>
      <c r="F746" s="100">
        <f t="shared" ca="1" si="212"/>
        <v>3.4264999999999997E-2</v>
      </c>
      <c r="G746">
        <v>1</v>
      </c>
      <c r="H746">
        <v>1</v>
      </c>
      <c r="I746">
        <v>4</v>
      </c>
      <c r="J746" s="1">
        <f t="shared" ca="1" si="213"/>
        <v>0</v>
      </c>
      <c r="K746" s="1">
        <f t="shared" ca="1" si="214"/>
        <v>0</v>
      </c>
      <c r="L746" s="13">
        <f t="shared" ca="1" si="215"/>
        <v>182</v>
      </c>
      <c r="M746" s="7">
        <f t="shared" ca="1" si="216"/>
        <v>818</v>
      </c>
      <c r="N746" s="44">
        <f t="shared" ca="1" si="217"/>
        <v>10</v>
      </c>
      <c r="O746" s="94">
        <f t="shared" ca="1" si="218"/>
        <v>2.5877599795741038</v>
      </c>
      <c r="P746" s="94">
        <f t="shared" ca="1" si="219"/>
        <v>25.877599795741034</v>
      </c>
      <c r="Q746" s="94">
        <f t="shared" ca="1" si="220"/>
        <v>24.982418764598432</v>
      </c>
      <c r="R746" s="94">
        <f t="shared" ca="1" si="221"/>
        <v>2.5430009280169736</v>
      </c>
      <c r="S746" s="94">
        <f t="shared" ca="1" si="222"/>
        <v>2.5877599795741038</v>
      </c>
      <c r="T746" s="4">
        <f t="shared" ca="1" si="223"/>
        <v>0</v>
      </c>
      <c r="U746" s="46">
        <f t="shared" ca="1" si="224"/>
        <v>1446.8868633777442</v>
      </c>
      <c r="V746" s="4">
        <f t="shared" ca="1" si="225"/>
        <v>0</v>
      </c>
      <c r="W746" s="13">
        <f t="shared" ca="1" si="226"/>
        <v>14441.249788841542</v>
      </c>
      <c r="X746" s="4">
        <f t="shared" ca="1" si="227"/>
        <v>0</v>
      </c>
    </row>
    <row r="747" spans="1:24">
      <c r="A747">
        <v>1</v>
      </c>
      <c r="B747">
        <v>2</v>
      </c>
      <c r="C747">
        <f t="shared" si="209"/>
        <v>5</v>
      </c>
      <c r="D747">
        <f t="shared" si="210"/>
        <v>3</v>
      </c>
      <c r="E747">
        <f t="shared" si="211"/>
        <v>1</v>
      </c>
      <c r="F747" s="100">
        <f t="shared" ca="1" si="212"/>
        <v>3.4264999999999997E-2</v>
      </c>
      <c r="G747">
        <v>1</v>
      </c>
      <c r="H747">
        <v>1</v>
      </c>
      <c r="I747">
        <v>3</v>
      </c>
      <c r="J747" s="1">
        <f t="shared" ca="1" si="213"/>
        <v>0.91256620949999989</v>
      </c>
      <c r="K747" s="1">
        <f t="shared" ca="1" si="214"/>
        <v>3.1269081168517496E-2</v>
      </c>
      <c r="L747" s="13">
        <f t="shared" ca="1" si="215"/>
        <v>169</v>
      </c>
      <c r="M747" s="7">
        <f t="shared" ca="1" si="216"/>
        <v>831</v>
      </c>
      <c r="N747" s="44">
        <f t="shared" ca="1" si="217"/>
        <v>10</v>
      </c>
      <c r="O747" s="94">
        <f t="shared" ca="1" si="218"/>
        <v>2.5877599795741038</v>
      </c>
      <c r="P747" s="94">
        <f t="shared" ca="1" si="219"/>
        <v>25.877599795741034</v>
      </c>
      <c r="Q747" s="94">
        <f t="shared" ca="1" si="220"/>
        <v>25.877599795741034</v>
      </c>
      <c r="R747" s="94">
        <f t="shared" ca="1" si="221"/>
        <v>2.5877599795741033</v>
      </c>
      <c r="S747" s="94">
        <f t="shared" ca="1" si="222"/>
        <v>2.5877599795741038</v>
      </c>
      <c r="T747" s="4">
        <f t="shared" ca="1" si="223"/>
        <v>8.0916876845943828E-2</v>
      </c>
      <c r="U747" s="46">
        <f t="shared" ca="1" si="224"/>
        <v>1433.8868633777442</v>
      </c>
      <c r="V747" s="4">
        <f t="shared" ca="1" si="225"/>
        <v>44.83632471742964</v>
      </c>
      <c r="W747" s="13">
        <f t="shared" ca="1" si="226"/>
        <v>13775.57949336966</v>
      </c>
      <c r="X747" s="4">
        <f t="shared" ca="1" si="227"/>
        <v>430.74971332154104</v>
      </c>
    </row>
    <row r="748" spans="1:24">
      <c r="A748">
        <v>1</v>
      </c>
      <c r="B748">
        <v>2</v>
      </c>
      <c r="C748">
        <f t="shared" si="209"/>
        <v>5</v>
      </c>
      <c r="D748">
        <f t="shared" si="210"/>
        <v>3</v>
      </c>
      <c r="E748">
        <f t="shared" si="211"/>
        <v>1</v>
      </c>
      <c r="F748" s="100">
        <f t="shared" ca="1" si="212"/>
        <v>3.4264999999999997E-2</v>
      </c>
      <c r="G748">
        <v>1</v>
      </c>
      <c r="H748">
        <v>1</v>
      </c>
      <c r="I748">
        <v>2</v>
      </c>
      <c r="J748" s="1">
        <f t="shared" ca="1" si="213"/>
        <v>2.7653521500000021E-2</v>
      </c>
      <c r="K748" s="1">
        <f t="shared" ca="1" si="214"/>
        <v>9.4754791419750066E-4</v>
      </c>
      <c r="L748" s="13">
        <f t="shared" ca="1" si="215"/>
        <v>156</v>
      </c>
      <c r="M748" s="7">
        <f t="shared" ca="1" si="216"/>
        <v>844</v>
      </c>
      <c r="N748" s="44">
        <f t="shared" ca="1" si="217"/>
        <v>10</v>
      </c>
      <c r="O748" s="94">
        <f t="shared" ca="1" si="218"/>
        <v>2.5877599795741038</v>
      </c>
      <c r="P748" s="94">
        <f t="shared" ca="1" si="219"/>
        <v>25.877599795741034</v>
      </c>
      <c r="Q748" s="94">
        <f t="shared" ca="1" si="220"/>
        <v>25.877599795741034</v>
      </c>
      <c r="R748" s="94">
        <f t="shared" ca="1" si="221"/>
        <v>2.5877599795741033</v>
      </c>
      <c r="S748" s="94">
        <f t="shared" ca="1" si="222"/>
        <v>2.5877599795741038</v>
      </c>
      <c r="T748" s="4">
        <f t="shared" ca="1" si="223"/>
        <v>2.4520265710892089E-3</v>
      </c>
      <c r="U748" s="46">
        <f t="shared" ca="1" si="224"/>
        <v>1420.8868633777442</v>
      </c>
      <c r="V748" s="4">
        <f t="shared" ca="1" si="225"/>
        <v>1.3463583837042106</v>
      </c>
      <c r="W748" s="13">
        <f t="shared" ca="1" si="226"/>
        <v>13109.909197897776</v>
      </c>
      <c r="X748" s="4">
        <f t="shared" ca="1" si="227"/>
        <v>12.422267115786667</v>
      </c>
    </row>
    <row r="749" spans="1:24">
      <c r="A749">
        <v>1</v>
      </c>
      <c r="B749">
        <v>2</v>
      </c>
      <c r="C749">
        <f t="shared" si="209"/>
        <v>5</v>
      </c>
      <c r="D749">
        <f t="shared" si="210"/>
        <v>3</v>
      </c>
      <c r="E749">
        <f t="shared" si="211"/>
        <v>1</v>
      </c>
      <c r="F749" s="100">
        <f t="shared" ca="1" si="212"/>
        <v>3.4264999999999997E-2</v>
      </c>
      <c r="G749">
        <v>1</v>
      </c>
      <c r="H749">
        <v>1</v>
      </c>
      <c r="I749">
        <v>1</v>
      </c>
      <c r="J749" s="1">
        <f t="shared" ca="1" si="213"/>
        <v>2.7932850000000052E-4</v>
      </c>
      <c r="K749" s="1">
        <f t="shared" ca="1" si="214"/>
        <v>9.5711910525000163E-6</v>
      </c>
      <c r="L749" s="13">
        <f t="shared" ca="1" si="215"/>
        <v>143</v>
      </c>
      <c r="M749" s="7">
        <f t="shared" ca="1" si="216"/>
        <v>857</v>
      </c>
      <c r="N749" s="44">
        <f t="shared" ca="1" si="217"/>
        <v>10</v>
      </c>
      <c r="O749" s="94">
        <f t="shared" ca="1" si="218"/>
        <v>2.5877599795741038</v>
      </c>
      <c r="P749" s="94">
        <f t="shared" ca="1" si="219"/>
        <v>25.877599795741034</v>
      </c>
      <c r="Q749" s="94">
        <f t="shared" ca="1" si="220"/>
        <v>25.877599795741034</v>
      </c>
      <c r="R749" s="94">
        <f t="shared" ca="1" si="221"/>
        <v>2.5877599795741033</v>
      </c>
      <c r="S749" s="94">
        <f t="shared" ca="1" si="222"/>
        <v>2.5877599795741038</v>
      </c>
      <c r="T749" s="4">
        <f t="shared" ca="1" si="223"/>
        <v>2.4767945162517288E-5</v>
      </c>
      <c r="U749" s="46">
        <f t="shared" ca="1" si="224"/>
        <v>1407.8868633777442</v>
      </c>
      <c r="V749" s="4">
        <f t="shared" ca="1" si="225"/>
        <v>1.3475154149693379E-2</v>
      </c>
      <c r="W749" s="13">
        <f t="shared" ca="1" si="226"/>
        <v>12444.238902425894</v>
      </c>
      <c r="X749" s="4">
        <f t="shared" ca="1" si="227"/>
        <v>0.11910618803807134</v>
      </c>
    </row>
    <row r="750" spans="1:24">
      <c r="A750">
        <v>1</v>
      </c>
      <c r="B750">
        <v>2</v>
      </c>
      <c r="C750">
        <f t="shared" si="209"/>
        <v>5</v>
      </c>
      <c r="D750">
        <f t="shared" si="210"/>
        <v>3</v>
      </c>
      <c r="E750">
        <f t="shared" si="211"/>
        <v>1</v>
      </c>
      <c r="F750" s="100">
        <f t="shared" ca="1" si="212"/>
        <v>3.4264999999999997E-2</v>
      </c>
      <c r="G750">
        <v>1</v>
      </c>
      <c r="H750">
        <v>1</v>
      </c>
      <c r="I750">
        <v>0</v>
      </c>
      <c r="J750" s="1">
        <f t="shared" ca="1" si="213"/>
        <v>9.4050000000000258E-7</v>
      </c>
      <c r="K750" s="1">
        <f t="shared" ca="1" si="214"/>
        <v>3.2226232500000083E-8</v>
      </c>
      <c r="L750" s="13">
        <f t="shared" ca="1" si="215"/>
        <v>130</v>
      </c>
      <c r="M750" s="7">
        <f t="shared" ca="1" si="216"/>
        <v>870</v>
      </c>
      <c r="N750" s="44">
        <f t="shared" ca="1" si="217"/>
        <v>10</v>
      </c>
      <c r="O750" s="94">
        <f t="shared" ca="1" si="218"/>
        <v>2.5877599795741038</v>
      </c>
      <c r="P750" s="94">
        <f t="shared" ca="1" si="219"/>
        <v>25.877599795741034</v>
      </c>
      <c r="Q750" s="94">
        <f t="shared" ca="1" si="220"/>
        <v>25.877599795741034</v>
      </c>
      <c r="R750" s="94">
        <f t="shared" ca="1" si="221"/>
        <v>2.5877599795741033</v>
      </c>
      <c r="S750" s="94">
        <f t="shared" ca="1" si="222"/>
        <v>2.5877599795741038</v>
      </c>
      <c r="T750" s="4">
        <f t="shared" ca="1" si="223"/>
        <v>8.3393754755950535E-8</v>
      </c>
      <c r="U750" s="46">
        <f t="shared" ca="1" si="224"/>
        <v>1394.8868633777442</v>
      </c>
      <c r="V750" s="4">
        <f t="shared" ca="1" si="225"/>
        <v>4.4951948370407037E-5</v>
      </c>
      <c r="W750" s="13">
        <f t="shared" ca="1" si="226"/>
        <v>11778.56860695401</v>
      </c>
      <c r="X750" s="4">
        <f t="shared" ca="1" si="227"/>
        <v>3.7957889044490199E-4</v>
      </c>
    </row>
    <row r="751" spans="1:24">
      <c r="A751">
        <v>1</v>
      </c>
      <c r="B751">
        <v>2</v>
      </c>
      <c r="C751">
        <f t="shared" si="209"/>
        <v>5</v>
      </c>
      <c r="D751">
        <f t="shared" si="210"/>
        <v>3</v>
      </c>
      <c r="E751">
        <f t="shared" si="211"/>
        <v>1</v>
      </c>
      <c r="F751" s="100">
        <f t="shared" ca="1" si="212"/>
        <v>3.4264999999999997E-2</v>
      </c>
      <c r="G751">
        <v>1</v>
      </c>
      <c r="H751">
        <v>0</v>
      </c>
      <c r="I751">
        <v>7</v>
      </c>
      <c r="J751" s="1">
        <f t="shared" ca="1" si="213"/>
        <v>0</v>
      </c>
      <c r="K751" s="1">
        <f t="shared" ca="1" si="214"/>
        <v>0</v>
      </c>
      <c r="L751" s="13">
        <f t="shared" ca="1" si="215"/>
        <v>156</v>
      </c>
      <c r="M751" s="7">
        <f t="shared" ca="1" si="216"/>
        <v>844</v>
      </c>
      <c r="N751" s="44">
        <f t="shared" ca="1" si="217"/>
        <v>10</v>
      </c>
      <c r="O751" s="94">
        <f t="shared" ca="1" si="218"/>
        <v>2.5877599795741038</v>
      </c>
      <c r="P751" s="94">
        <f t="shared" ca="1" si="219"/>
        <v>25.877599795741034</v>
      </c>
      <c r="Q751" s="94">
        <f t="shared" ca="1" si="220"/>
        <v>25.877599795741034</v>
      </c>
      <c r="R751" s="94">
        <f t="shared" ca="1" si="221"/>
        <v>2.5877599795741033</v>
      </c>
      <c r="S751" s="94">
        <f t="shared" ca="1" si="222"/>
        <v>2.5877599795741038</v>
      </c>
      <c r="T751" s="4">
        <f t="shared" ca="1" si="223"/>
        <v>0</v>
      </c>
      <c r="U751" s="46">
        <f t="shared" ca="1" si="224"/>
        <v>1420.8868633777442</v>
      </c>
      <c r="V751" s="4">
        <f t="shared" ca="1" si="225"/>
        <v>0</v>
      </c>
      <c r="W751" s="13">
        <f t="shared" ca="1" si="226"/>
        <v>15972.716608816479</v>
      </c>
      <c r="X751" s="4">
        <f t="shared" ca="1" si="227"/>
        <v>0</v>
      </c>
    </row>
    <row r="752" spans="1:24">
      <c r="A752">
        <v>1</v>
      </c>
      <c r="B752">
        <v>2</v>
      </c>
      <c r="C752">
        <f t="shared" si="209"/>
        <v>5</v>
      </c>
      <c r="D752">
        <f t="shared" si="210"/>
        <v>3</v>
      </c>
      <c r="E752">
        <f t="shared" si="211"/>
        <v>1</v>
      </c>
      <c r="F752" s="100">
        <f t="shared" ca="1" si="212"/>
        <v>3.4264999999999997E-2</v>
      </c>
      <c r="G752">
        <v>1</v>
      </c>
      <c r="H752">
        <v>0</v>
      </c>
      <c r="I752">
        <v>6</v>
      </c>
      <c r="J752" s="1">
        <f t="shared" ca="1" si="213"/>
        <v>0</v>
      </c>
      <c r="K752" s="1">
        <f t="shared" ca="1" si="214"/>
        <v>0</v>
      </c>
      <c r="L752" s="13">
        <f t="shared" ca="1" si="215"/>
        <v>143</v>
      </c>
      <c r="M752" s="7">
        <f t="shared" ca="1" si="216"/>
        <v>857</v>
      </c>
      <c r="N752" s="44">
        <f t="shared" ca="1" si="217"/>
        <v>10</v>
      </c>
      <c r="O752" s="94">
        <f t="shared" ca="1" si="218"/>
        <v>2.5877599795741038</v>
      </c>
      <c r="P752" s="94">
        <f t="shared" ca="1" si="219"/>
        <v>25.877599795741034</v>
      </c>
      <c r="Q752" s="94">
        <f t="shared" ca="1" si="220"/>
        <v>25.877599795741034</v>
      </c>
      <c r="R752" s="94">
        <f t="shared" ca="1" si="221"/>
        <v>2.5877599795741033</v>
      </c>
      <c r="S752" s="94">
        <f t="shared" ca="1" si="222"/>
        <v>2.5877599795741038</v>
      </c>
      <c r="T752" s="4">
        <f t="shared" ca="1" si="223"/>
        <v>0</v>
      </c>
      <c r="U752" s="46">
        <f t="shared" ca="1" si="224"/>
        <v>1407.8868633777442</v>
      </c>
      <c r="V752" s="4">
        <f t="shared" ca="1" si="225"/>
        <v>0</v>
      </c>
      <c r="W752" s="13">
        <f t="shared" ca="1" si="226"/>
        <v>15307.046313344596</v>
      </c>
      <c r="X752" s="4">
        <f t="shared" ca="1" si="227"/>
        <v>0</v>
      </c>
    </row>
    <row r="753" spans="1:24">
      <c r="A753">
        <v>1</v>
      </c>
      <c r="B753">
        <v>2</v>
      </c>
      <c r="C753">
        <f t="shared" si="209"/>
        <v>5</v>
      </c>
      <c r="D753">
        <f t="shared" si="210"/>
        <v>3</v>
      </c>
      <c r="E753">
        <f t="shared" si="211"/>
        <v>1</v>
      </c>
      <c r="F753" s="100">
        <f t="shared" ca="1" si="212"/>
        <v>3.4264999999999997E-2</v>
      </c>
      <c r="G753">
        <v>1</v>
      </c>
      <c r="H753">
        <v>0</v>
      </c>
      <c r="I753">
        <v>5</v>
      </c>
      <c r="J753" s="1">
        <f t="shared" ca="1" si="213"/>
        <v>0</v>
      </c>
      <c r="K753" s="1">
        <f t="shared" ca="1" si="214"/>
        <v>0</v>
      </c>
      <c r="L753" s="13">
        <f t="shared" ca="1" si="215"/>
        <v>130</v>
      </c>
      <c r="M753" s="7">
        <f t="shared" ca="1" si="216"/>
        <v>870</v>
      </c>
      <c r="N753" s="44">
        <f t="shared" ca="1" si="217"/>
        <v>10</v>
      </c>
      <c r="O753" s="94">
        <f t="shared" ca="1" si="218"/>
        <v>2.5877599795741038</v>
      </c>
      <c r="P753" s="94">
        <f t="shared" ca="1" si="219"/>
        <v>25.877599795741034</v>
      </c>
      <c r="Q753" s="94">
        <f t="shared" ca="1" si="220"/>
        <v>25.877599795741034</v>
      </c>
      <c r="R753" s="94">
        <f t="shared" ca="1" si="221"/>
        <v>2.5877599795741033</v>
      </c>
      <c r="S753" s="94">
        <f t="shared" ca="1" si="222"/>
        <v>2.5877599795741038</v>
      </c>
      <c r="T753" s="4">
        <f t="shared" ca="1" si="223"/>
        <v>0</v>
      </c>
      <c r="U753" s="46">
        <f t="shared" ca="1" si="224"/>
        <v>1394.8868633777442</v>
      </c>
      <c r="V753" s="4">
        <f t="shared" ca="1" si="225"/>
        <v>0</v>
      </c>
      <c r="W753" s="13">
        <f t="shared" ca="1" si="226"/>
        <v>14641.376017872713</v>
      </c>
      <c r="X753" s="4">
        <f t="shared" ca="1" si="227"/>
        <v>0</v>
      </c>
    </row>
    <row r="754" spans="1:24">
      <c r="A754">
        <v>1</v>
      </c>
      <c r="B754">
        <v>2</v>
      </c>
      <c r="C754">
        <f t="shared" si="209"/>
        <v>5</v>
      </c>
      <c r="D754">
        <f t="shared" si="210"/>
        <v>3</v>
      </c>
      <c r="E754">
        <f t="shared" si="211"/>
        <v>1</v>
      </c>
      <c r="F754" s="100">
        <f t="shared" ca="1" si="212"/>
        <v>3.4264999999999997E-2</v>
      </c>
      <c r="G754">
        <v>1</v>
      </c>
      <c r="H754">
        <v>0</v>
      </c>
      <c r="I754">
        <v>4</v>
      </c>
      <c r="J754" s="1">
        <f t="shared" ca="1" si="213"/>
        <v>0</v>
      </c>
      <c r="K754" s="1">
        <f t="shared" ca="1" si="214"/>
        <v>0</v>
      </c>
      <c r="L754" s="13">
        <f t="shared" ca="1" si="215"/>
        <v>117</v>
      </c>
      <c r="M754" s="7">
        <f t="shared" ca="1" si="216"/>
        <v>883</v>
      </c>
      <c r="N754" s="44">
        <f t="shared" ca="1" si="217"/>
        <v>10</v>
      </c>
      <c r="O754" s="94">
        <f t="shared" ca="1" si="218"/>
        <v>2.5877599795741038</v>
      </c>
      <c r="P754" s="94">
        <f t="shared" ca="1" si="219"/>
        <v>25.877599795741034</v>
      </c>
      <c r="Q754" s="94">
        <f t="shared" ca="1" si="220"/>
        <v>25.877599795741034</v>
      </c>
      <c r="R754" s="94">
        <f t="shared" ca="1" si="221"/>
        <v>2.5877599795741033</v>
      </c>
      <c r="S754" s="94">
        <f t="shared" ca="1" si="222"/>
        <v>2.5877599795741038</v>
      </c>
      <c r="T754" s="4">
        <f t="shared" ca="1" si="223"/>
        <v>0</v>
      </c>
      <c r="U754" s="46">
        <f t="shared" ca="1" si="224"/>
        <v>1381.8868633777442</v>
      </c>
      <c r="V754" s="4">
        <f t="shared" ca="1" si="225"/>
        <v>0</v>
      </c>
      <c r="W754" s="13">
        <f t="shared" ca="1" si="226"/>
        <v>13975.705722400829</v>
      </c>
      <c r="X754" s="4">
        <f t="shared" ca="1" si="227"/>
        <v>0</v>
      </c>
    </row>
    <row r="755" spans="1:24">
      <c r="A755">
        <v>1</v>
      </c>
      <c r="B755">
        <v>2</v>
      </c>
      <c r="C755">
        <f t="shared" si="209"/>
        <v>5</v>
      </c>
      <c r="D755">
        <f t="shared" si="210"/>
        <v>3</v>
      </c>
      <c r="E755">
        <f t="shared" si="211"/>
        <v>1</v>
      </c>
      <c r="F755" s="100">
        <f t="shared" ca="1" si="212"/>
        <v>3.4264999999999997E-2</v>
      </c>
      <c r="G755">
        <v>1</v>
      </c>
      <c r="H755">
        <v>0</v>
      </c>
      <c r="I755">
        <v>3</v>
      </c>
      <c r="J755" s="1">
        <f t="shared" ca="1" si="213"/>
        <v>9.2178405000000081E-3</v>
      </c>
      <c r="K755" s="1">
        <f t="shared" ca="1" si="214"/>
        <v>3.1584930473250024E-4</v>
      </c>
      <c r="L755" s="13">
        <f t="shared" ca="1" si="215"/>
        <v>104</v>
      </c>
      <c r="M755" s="7">
        <f t="shared" ca="1" si="216"/>
        <v>896</v>
      </c>
      <c r="N755" s="44">
        <f t="shared" ca="1" si="217"/>
        <v>11</v>
      </c>
      <c r="O755" s="94">
        <f t="shared" ca="1" si="218"/>
        <v>2.8265749241644089</v>
      </c>
      <c r="P755" s="94">
        <f t="shared" ca="1" si="219"/>
        <v>27.071674518692554</v>
      </c>
      <c r="Q755" s="94">
        <f t="shared" ca="1" si="220"/>
        <v>25.877599795741034</v>
      </c>
      <c r="R755" s="94">
        <f t="shared" ca="1" si="221"/>
        <v>2.6474637157216794</v>
      </c>
      <c r="S755" s="94">
        <f t="shared" ca="1" si="222"/>
        <v>2.8265749241644089</v>
      </c>
      <c r="T755" s="4">
        <f t="shared" ca="1" si="223"/>
        <v>8.9277172457164812E-4</v>
      </c>
      <c r="U755" s="46">
        <f t="shared" ca="1" si="224"/>
        <v>1466.7163216869442</v>
      </c>
      <c r="V755" s="4">
        <f t="shared" ca="1" si="225"/>
        <v>0.46326133044463147</v>
      </c>
      <c r="W755" s="13">
        <f t="shared" ca="1" si="226"/>
        <v>13310.035426928947</v>
      </c>
      <c r="X755" s="4">
        <f t="shared" ca="1" si="227"/>
        <v>4.2039654355604554</v>
      </c>
    </row>
    <row r="756" spans="1:24">
      <c r="A756">
        <v>1</v>
      </c>
      <c r="B756">
        <v>2</v>
      </c>
      <c r="C756">
        <f t="shared" si="209"/>
        <v>5</v>
      </c>
      <c r="D756">
        <f t="shared" si="210"/>
        <v>3</v>
      </c>
      <c r="E756">
        <f t="shared" si="211"/>
        <v>1</v>
      </c>
      <c r="F756" s="100">
        <f t="shared" ca="1" si="212"/>
        <v>3.4264999999999997E-2</v>
      </c>
      <c r="G756">
        <v>1</v>
      </c>
      <c r="H756">
        <v>0</v>
      </c>
      <c r="I756">
        <v>2</v>
      </c>
      <c r="J756" s="1">
        <f t="shared" ca="1" si="213"/>
        <v>2.7932850000000046E-4</v>
      </c>
      <c r="K756" s="1">
        <f t="shared" ca="1" si="214"/>
        <v>9.5711910525000147E-6</v>
      </c>
      <c r="L756" s="13">
        <f t="shared" ca="1" si="215"/>
        <v>91</v>
      </c>
      <c r="M756" s="7">
        <f t="shared" ca="1" si="216"/>
        <v>909</v>
      </c>
      <c r="N756" s="44">
        <f t="shared" ca="1" si="217"/>
        <v>11</v>
      </c>
      <c r="O756" s="94">
        <f t="shared" ca="1" si="218"/>
        <v>2.8265749241644089</v>
      </c>
      <c r="P756" s="94">
        <f t="shared" ca="1" si="219"/>
        <v>28.265749241644084</v>
      </c>
      <c r="Q756" s="94">
        <f t="shared" ca="1" si="220"/>
        <v>27.788119352463475</v>
      </c>
      <c r="R756" s="94">
        <f t="shared" ca="1" si="221"/>
        <v>2.8026934297053776</v>
      </c>
      <c r="S756" s="94">
        <f t="shared" ca="1" si="222"/>
        <v>2.8265749241644089</v>
      </c>
      <c r="T756" s="4">
        <f t="shared" ca="1" si="223"/>
        <v>2.7053688623383298E-5</v>
      </c>
      <c r="U756" s="46">
        <f t="shared" ca="1" si="224"/>
        <v>1453.7163216869442</v>
      </c>
      <c r="V756" s="4">
        <f t="shared" ca="1" si="225"/>
        <v>1.3913796651003313E-2</v>
      </c>
      <c r="W756" s="13">
        <f t="shared" ca="1" si="226"/>
        <v>12644.365131457063</v>
      </c>
      <c r="X756" s="4">
        <f t="shared" ca="1" si="227"/>
        <v>0.12102163441074501</v>
      </c>
    </row>
    <row r="757" spans="1:24">
      <c r="A757">
        <v>1</v>
      </c>
      <c r="B757">
        <v>2</v>
      </c>
      <c r="C757">
        <f t="shared" si="209"/>
        <v>5</v>
      </c>
      <c r="D757">
        <f t="shared" si="210"/>
        <v>3</v>
      </c>
      <c r="E757">
        <f t="shared" si="211"/>
        <v>1</v>
      </c>
      <c r="F757" s="100">
        <f t="shared" ca="1" si="212"/>
        <v>3.4264999999999997E-2</v>
      </c>
      <c r="G757">
        <v>1</v>
      </c>
      <c r="H757">
        <v>0</v>
      </c>
      <c r="I757">
        <v>1</v>
      </c>
      <c r="J757" s="1">
        <f t="shared" ca="1" si="213"/>
        <v>2.8215000000000076E-6</v>
      </c>
      <c r="K757" s="1">
        <f t="shared" ca="1" si="214"/>
        <v>9.6678697500000254E-8</v>
      </c>
      <c r="L757" s="13">
        <f t="shared" ca="1" si="215"/>
        <v>78</v>
      </c>
      <c r="M757" s="7">
        <f t="shared" ca="1" si="216"/>
        <v>922</v>
      </c>
      <c r="N757" s="44">
        <f t="shared" ca="1" si="217"/>
        <v>11</v>
      </c>
      <c r="O757" s="94">
        <f t="shared" ca="1" si="218"/>
        <v>2.8265749241644089</v>
      </c>
      <c r="P757" s="94">
        <f t="shared" ca="1" si="219"/>
        <v>28.265749241644084</v>
      </c>
      <c r="Q757" s="94">
        <f t="shared" ca="1" si="220"/>
        <v>28.265749241644084</v>
      </c>
      <c r="R757" s="94">
        <f t="shared" ca="1" si="221"/>
        <v>2.8265749241644085</v>
      </c>
      <c r="S757" s="94">
        <f t="shared" ca="1" si="222"/>
        <v>2.8265749241644089</v>
      </c>
      <c r="T757" s="4">
        <f t="shared" ca="1" si="223"/>
        <v>2.7326958205437706E-7</v>
      </c>
      <c r="U757" s="46">
        <f t="shared" ca="1" si="224"/>
        <v>1440.7163216869442</v>
      </c>
      <c r="V757" s="4">
        <f t="shared" ca="1" si="225"/>
        <v>1.3928657744768512E-4</v>
      </c>
      <c r="W757" s="13">
        <f t="shared" ca="1" si="226"/>
        <v>11978.694835985181</v>
      </c>
      <c r="X757" s="4">
        <f t="shared" ca="1" si="227"/>
        <v>1.1580846144930265E-3</v>
      </c>
    </row>
    <row r="758" spans="1:24">
      <c r="A758">
        <v>1</v>
      </c>
      <c r="B758">
        <v>2</v>
      </c>
      <c r="C758">
        <f t="shared" si="209"/>
        <v>5</v>
      </c>
      <c r="D758">
        <f t="shared" si="210"/>
        <v>3</v>
      </c>
      <c r="E758">
        <f t="shared" si="211"/>
        <v>1</v>
      </c>
      <c r="F758" s="100">
        <f t="shared" ca="1" si="212"/>
        <v>3.4264999999999997E-2</v>
      </c>
      <c r="G758">
        <v>1</v>
      </c>
      <c r="H758">
        <v>0</v>
      </c>
      <c r="I758">
        <v>0</v>
      </c>
      <c r="J758" s="1">
        <f t="shared" ca="1" si="213"/>
        <v>9.5000000000000338E-9</v>
      </c>
      <c r="K758" s="1">
        <f t="shared" ca="1" si="214"/>
        <v>3.2551750000000115E-10</v>
      </c>
      <c r="L758" s="13">
        <f t="shared" ca="1" si="215"/>
        <v>65</v>
      </c>
      <c r="M758" s="7">
        <f t="shared" ca="1" si="216"/>
        <v>935</v>
      </c>
      <c r="N758" s="44">
        <f t="shared" ca="1" si="217"/>
        <v>11</v>
      </c>
      <c r="O758" s="94">
        <f t="shared" ca="1" si="218"/>
        <v>2.8265749241644089</v>
      </c>
      <c r="P758" s="94">
        <f t="shared" ca="1" si="219"/>
        <v>28.265749241644084</v>
      </c>
      <c r="Q758" s="94">
        <f t="shared" ca="1" si="220"/>
        <v>28.265749241644084</v>
      </c>
      <c r="R758" s="94">
        <f t="shared" ca="1" si="221"/>
        <v>2.8265749241644085</v>
      </c>
      <c r="S758" s="94">
        <f t="shared" ca="1" si="222"/>
        <v>2.8265749241644089</v>
      </c>
      <c r="T758" s="4">
        <f t="shared" ca="1" si="223"/>
        <v>9.2009960287669122E-10</v>
      </c>
      <c r="U758" s="46">
        <f t="shared" ca="1" si="224"/>
        <v>1427.7163216869442</v>
      </c>
      <c r="V758" s="4">
        <f t="shared" ca="1" si="225"/>
        <v>4.6474664774473147E-7</v>
      </c>
      <c r="W758" s="13">
        <f t="shared" ca="1" si="226"/>
        <v>11313.024540513297</v>
      </c>
      <c r="X758" s="4">
        <f t="shared" ca="1" si="227"/>
        <v>3.6825874658665501E-6</v>
      </c>
    </row>
    <row r="759" spans="1:24">
      <c r="A759">
        <v>1</v>
      </c>
      <c r="B759">
        <v>2</v>
      </c>
      <c r="C759">
        <f t="shared" si="209"/>
        <v>5</v>
      </c>
      <c r="D759">
        <f t="shared" si="210"/>
        <v>3</v>
      </c>
      <c r="E759">
        <f t="shared" si="211"/>
        <v>1</v>
      </c>
      <c r="F759" s="100">
        <f t="shared" ca="1" si="212"/>
        <v>3.4264999999999997E-2</v>
      </c>
      <c r="G759">
        <v>0</v>
      </c>
      <c r="H759">
        <v>1</v>
      </c>
      <c r="I759">
        <v>7</v>
      </c>
      <c r="J759" s="1">
        <f t="shared" ca="1" si="213"/>
        <v>0</v>
      </c>
      <c r="K759" s="1">
        <f t="shared" ca="1" si="214"/>
        <v>0</v>
      </c>
      <c r="L759" s="13">
        <f t="shared" ca="1" si="215"/>
        <v>156</v>
      </c>
      <c r="M759" s="7">
        <f t="shared" ca="1" si="216"/>
        <v>844</v>
      </c>
      <c r="N759" s="44">
        <f t="shared" ca="1" si="217"/>
        <v>10</v>
      </c>
      <c r="O759" s="94">
        <f t="shared" ca="1" si="218"/>
        <v>2.5877599795741038</v>
      </c>
      <c r="P759" s="94">
        <f t="shared" ca="1" si="219"/>
        <v>25.877599795741034</v>
      </c>
      <c r="Q759" s="94">
        <f t="shared" ca="1" si="220"/>
        <v>25.877599795741034</v>
      </c>
      <c r="R759" s="94">
        <f t="shared" ca="1" si="221"/>
        <v>2.5877599795741033</v>
      </c>
      <c r="S759" s="94">
        <f t="shared" ca="1" si="222"/>
        <v>2.5877599795741038</v>
      </c>
      <c r="T759" s="4">
        <f t="shared" ca="1" si="223"/>
        <v>0</v>
      </c>
      <c r="U759" s="46">
        <f t="shared" ca="1" si="224"/>
        <v>1420.8868633777442</v>
      </c>
      <c r="V759" s="4">
        <f t="shared" ca="1" si="225"/>
        <v>0</v>
      </c>
      <c r="W759" s="13">
        <f t="shared" ca="1" si="226"/>
        <v>5125.2361347438955</v>
      </c>
      <c r="X759" s="4">
        <f t="shared" ca="1" si="227"/>
        <v>0</v>
      </c>
    </row>
    <row r="760" spans="1:24">
      <c r="A760">
        <v>1</v>
      </c>
      <c r="B760">
        <v>2</v>
      </c>
      <c r="C760">
        <f t="shared" si="209"/>
        <v>5</v>
      </c>
      <c r="D760">
        <f t="shared" si="210"/>
        <v>3</v>
      </c>
      <c r="E760">
        <f t="shared" si="211"/>
        <v>1</v>
      </c>
      <c r="F760" s="100">
        <f t="shared" ca="1" si="212"/>
        <v>3.4264999999999997E-2</v>
      </c>
      <c r="G760">
        <v>0</v>
      </c>
      <c r="H760">
        <v>1</v>
      </c>
      <c r="I760">
        <v>6</v>
      </c>
      <c r="J760" s="1">
        <f t="shared" ca="1" si="213"/>
        <v>0</v>
      </c>
      <c r="K760" s="1">
        <f t="shared" ca="1" si="214"/>
        <v>0</v>
      </c>
      <c r="L760" s="13">
        <f t="shared" ca="1" si="215"/>
        <v>143</v>
      </c>
      <c r="M760" s="7">
        <f t="shared" ca="1" si="216"/>
        <v>857</v>
      </c>
      <c r="N760" s="44">
        <f t="shared" ca="1" si="217"/>
        <v>10</v>
      </c>
      <c r="O760" s="94">
        <f t="shared" ca="1" si="218"/>
        <v>2.5877599795741038</v>
      </c>
      <c r="P760" s="94">
        <f t="shared" ca="1" si="219"/>
        <v>25.877599795741034</v>
      </c>
      <c r="Q760" s="94">
        <f t="shared" ca="1" si="220"/>
        <v>25.877599795741034</v>
      </c>
      <c r="R760" s="94">
        <f t="shared" ca="1" si="221"/>
        <v>2.5877599795741033</v>
      </c>
      <c r="S760" s="94">
        <f t="shared" ca="1" si="222"/>
        <v>2.5877599795741038</v>
      </c>
      <c r="T760" s="4">
        <f t="shared" ca="1" si="223"/>
        <v>0</v>
      </c>
      <c r="U760" s="46">
        <f t="shared" ca="1" si="224"/>
        <v>1407.8868633777442</v>
      </c>
      <c r="V760" s="4">
        <f t="shared" ca="1" si="225"/>
        <v>0</v>
      </c>
      <c r="W760" s="13">
        <f t="shared" ca="1" si="226"/>
        <v>4459.5658392720125</v>
      </c>
      <c r="X760" s="4">
        <f t="shared" ca="1" si="227"/>
        <v>0</v>
      </c>
    </row>
    <row r="761" spans="1:24">
      <c r="A761">
        <v>1</v>
      </c>
      <c r="B761">
        <v>2</v>
      </c>
      <c r="C761">
        <f t="shared" si="209"/>
        <v>5</v>
      </c>
      <c r="D761">
        <f t="shared" si="210"/>
        <v>3</v>
      </c>
      <c r="E761">
        <f t="shared" si="211"/>
        <v>1</v>
      </c>
      <c r="F761" s="100">
        <f t="shared" ca="1" si="212"/>
        <v>3.4264999999999997E-2</v>
      </c>
      <c r="G761">
        <v>0</v>
      </c>
      <c r="H761">
        <v>1</v>
      </c>
      <c r="I761">
        <v>5</v>
      </c>
      <c r="J761" s="1">
        <f t="shared" ca="1" si="213"/>
        <v>0</v>
      </c>
      <c r="K761" s="1">
        <f t="shared" ca="1" si="214"/>
        <v>0</v>
      </c>
      <c r="L761" s="13">
        <f t="shared" ca="1" si="215"/>
        <v>130</v>
      </c>
      <c r="M761" s="7">
        <f t="shared" ca="1" si="216"/>
        <v>870</v>
      </c>
      <c r="N761" s="44">
        <f t="shared" ca="1" si="217"/>
        <v>10</v>
      </c>
      <c r="O761" s="94">
        <f t="shared" ca="1" si="218"/>
        <v>2.5877599795741038</v>
      </c>
      <c r="P761" s="94">
        <f t="shared" ca="1" si="219"/>
        <v>25.877599795741034</v>
      </c>
      <c r="Q761" s="94">
        <f t="shared" ca="1" si="220"/>
        <v>25.877599795741034</v>
      </c>
      <c r="R761" s="94">
        <f t="shared" ca="1" si="221"/>
        <v>2.5877599795741033</v>
      </c>
      <c r="S761" s="94">
        <f t="shared" ca="1" si="222"/>
        <v>2.5877599795741038</v>
      </c>
      <c r="T761" s="4">
        <f t="shared" ca="1" si="223"/>
        <v>0</v>
      </c>
      <c r="U761" s="46">
        <f t="shared" ca="1" si="224"/>
        <v>1394.8868633777442</v>
      </c>
      <c r="V761" s="4">
        <f t="shared" ca="1" si="225"/>
        <v>0</v>
      </c>
      <c r="W761" s="13">
        <f t="shared" ca="1" si="226"/>
        <v>3793.895543800129</v>
      </c>
      <c r="X761" s="4">
        <f t="shared" ca="1" si="227"/>
        <v>0</v>
      </c>
    </row>
    <row r="762" spans="1:24">
      <c r="A762">
        <v>1</v>
      </c>
      <c r="B762">
        <v>2</v>
      </c>
      <c r="C762">
        <f t="shared" si="209"/>
        <v>5</v>
      </c>
      <c r="D762">
        <f t="shared" si="210"/>
        <v>3</v>
      </c>
      <c r="E762">
        <f t="shared" si="211"/>
        <v>1</v>
      </c>
      <c r="F762" s="100">
        <f t="shared" ca="1" si="212"/>
        <v>3.4264999999999997E-2</v>
      </c>
      <c r="G762">
        <v>0</v>
      </c>
      <c r="H762">
        <v>1</v>
      </c>
      <c r="I762">
        <v>4</v>
      </c>
      <c r="J762" s="1">
        <f t="shared" ca="1" si="213"/>
        <v>0</v>
      </c>
      <c r="K762" s="1">
        <f t="shared" ca="1" si="214"/>
        <v>0</v>
      </c>
      <c r="L762" s="13">
        <f t="shared" ca="1" si="215"/>
        <v>117</v>
      </c>
      <c r="M762" s="7">
        <f t="shared" ca="1" si="216"/>
        <v>883</v>
      </c>
      <c r="N762" s="44">
        <f t="shared" ca="1" si="217"/>
        <v>10</v>
      </c>
      <c r="O762" s="94">
        <f t="shared" ca="1" si="218"/>
        <v>2.5877599795741038</v>
      </c>
      <c r="P762" s="94">
        <f t="shared" ca="1" si="219"/>
        <v>25.877599795741034</v>
      </c>
      <c r="Q762" s="94">
        <f t="shared" ca="1" si="220"/>
        <v>25.877599795741034</v>
      </c>
      <c r="R762" s="94">
        <f t="shared" ca="1" si="221"/>
        <v>2.5877599795741033</v>
      </c>
      <c r="S762" s="94">
        <f t="shared" ca="1" si="222"/>
        <v>2.5877599795741038</v>
      </c>
      <c r="T762" s="4">
        <f t="shared" ca="1" si="223"/>
        <v>0</v>
      </c>
      <c r="U762" s="46">
        <f t="shared" ca="1" si="224"/>
        <v>1381.8868633777442</v>
      </c>
      <c r="V762" s="4">
        <f t="shared" ca="1" si="225"/>
        <v>0</v>
      </c>
      <c r="W762" s="13">
        <f t="shared" ca="1" si="226"/>
        <v>3128.2252483282455</v>
      </c>
      <c r="X762" s="4">
        <f t="shared" ca="1" si="227"/>
        <v>0</v>
      </c>
    </row>
    <row r="763" spans="1:24">
      <c r="A763">
        <v>1</v>
      </c>
      <c r="B763">
        <v>2</v>
      </c>
      <c r="C763">
        <f t="shared" si="209"/>
        <v>5</v>
      </c>
      <c r="D763">
        <f t="shared" si="210"/>
        <v>3</v>
      </c>
      <c r="E763">
        <f t="shared" si="211"/>
        <v>1</v>
      </c>
      <c r="F763" s="100">
        <f t="shared" ca="1" si="212"/>
        <v>3.4264999999999997E-2</v>
      </c>
      <c r="G763">
        <v>0</v>
      </c>
      <c r="H763">
        <v>1</v>
      </c>
      <c r="I763">
        <v>3</v>
      </c>
      <c r="J763" s="1">
        <f t="shared" ca="1" si="213"/>
        <v>4.8029800499999997E-2</v>
      </c>
      <c r="K763" s="1">
        <f t="shared" ca="1" si="214"/>
        <v>1.6457411141324997E-3</v>
      </c>
      <c r="L763" s="13">
        <f t="shared" ca="1" si="215"/>
        <v>104</v>
      </c>
      <c r="M763" s="7">
        <f t="shared" ca="1" si="216"/>
        <v>896</v>
      </c>
      <c r="N763" s="44">
        <f t="shared" ca="1" si="217"/>
        <v>11</v>
      </c>
      <c r="O763" s="94">
        <f t="shared" ca="1" si="218"/>
        <v>2.8265749241644089</v>
      </c>
      <c r="P763" s="94">
        <f t="shared" ca="1" si="219"/>
        <v>27.071674518692554</v>
      </c>
      <c r="Q763" s="94">
        <f t="shared" ca="1" si="220"/>
        <v>25.877599795741034</v>
      </c>
      <c r="R763" s="94">
        <f t="shared" ca="1" si="221"/>
        <v>2.6474637157216794</v>
      </c>
      <c r="S763" s="94">
        <f t="shared" ca="1" si="222"/>
        <v>2.8265749241644089</v>
      </c>
      <c r="T763" s="4">
        <f t="shared" ca="1" si="223"/>
        <v>4.6518105648733201E-3</v>
      </c>
      <c r="U763" s="46">
        <f t="shared" ca="1" si="224"/>
        <v>1466.7163216869442</v>
      </c>
      <c r="V763" s="4">
        <f t="shared" ca="1" si="225"/>
        <v>2.4138353533693935</v>
      </c>
      <c r="W763" s="13">
        <f t="shared" ca="1" si="226"/>
        <v>2462.5549528563624</v>
      </c>
      <c r="X763" s="4">
        <f t="shared" ca="1" si="227"/>
        <v>4.0527279317263352</v>
      </c>
    </row>
    <row r="764" spans="1:24">
      <c r="A764">
        <v>1</v>
      </c>
      <c r="B764">
        <v>2</v>
      </c>
      <c r="C764">
        <f t="shared" si="209"/>
        <v>5</v>
      </c>
      <c r="D764">
        <f t="shared" si="210"/>
        <v>3</v>
      </c>
      <c r="E764">
        <f t="shared" si="211"/>
        <v>1</v>
      </c>
      <c r="F764" s="100">
        <f t="shared" ca="1" si="212"/>
        <v>3.4264999999999997E-2</v>
      </c>
      <c r="G764">
        <v>0</v>
      </c>
      <c r="H764">
        <v>1</v>
      </c>
      <c r="I764">
        <v>2</v>
      </c>
      <c r="J764" s="1">
        <f t="shared" ca="1" si="213"/>
        <v>1.4554485000000013E-3</v>
      </c>
      <c r="K764" s="1">
        <f t="shared" ca="1" si="214"/>
        <v>4.9870942852500042E-5</v>
      </c>
      <c r="L764" s="13">
        <f t="shared" ca="1" si="215"/>
        <v>91</v>
      </c>
      <c r="M764" s="7">
        <f t="shared" ca="1" si="216"/>
        <v>909</v>
      </c>
      <c r="N764" s="44">
        <f t="shared" ca="1" si="217"/>
        <v>11</v>
      </c>
      <c r="O764" s="94">
        <f t="shared" ca="1" si="218"/>
        <v>2.8265749241644089</v>
      </c>
      <c r="P764" s="94">
        <f t="shared" ca="1" si="219"/>
        <v>28.265749241644084</v>
      </c>
      <c r="Q764" s="94">
        <f t="shared" ca="1" si="220"/>
        <v>27.788119352463475</v>
      </c>
      <c r="R764" s="94">
        <f t="shared" ca="1" si="221"/>
        <v>2.8026934297053776</v>
      </c>
      <c r="S764" s="94">
        <f t="shared" ca="1" si="222"/>
        <v>2.8265749241644089</v>
      </c>
      <c r="T764" s="4">
        <f t="shared" ca="1" si="223"/>
        <v>1.4096395651131289E-4</v>
      </c>
      <c r="U764" s="46">
        <f t="shared" ca="1" si="224"/>
        <v>1453.7163216869442</v>
      </c>
      <c r="V764" s="4">
        <f t="shared" ca="1" si="225"/>
        <v>7.2498203602596165E-2</v>
      </c>
      <c r="W764" s="13">
        <f t="shared" ca="1" si="226"/>
        <v>1796.8846573844794</v>
      </c>
      <c r="X764" s="4">
        <f t="shared" ca="1" si="227"/>
        <v>8.9612332060955494E-2</v>
      </c>
    </row>
    <row r="765" spans="1:24">
      <c r="A765">
        <v>1</v>
      </c>
      <c r="B765">
        <v>2</v>
      </c>
      <c r="C765">
        <f t="shared" si="209"/>
        <v>5</v>
      </c>
      <c r="D765">
        <f t="shared" si="210"/>
        <v>3</v>
      </c>
      <c r="E765">
        <f t="shared" si="211"/>
        <v>1</v>
      </c>
      <c r="F765" s="100">
        <f t="shared" ca="1" si="212"/>
        <v>3.4264999999999997E-2</v>
      </c>
      <c r="G765">
        <v>0</v>
      </c>
      <c r="H765">
        <v>1</v>
      </c>
      <c r="I765">
        <v>1</v>
      </c>
      <c r="J765" s="1">
        <f t="shared" ca="1" si="213"/>
        <v>1.4701500000000029E-5</v>
      </c>
      <c r="K765" s="1">
        <f t="shared" ca="1" si="214"/>
        <v>5.0374689750000092E-7</v>
      </c>
      <c r="L765" s="13">
        <f t="shared" ca="1" si="215"/>
        <v>78</v>
      </c>
      <c r="M765" s="7">
        <f t="shared" ca="1" si="216"/>
        <v>922</v>
      </c>
      <c r="N765" s="44">
        <f t="shared" ca="1" si="217"/>
        <v>11</v>
      </c>
      <c r="O765" s="94">
        <f t="shared" ca="1" si="218"/>
        <v>2.8265749241644089</v>
      </c>
      <c r="P765" s="94">
        <f t="shared" ca="1" si="219"/>
        <v>28.265749241644084</v>
      </c>
      <c r="Q765" s="94">
        <f t="shared" ca="1" si="220"/>
        <v>28.265749241644084</v>
      </c>
      <c r="R765" s="94">
        <f t="shared" ca="1" si="221"/>
        <v>2.8265749241644085</v>
      </c>
      <c r="S765" s="94">
        <f t="shared" ca="1" si="222"/>
        <v>2.8265749241644089</v>
      </c>
      <c r="T765" s="4">
        <f t="shared" ca="1" si="223"/>
        <v>1.4238783485991213E-6</v>
      </c>
      <c r="U765" s="46">
        <f t="shared" ca="1" si="224"/>
        <v>1440.7163216869442</v>
      </c>
      <c r="V765" s="4">
        <f t="shared" ca="1" si="225"/>
        <v>7.2575637722741145E-4</v>
      </c>
      <c r="W765" s="13">
        <f t="shared" ca="1" si="226"/>
        <v>1131.2143619125961</v>
      </c>
      <c r="X765" s="4">
        <f t="shared" ca="1" si="227"/>
        <v>5.6984572522091352E-4</v>
      </c>
    </row>
    <row r="766" spans="1:24">
      <c r="A766">
        <v>1</v>
      </c>
      <c r="B766">
        <v>2</v>
      </c>
      <c r="C766">
        <f t="shared" si="209"/>
        <v>5</v>
      </c>
      <c r="D766">
        <f t="shared" si="210"/>
        <v>3</v>
      </c>
      <c r="E766">
        <f t="shared" si="211"/>
        <v>1</v>
      </c>
      <c r="F766" s="100">
        <f t="shared" ca="1" si="212"/>
        <v>3.4264999999999997E-2</v>
      </c>
      <c r="G766">
        <v>0</v>
      </c>
      <c r="H766">
        <v>1</v>
      </c>
      <c r="I766">
        <v>0</v>
      </c>
      <c r="J766" s="1">
        <f t="shared" ca="1" si="213"/>
        <v>4.9500000000000139E-8</v>
      </c>
      <c r="K766" s="1">
        <f t="shared" ca="1" si="214"/>
        <v>1.6961175000000045E-9</v>
      </c>
      <c r="L766" s="13">
        <f t="shared" ca="1" si="215"/>
        <v>65</v>
      </c>
      <c r="M766" s="7">
        <f t="shared" ca="1" si="216"/>
        <v>935</v>
      </c>
      <c r="N766" s="44">
        <f t="shared" ca="1" si="217"/>
        <v>11</v>
      </c>
      <c r="O766" s="94">
        <f t="shared" ca="1" si="218"/>
        <v>2.8265749241644089</v>
      </c>
      <c r="P766" s="94">
        <f t="shared" ca="1" si="219"/>
        <v>28.265749241644084</v>
      </c>
      <c r="Q766" s="94">
        <f t="shared" ca="1" si="220"/>
        <v>28.265749241644084</v>
      </c>
      <c r="R766" s="94">
        <f t="shared" ca="1" si="221"/>
        <v>2.8265749241644085</v>
      </c>
      <c r="S766" s="94">
        <f t="shared" ca="1" si="222"/>
        <v>2.8265749241644089</v>
      </c>
      <c r="T766" s="4">
        <f t="shared" ca="1" si="223"/>
        <v>4.7942031939364394E-9</v>
      </c>
      <c r="U766" s="46">
        <f t="shared" ca="1" si="224"/>
        <v>1427.7163216869442</v>
      </c>
      <c r="V766" s="4">
        <f t="shared" ca="1" si="225"/>
        <v>2.421574638248862E-6</v>
      </c>
      <c r="W766" s="13">
        <f t="shared" ca="1" si="226"/>
        <v>465.54406644071304</v>
      </c>
      <c r="X766" s="4">
        <f t="shared" ca="1" si="227"/>
        <v>7.8961743811125817E-7</v>
      </c>
    </row>
    <row r="767" spans="1:24">
      <c r="A767">
        <v>1</v>
      </c>
      <c r="B767">
        <v>2</v>
      </c>
      <c r="C767">
        <f t="shared" si="209"/>
        <v>5</v>
      </c>
      <c r="D767">
        <f t="shared" si="210"/>
        <v>3</v>
      </c>
      <c r="E767">
        <f t="shared" si="211"/>
        <v>1</v>
      </c>
      <c r="F767" s="100">
        <f t="shared" ca="1" si="212"/>
        <v>3.4264999999999997E-2</v>
      </c>
      <c r="G767">
        <v>0</v>
      </c>
      <c r="H767">
        <v>0</v>
      </c>
      <c r="I767">
        <v>7</v>
      </c>
      <c r="J767" s="1">
        <f t="shared" ca="1" si="213"/>
        <v>0</v>
      </c>
      <c r="K767" s="1">
        <f t="shared" ca="1" si="214"/>
        <v>0</v>
      </c>
      <c r="L767" s="13">
        <f t="shared" ca="1" si="215"/>
        <v>91</v>
      </c>
      <c r="M767" s="7">
        <f t="shared" ca="1" si="216"/>
        <v>909</v>
      </c>
      <c r="N767" s="44">
        <f t="shared" ca="1" si="217"/>
        <v>11</v>
      </c>
      <c r="O767" s="94">
        <f t="shared" ca="1" si="218"/>
        <v>2.8265749241644089</v>
      </c>
      <c r="P767" s="94">
        <f t="shared" ca="1" si="219"/>
        <v>28.265749241644084</v>
      </c>
      <c r="Q767" s="94">
        <f t="shared" ca="1" si="220"/>
        <v>27.788119352463475</v>
      </c>
      <c r="R767" s="94">
        <f t="shared" ca="1" si="221"/>
        <v>2.8026934297053776</v>
      </c>
      <c r="S767" s="94">
        <f t="shared" ca="1" si="222"/>
        <v>2.8265749241644089</v>
      </c>
      <c r="T767" s="4">
        <f t="shared" ca="1" si="223"/>
        <v>0</v>
      </c>
      <c r="U767" s="46">
        <f t="shared" ca="1" si="224"/>
        <v>1453.7163216869442</v>
      </c>
      <c r="V767" s="4">
        <f t="shared" ca="1" si="225"/>
        <v>0</v>
      </c>
      <c r="W767" s="13">
        <f t="shared" ca="1" si="226"/>
        <v>4659.6920683031822</v>
      </c>
      <c r="X767" s="4">
        <f t="shared" ca="1" si="227"/>
        <v>0</v>
      </c>
    </row>
    <row r="768" spans="1:24">
      <c r="A768">
        <v>1</v>
      </c>
      <c r="B768">
        <v>2</v>
      </c>
      <c r="C768">
        <f t="shared" si="209"/>
        <v>5</v>
      </c>
      <c r="D768">
        <f t="shared" si="210"/>
        <v>3</v>
      </c>
      <c r="E768">
        <f t="shared" si="211"/>
        <v>1</v>
      </c>
      <c r="F768" s="100">
        <f t="shared" ca="1" si="212"/>
        <v>3.4264999999999997E-2</v>
      </c>
      <c r="G768">
        <v>0</v>
      </c>
      <c r="H768">
        <v>0</v>
      </c>
      <c r="I768">
        <v>6</v>
      </c>
      <c r="J768" s="1">
        <f t="shared" ca="1" si="213"/>
        <v>0</v>
      </c>
      <c r="K768" s="1">
        <f t="shared" ca="1" si="214"/>
        <v>0</v>
      </c>
      <c r="L768" s="13">
        <f t="shared" ca="1" si="215"/>
        <v>78</v>
      </c>
      <c r="M768" s="7">
        <f t="shared" ca="1" si="216"/>
        <v>922</v>
      </c>
      <c r="N768" s="44">
        <f t="shared" ca="1" si="217"/>
        <v>11</v>
      </c>
      <c r="O768" s="94">
        <f t="shared" ca="1" si="218"/>
        <v>2.8265749241644089</v>
      </c>
      <c r="P768" s="94">
        <f t="shared" ca="1" si="219"/>
        <v>28.265749241644084</v>
      </c>
      <c r="Q768" s="94">
        <f t="shared" ca="1" si="220"/>
        <v>28.265749241644084</v>
      </c>
      <c r="R768" s="94">
        <f t="shared" ca="1" si="221"/>
        <v>2.8265749241644085</v>
      </c>
      <c r="S768" s="94">
        <f t="shared" ca="1" si="222"/>
        <v>2.8265749241644089</v>
      </c>
      <c r="T768" s="4">
        <f t="shared" ca="1" si="223"/>
        <v>0</v>
      </c>
      <c r="U768" s="46">
        <f t="shared" ca="1" si="224"/>
        <v>1440.7163216869442</v>
      </c>
      <c r="V768" s="4">
        <f t="shared" ca="1" si="225"/>
        <v>0</v>
      </c>
      <c r="W768" s="13">
        <f t="shared" ca="1" si="226"/>
        <v>3994.0217728312991</v>
      </c>
      <c r="X768" s="4">
        <f t="shared" ca="1" si="227"/>
        <v>0</v>
      </c>
    </row>
    <row r="769" spans="1:24">
      <c r="A769">
        <v>1</v>
      </c>
      <c r="B769">
        <v>2</v>
      </c>
      <c r="C769">
        <f t="shared" si="209"/>
        <v>5</v>
      </c>
      <c r="D769">
        <f t="shared" si="210"/>
        <v>3</v>
      </c>
      <c r="E769">
        <f t="shared" si="211"/>
        <v>1</v>
      </c>
      <c r="F769" s="100">
        <f t="shared" ca="1" si="212"/>
        <v>3.4264999999999997E-2</v>
      </c>
      <c r="G769">
        <v>0</v>
      </c>
      <c r="H769">
        <v>0</v>
      </c>
      <c r="I769">
        <v>5</v>
      </c>
      <c r="J769" s="1">
        <f t="shared" ca="1" si="213"/>
        <v>0</v>
      </c>
      <c r="K769" s="1">
        <f t="shared" ca="1" si="214"/>
        <v>0</v>
      </c>
      <c r="L769" s="13">
        <f t="shared" ca="1" si="215"/>
        <v>65</v>
      </c>
      <c r="M769" s="7">
        <f t="shared" ca="1" si="216"/>
        <v>935</v>
      </c>
      <c r="N769" s="44">
        <f t="shared" ca="1" si="217"/>
        <v>11</v>
      </c>
      <c r="O769" s="94">
        <f t="shared" ca="1" si="218"/>
        <v>2.8265749241644089</v>
      </c>
      <c r="P769" s="94">
        <f t="shared" ca="1" si="219"/>
        <v>28.265749241644084</v>
      </c>
      <c r="Q769" s="94">
        <f t="shared" ca="1" si="220"/>
        <v>28.265749241644084</v>
      </c>
      <c r="R769" s="94">
        <f t="shared" ca="1" si="221"/>
        <v>2.8265749241644085</v>
      </c>
      <c r="S769" s="94">
        <f t="shared" ca="1" si="222"/>
        <v>2.8265749241644089</v>
      </c>
      <c r="T769" s="4">
        <f t="shared" ca="1" si="223"/>
        <v>0</v>
      </c>
      <c r="U769" s="46">
        <f t="shared" ca="1" si="224"/>
        <v>1427.7163216869442</v>
      </c>
      <c r="V769" s="4">
        <f t="shared" ca="1" si="225"/>
        <v>0</v>
      </c>
      <c r="W769" s="13">
        <f t="shared" ca="1" si="226"/>
        <v>3328.3514773594161</v>
      </c>
      <c r="X769" s="4">
        <f t="shared" ca="1" si="227"/>
        <v>0</v>
      </c>
    </row>
    <row r="770" spans="1:24">
      <c r="A770">
        <v>1</v>
      </c>
      <c r="B770">
        <v>2</v>
      </c>
      <c r="C770">
        <f t="shared" si="209"/>
        <v>5</v>
      </c>
      <c r="D770">
        <f t="shared" si="210"/>
        <v>3</v>
      </c>
      <c r="E770">
        <f t="shared" si="211"/>
        <v>1</v>
      </c>
      <c r="F770" s="100">
        <f t="shared" ca="1" si="212"/>
        <v>3.4264999999999997E-2</v>
      </c>
      <c r="G770">
        <v>0</v>
      </c>
      <c r="H770">
        <v>0</v>
      </c>
      <c r="I770">
        <v>4</v>
      </c>
      <c r="J770" s="1">
        <f t="shared" ca="1" si="213"/>
        <v>0</v>
      </c>
      <c r="K770" s="1">
        <f t="shared" ca="1" si="214"/>
        <v>0</v>
      </c>
      <c r="L770" s="13">
        <f t="shared" ca="1" si="215"/>
        <v>52</v>
      </c>
      <c r="M770" s="7">
        <f t="shared" ca="1" si="216"/>
        <v>948</v>
      </c>
      <c r="N770" s="44">
        <f t="shared" ca="1" si="217"/>
        <v>11</v>
      </c>
      <c r="O770" s="94">
        <f t="shared" ca="1" si="218"/>
        <v>2.8265749241644089</v>
      </c>
      <c r="P770" s="94">
        <f t="shared" ca="1" si="219"/>
        <v>28.265749241644084</v>
      </c>
      <c r="Q770" s="94">
        <f t="shared" ca="1" si="220"/>
        <v>28.265749241644084</v>
      </c>
      <c r="R770" s="94">
        <f t="shared" ca="1" si="221"/>
        <v>2.8265749241644085</v>
      </c>
      <c r="S770" s="94">
        <f t="shared" ca="1" si="222"/>
        <v>2.8265749241644089</v>
      </c>
      <c r="T770" s="4">
        <f t="shared" ca="1" si="223"/>
        <v>0</v>
      </c>
      <c r="U770" s="46">
        <f t="shared" ca="1" si="224"/>
        <v>1414.7163216869442</v>
      </c>
      <c r="V770" s="4">
        <f t="shared" ca="1" si="225"/>
        <v>0</v>
      </c>
      <c r="W770" s="13">
        <f t="shared" ca="1" si="226"/>
        <v>2662.6811818875326</v>
      </c>
      <c r="X770" s="4">
        <f t="shared" ca="1" si="227"/>
        <v>0</v>
      </c>
    </row>
    <row r="771" spans="1:24">
      <c r="A771">
        <v>1</v>
      </c>
      <c r="B771">
        <v>2</v>
      </c>
      <c r="C771">
        <f t="shared" si="209"/>
        <v>5</v>
      </c>
      <c r="D771">
        <f t="shared" si="210"/>
        <v>3</v>
      </c>
      <c r="E771">
        <f t="shared" si="211"/>
        <v>1</v>
      </c>
      <c r="F771" s="100">
        <f t="shared" ca="1" si="212"/>
        <v>3.4264999999999997E-2</v>
      </c>
      <c r="G771">
        <v>0</v>
      </c>
      <c r="H771">
        <v>0</v>
      </c>
      <c r="I771">
        <v>3</v>
      </c>
      <c r="J771" s="1">
        <f t="shared" ca="1" si="213"/>
        <v>4.8514950000000037E-4</v>
      </c>
      <c r="K771" s="1">
        <f t="shared" ca="1" si="214"/>
        <v>1.6623647617500012E-5</v>
      </c>
      <c r="L771" s="13">
        <f t="shared" ca="1" si="215"/>
        <v>39</v>
      </c>
      <c r="M771" s="7">
        <f t="shared" ca="1" si="216"/>
        <v>961</v>
      </c>
      <c r="N771" s="44">
        <f t="shared" ca="1" si="217"/>
        <v>11</v>
      </c>
      <c r="O771" s="94">
        <f t="shared" ca="1" si="218"/>
        <v>2.8265749241644089</v>
      </c>
      <c r="P771" s="94">
        <f t="shared" ca="1" si="219"/>
        <v>28.265749241644084</v>
      </c>
      <c r="Q771" s="94">
        <f t="shared" ca="1" si="220"/>
        <v>28.265749241644084</v>
      </c>
      <c r="R771" s="94">
        <f t="shared" ca="1" si="221"/>
        <v>2.8265749241644085</v>
      </c>
      <c r="S771" s="94">
        <f t="shared" ca="1" si="222"/>
        <v>2.8265749241644089</v>
      </c>
      <c r="T771" s="4">
        <f t="shared" ca="1" si="223"/>
        <v>4.6987985503770952E-5</v>
      </c>
      <c r="U771" s="46">
        <f t="shared" ca="1" si="224"/>
        <v>1401.7163216869442</v>
      </c>
      <c r="V771" s="4">
        <f t="shared" ca="1" si="225"/>
        <v>2.3301638191422051E-2</v>
      </c>
      <c r="W771" s="13">
        <f t="shared" ca="1" si="226"/>
        <v>1997.0108864156496</v>
      </c>
      <c r="X771" s="4">
        <f t="shared" ca="1" si="227"/>
        <v>3.3197605264085099E-2</v>
      </c>
    </row>
    <row r="772" spans="1:24">
      <c r="A772">
        <v>1</v>
      </c>
      <c r="B772">
        <v>2</v>
      </c>
      <c r="C772">
        <f t="shared" si="209"/>
        <v>5</v>
      </c>
      <c r="D772">
        <f t="shared" si="210"/>
        <v>3</v>
      </c>
      <c r="E772">
        <f t="shared" si="211"/>
        <v>1</v>
      </c>
      <c r="F772" s="100">
        <f t="shared" ca="1" si="212"/>
        <v>3.4264999999999997E-2</v>
      </c>
      <c r="G772">
        <v>0</v>
      </c>
      <c r="H772">
        <v>0</v>
      </c>
      <c r="I772">
        <v>2</v>
      </c>
      <c r="J772" s="1">
        <f t="shared" ca="1" si="213"/>
        <v>1.4701500000000025E-5</v>
      </c>
      <c r="K772" s="1">
        <f t="shared" ca="1" si="214"/>
        <v>5.0374689750000081E-7</v>
      </c>
      <c r="L772" s="13">
        <f t="shared" ca="1" si="215"/>
        <v>26</v>
      </c>
      <c r="M772" s="7">
        <f t="shared" ca="1" si="216"/>
        <v>974</v>
      </c>
      <c r="N772" s="44">
        <f t="shared" ca="1" si="217"/>
        <v>11</v>
      </c>
      <c r="O772" s="94">
        <f t="shared" ca="1" si="218"/>
        <v>2.8265749241644089</v>
      </c>
      <c r="P772" s="94">
        <f t="shared" ca="1" si="219"/>
        <v>28.265749241644084</v>
      </c>
      <c r="Q772" s="94">
        <f t="shared" ca="1" si="220"/>
        <v>28.265749241644084</v>
      </c>
      <c r="R772" s="94">
        <f t="shared" ca="1" si="221"/>
        <v>2.8265749241644085</v>
      </c>
      <c r="S772" s="94">
        <f t="shared" ca="1" si="222"/>
        <v>2.8265749241644089</v>
      </c>
      <c r="T772" s="4">
        <f t="shared" ca="1" si="223"/>
        <v>1.4238783485991211E-6</v>
      </c>
      <c r="U772" s="46">
        <f t="shared" ca="1" si="224"/>
        <v>1388.7163216869442</v>
      </c>
      <c r="V772" s="4">
        <f t="shared" ca="1" si="225"/>
        <v>6.9956153855741125E-4</v>
      </c>
      <c r="W772" s="13">
        <f t="shared" ca="1" si="226"/>
        <v>1331.3405909437663</v>
      </c>
      <c r="X772" s="4">
        <f t="shared" ca="1" si="227"/>
        <v>6.7065869220373994E-4</v>
      </c>
    </row>
    <row r="773" spans="1:24">
      <c r="A773">
        <v>1</v>
      </c>
      <c r="B773">
        <v>2</v>
      </c>
      <c r="C773">
        <f t="shared" si="209"/>
        <v>5</v>
      </c>
      <c r="D773">
        <f t="shared" si="210"/>
        <v>3</v>
      </c>
      <c r="E773">
        <f t="shared" si="211"/>
        <v>1</v>
      </c>
      <c r="F773" s="100">
        <f t="shared" ca="1" si="212"/>
        <v>3.4264999999999997E-2</v>
      </c>
      <c r="G773">
        <v>0</v>
      </c>
      <c r="H773">
        <v>0</v>
      </c>
      <c r="I773">
        <v>1</v>
      </c>
      <c r="J773" s="1">
        <f t="shared" ca="1" si="213"/>
        <v>1.4850000000000041E-7</v>
      </c>
      <c r="K773" s="1">
        <f t="shared" ca="1" si="214"/>
        <v>5.0883525000000137E-9</v>
      </c>
      <c r="L773" s="13">
        <f t="shared" ca="1" si="215"/>
        <v>13</v>
      </c>
      <c r="M773" s="7">
        <f t="shared" ca="1" si="216"/>
        <v>987</v>
      </c>
      <c r="N773" s="44">
        <f t="shared" ca="1" si="217"/>
        <v>12</v>
      </c>
      <c r="O773" s="94">
        <f t="shared" ca="1" si="218"/>
        <v>3.049271339469791</v>
      </c>
      <c r="P773" s="94">
        <f t="shared" ca="1" si="219"/>
        <v>29.824624148781758</v>
      </c>
      <c r="Q773" s="94">
        <f t="shared" ca="1" si="220"/>
        <v>28.265749241644084</v>
      </c>
      <c r="R773" s="94">
        <f t="shared" ca="1" si="221"/>
        <v>2.9045186695212921</v>
      </c>
      <c r="S773" s="94">
        <f t="shared" ca="1" si="222"/>
        <v>3.049271339469791</v>
      </c>
      <c r="T773" s="4">
        <f t="shared" ca="1" si="223"/>
        <v>1.5515767443369503E-8</v>
      </c>
      <c r="U773" s="46">
        <f t="shared" ca="1" si="224"/>
        <v>1466.9428976204611</v>
      </c>
      <c r="V773" s="4">
        <f t="shared" ca="1" si="225"/>
        <v>7.464322560464337E-6</v>
      </c>
      <c r="W773" s="13">
        <f t="shared" ca="1" si="226"/>
        <v>665.67029547188315</v>
      </c>
      <c r="X773" s="4">
        <f t="shared" ca="1" si="227"/>
        <v>3.3871651121401044E-6</v>
      </c>
    </row>
    <row r="774" spans="1:24">
      <c r="A774">
        <v>1</v>
      </c>
      <c r="B774">
        <v>2</v>
      </c>
      <c r="C774">
        <f t="shared" si="209"/>
        <v>5</v>
      </c>
      <c r="D774">
        <f t="shared" si="210"/>
        <v>3</v>
      </c>
      <c r="E774">
        <f t="shared" si="211"/>
        <v>1</v>
      </c>
      <c r="F774" s="100">
        <f t="shared" ca="1" si="212"/>
        <v>3.4264999999999997E-2</v>
      </c>
      <c r="G774">
        <v>0</v>
      </c>
      <c r="H774">
        <v>0</v>
      </c>
      <c r="I774">
        <v>0</v>
      </c>
      <c r="J774" s="1">
        <f t="shared" ca="1" si="213"/>
        <v>5.0000000000000179E-10</v>
      </c>
      <c r="K774" s="1">
        <f t="shared" ca="1" si="214"/>
        <v>1.713250000000006E-11</v>
      </c>
      <c r="L774" s="13">
        <f t="shared" ca="1" si="215"/>
        <v>0</v>
      </c>
      <c r="M774" s="7">
        <f t="shared" ca="1" si="216"/>
        <v>1000</v>
      </c>
      <c r="N774" s="44">
        <f t="shared" ca="1" si="217"/>
        <v>12</v>
      </c>
      <c r="O774" s="94">
        <f t="shared" ca="1" si="218"/>
        <v>3.049271339469791</v>
      </c>
      <c r="P774" s="94">
        <f t="shared" ca="1" si="219"/>
        <v>30.492713394697905</v>
      </c>
      <c r="Q774" s="94">
        <f t="shared" ca="1" si="220"/>
        <v>30.492713394697905</v>
      </c>
      <c r="R774" s="94">
        <f t="shared" ca="1" si="221"/>
        <v>3.0492713394697906</v>
      </c>
      <c r="S774" s="94">
        <f t="shared" ca="1" si="222"/>
        <v>3.049271339469791</v>
      </c>
      <c r="T774" s="4">
        <f t="shared" ca="1" si="223"/>
        <v>5.224164122346638E-11</v>
      </c>
      <c r="U774" s="46">
        <f t="shared" ca="1" si="224"/>
        <v>1453.9428976204611</v>
      </c>
      <c r="V774" s="4">
        <f t="shared" ca="1" si="225"/>
        <v>2.4909676693482638E-8</v>
      </c>
      <c r="W774" s="13">
        <f t="shared" ca="1" si="226"/>
        <v>0</v>
      </c>
      <c r="X774" s="4">
        <f t="shared" ca="1" si="227"/>
        <v>0</v>
      </c>
    </row>
    <row r="775" spans="1:24">
      <c r="A775">
        <v>1</v>
      </c>
      <c r="B775">
        <v>3</v>
      </c>
      <c r="C775">
        <f t="shared" si="209"/>
        <v>6</v>
      </c>
      <c r="D775">
        <f t="shared" si="210"/>
        <v>4</v>
      </c>
      <c r="E775">
        <f t="shared" si="211"/>
        <v>1</v>
      </c>
      <c r="F775" s="100">
        <f t="shared" ca="1" si="212"/>
        <v>0</v>
      </c>
      <c r="G775">
        <v>1</v>
      </c>
      <c r="H775">
        <v>1</v>
      </c>
      <c r="I775">
        <v>7</v>
      </c>
      <c r="J775" s="1">
        <f t="shared" ca="1" si="213"/>
        <v>0</v>
      </c>
      <c r="K775" s="1">
        <f t="shared" ca="1" si="214"/>
        <v>0</v>
      </c>
      <c r="L775" s="13">
        <f t="shared" ca="1" si="215"/>
        <v>221</v>
      </c>
      <c r="M775" s="7">
        <f t="shared" ca="1" si="216"/>
        <v>779</v>
      </c>
      <c r="N775" s="44">
        <f t="shared" ca="1" si="217"/>
        <v>9</v>
      </c>
      <c r="O775" s="94">
        <f t="shared" ca="1" si="218"/>
        <v>2.3639647217884514</v>
      </c>
      <c r="P775" s="94">
        <f t="shared" ca="1" si="219"/>
        <v>23.639647217884519</v>
      </c>
      <c r="Q775" s="94">
        <f t="shared" ca="1" si="220"/>
        <v>23.639647217884519</v>
      </c>
      <c r="R775" s="94">
        <f t="shared" ca="1" si="221"/>
        <v>2.3639647217884519</v>
      </c>
      <c r="S775" s="94">
        <f t="shared" ca="1" si="222"/>
        <v>2.3639647217884514</v>
      </c>
      <c r="T775" s="4">
        <f t="shared" ca="1" si="223"/>
        <v>0</v>
      </c>
      <c r="U775" s="46">
        <f t="shared" ca="1" si="224"/>
        <v>1394.2101516087316</v>
      </c>
      <c r="V775" s="4">
        <f t="shared" ca="1" si="225"/>
        <v>0</v>
      </c>
      <c r="W775" s="13">
        <f t="shared" ca="1" si="226"/>
        <v>16438.260675257192</v>
      </c>
      <c r="X775" s="4">
        <f t="shared" ca="1" si="227"/>
        <v>0</v>
      </c>
    </row>
    <row r="776" spans="1:24">
      <c r="A776">
        <v>1</v>
      </c>
      <c r="B776">
        <v>3</v>
      </c>
      <c r="C776">
        <f t="shared" si="209"/>
        <v>6</v>
      </c>
      <c r="D776">
        <f t="shared" si="210"/>
        <v>4</v>
      </c>
      <c r="E776">
        <f t="shared" si="211"/>
        <v>1</v>
      </c>
      <c r="F776" s="100">
        <f t="shared" ca="1" si="212"/>
        <v>0</v>
      </c>
      <c r="G776">
        <v>1</v>
      </c>
      <c r="H776">
        <v>1</v>
      </c>
      <c r="I776">
        <v>6</v>
      </c>
      <c r="J776" s="1">
        <f t="shared" ca="1" si="213"/>
        <v>0</v>
      </c>
      <c r="K776" s="1">
        <f t="shared" ca="1" si="214"/>
        <v>0</v>
      </c>
      <c r="L776" s="13">
        <f t="shared" ca="1" si="215"/>
        <v>208</v>
      </c>
      <c r="M776" s="7">
        <f t="shared" ca="1" si="216"/>
        <v>792</v>
      </c>
      <c r="N776" s="44">
        <f t="shared" ca="1" si="217"/>
        <v>9</v>
      </c>
      <c r="O776" s="94">
        <f t="shared" ca="1" si="218"/>
        <v>2.3639647217884514</v>
      </c>
      <c r="P776" s="94">
        <f t="shared" ca="1" si="219"/>
        <v>23.639647217884519</v>
      </c>
      <c r="Q776" s="94">
        <f t="shared" ca="1" si="220"/>
        <v>23.639647217884519</v>
      </c>
      <c r="R776" s="94">
        <f t="shared" ca="1" si="221"/>
        <v>2.3639647217884519</v>
      </c>
      <c r="S776" s="94">
        <f t="shared" ca="1" si="222"/>
        <v>2.3639647217884514</v>
      </c>
      <c r="T776" s="4">
        <f t="shared" ca="1" si="223"/>
        <v>0</v>
      </c>
      <c r="U776" s="46">
        <f t="shared" ca="1" si="224"/>
        <v>1381.2101516087316</v>
      </c>
      <c r="V776" s="4">
        <f t="shared" ca="1" si="225"/>
        <v>0</v>
      </c>
      <c r="W776" s="13">
        <f t="shared" ca="1" si="226"/>
        <v>15772.59037978531</v>
      </c>
      <c r="X776" s="4">
        <f t="shared" ca="1" si="227"/>
        <v>0</v>
      </c>
    </row>
    <row r="777" spans="1:24">
      <c r="A777">
        <v>1</v>
      </c>
      <c r="B777">
        <v>3</v>
      </c>
      <c r="C777">
        <f t="shared" si="209"/>
        <v>6</v>
      </c>
      <c r="D777">
        <f t="shared" si="210"/>
        <v>4</v>
      </c>
      <c r="E777">
        <f t="shared" si="211"/>
        <v>1</v>
      </c>
      <c r="F777" s="100">
        <f t="shared" ca="1" si="212"/>
        <v>0</v>
      </c>
      <c r="G777">
        <v>1</v>
      </c>
      <c r="H777">
        <v>1</v>
      </c>
      <c r="I777">
        <v>5</v>
      </c>
      <c r="J777" s="1">
        <f t="shared" ca="1" si="213"/>
        <v>0</v>
      </c>
      <c r="K777" s="1">
        <f t="shared" ca="1" si="214"/>
        <v>0</v>
      </c>
      <c r="L777" s="13">
        <f t="shared" ca="1" si="215"/>
        <v>195</v>
      </c>
      <c r="M777" s="7">
        <f t="shared" ca="1" si="216"/>
        <v>805</v>
      </c>
      <c r="N777" s="44">
        <f t="shared" ca="1" si="217"/>
        <v>10</v>
      </c>
      <c r="O777" s="94">
        <f t="shared" ca="1" si="218"/>
        <v>2.5877599795741038</v>
      </c>
      <c r="P777" s="94">
        <f t="shared" ca="1" si="219"/>
        <v>24.311032991241476</v>
      </c>
      <c r="Q777" s="94">
        <f t="shared" ca="1" si="220"/>
        <v>23.639647217884519</v>
      </c>
      <c r="R777" s="94">
        <f t="shared" ca="1" si="221"/>
        <v>2.3975340104562997</v>
      </c>
      <c r="S777" s="94">
        <f t="shared" ca="1" si="222"/>
        <v>2.5877599795741038</v>
      </c>
      <c r="T777" s="4">
        <f t="shared" ca="1" si="223"/>
        <v>0</v>
      </c>
      <c r="U777" s="46">
        <f t="shared" ca="1" si="224"/>
        <v>1459.8868633777442</v>
      </c>
      <c r="V777" s="4">
        <f t="shared" ca="1" si="225"/>
        <v>0</v>
      </c>
      <c r="W777" s="13">
        <f t="shared" ca="1" si="226"/>
        <v>15106.920084313426</v>
      </c>
      <c r="X777" s="4">
        <f t="shared" ca="1" si="227"/>
        <v>0</v>
      </c>
    </row>
    <row r="778" spans="1:24">
      <c r="A778">
        <v>1</v>
      </c>
      <c r="B778">
        <v>3</v>
      </c>
      <c r="C778">
        <f t="shared" si="209"/>
        <v>6</v>
      </c>
      <c r="D778">
        <f t="shared" si="210"/>
        <v>4</v>
      </c>
      <c r="E778">
        <f t="shared" si="211"/>
        <v>1</v>
      </c>
      <c r="F778" s="100">
        <f t="shared" ca="1" si="212"/>
        <v>0</v>
      </c>
      <c r="G778">
        <v>1</v>
      </c>
      <c r="H778">
        <v>1</v>
      </c>
      <c r="I778">
        <v>4</v>
      </c>
      <c r="J778" s="1">
        <f t="shared" ca="1" si="213"/>
        <v>0.90344054740499991</v>
      </c>
      <c r="K778" s="1">
        <f t="shared" ca="1" si="214"/>
        <v>0</v>
      </c>
      <c r="L778" s="13">
        <f t="shared" ca="1" si="215"/>
        <v>182</v>
      </c>
      <c r="M778" s="7">
        <f t="shared" ca="1" si="216"/>
        <v>818</v>
      </c>
      <c r="N778" s="44">
        <f t="shared" ca="1" si="217"/>
        <v>10</v>
      </c>
      <c r="O778" s="94">
        <f t="shared" ca="1" si="218"/>
        <v>2.5877599795741038</v>
      </c>
      <c r="P778" s="94">
        <f t="shared" ca="1" si="219"/>
        <v>25.877599795741034</v>
      </c>
      <c r="Q778" s="94">
        <f t="shared" ca="1" si="220"/>
        <v>24.982418764598432</v>
      </c>
      <c r="R778" s="94">
        <f t="shared" ca="1" si="221"/>
        <v>2.5430009280169736</v>
      </c>
      <c r="S778" s="94">
        <f t="shared" ca="1" si="222"/>
        <v>2.5877599795741038</v>
      </c>
      <c r="T778" s="4">
        <f t="shared" ca="1" si="223"/>
        <v>0</v>
      </c>
      <c r="U778" s="46">
        <f t="shared" ca="1" si="224"/>
        <v>1446.8868633777442</v>
      </c>
      <c r="V778" s="4">
        <f t="shared" ca="1" si="225"/>
        <v>0</v>
      </c>
      <c r="W778" s="13">
        <f t="shared" ca="1" si="226"/>
        <v>14441.249788841542</v>
      </c>
      <c r="X778" s="4">
        <f t="shared" ca="1" si="227"/>
        <v>0</v>
      </c>
    </row>
    <row r="779" spans="1:24">
      <c r="A779">
        <v>1</v>
      </c>
      <c r="B779">
        <v>3</v>
      </c>
      <c r="C779">
        <f t="shared" si="209"/>
        <v>6</v>
      </c>
      <c r="D779">
        <f t="shared" si="210"/>
        <v>4</v>
      </c>
      <c r="E779">
        <f t="shared" si="211"/>
        <v>1</v>
      </c>
      <c r="F779" s="100">
        <f t="shared" ca="1" si="212"/>
        <v>0</v>
      </c>
      <c r="G779">
        <v>1</v>
      </c>
      <c r="H779">
        <v>1</v>
      </c>
      <c r="I779">
        <v>3</v>
      </c>
      <c r="J779" s="1">
        <f t="shared" ca="1" si="213"/>
        <v>3.650264838000003E-2</v>
      </c>
      <c r="K779" s="1">
        <f t="shared" ca="1" si="214"/>
        <v>0</v>
      </c>
      <c r="L779" s="13">
        <f t="shared" ca="1" si="215"/>
        <v>169</v>
      </c>
      <c r="M779" s="7">
        <f t="shared" ca="1" si="216"/>
        <v>831</v>
      </c>
      <c r="N779" s="44">
        <f t="shared" ca="1" si="217"/>
        <v>10</v>
      </c>
      <c r="O779" s="94">
        <f t="shared" ca="1" si="218"/>
        <v>2.5877599795741038</v>
      </c>
      <c r="P779" s="94">
        <f t="shared" ca="1" si="219"/>
        <v>25.877599795741034</v>
      </c>
      <c r="Q779" s="94">
        <f t="shared" ca="1" si="220"/>
        <v>25.877599795741034</v>
      </c>
      <c r="R779" s="94">
        <f t="shared" ca="1" si="221"/>
        <v>2.5877599795741033</v>
      </c>
      <c r="S779" s="94">
        <f t="shared" ca="1" si="222"/>
        <v>2.5877599795741038</v>
      </c>
      <c r="T779" s="4">
        <f t="shared" ca="1" si="223"/>
        <v>0</v>
      </c>
      <c r="U779" s="46">
        <f t="shared" ca="1" si="224"/>
        <v>1433.8868633777442</v>
      </c>
      <c r="V779" s="4">
        <f t="shared" ca="1" si="225"/>
        <v>0</v>
      </c>
      <c r="W779" s="13">
        <f t="shared" ca="1" si="226"/>
        <v>13775.57949336966</v>
      </c>
      <c r="X779" s="4">
        <f t="shared" ca="1" si="227"/>
        <v>0</v>
      </c>
    </row>
    <row r="780" spans="1:24">
      <c r="A780">
        <v>1</v>
      </c>
      <c r="B780">
        <v>3</v>
      </c>
      <c r="C780">
        <f t="shared" si="209"/>
        <v>6</v>
      </c>
      <c r="D780">
        <f t="shared" si="210"/>
        <v>4</v>
      </c>
      <c r="E780">
        <f t="shared" si="211"/>
        <v>1</v>
      </c>
      <c r="F780" s="100">
        <f t="shared" ca="1" si="212"/>
        <v>0</v>
      </c>
      <c r="G780">
        <v>1</v>
      </c>
      <c r="H780">
        <v>1</v>
      </c>
      <c r="I780">
        <v>2</v>
      </c>
      <c r="J780" s="1">
        <f t="shared" ca="1" si="213"/>
        <v>5.5307043000000101E-4</v>
      </c>
      <c r="K780" s="1">
        <f t="shared" ca="1" si="214"/>
        <v>0</v>
      </c>
      <c r="L780" s="13">
        <f t="shared" ca="1" si="215"/>
        <v>156</v>
      </c>
      <c r="M780" s="7">
        <f t="shared" ca="1" si="216"/>
        <v>844</v>
      </c>
      <c r="N780" s="44">
        <f t="shared" ca="1" si="217"/>
        <v>10</v>
      </c>
      <c r="O780" s="94">
        <f t="shared" ca="1" si="218"/>
        <v>2.5877599795741038</v>
      </c>
      <c r="P780" s="94">
        <f t="shared" ca="1" si="219"/>
        <v>25.877599795741034</v>
      </c>
      <c r="Q780" s="94">
        <f t="shared" ca="1" si="220"/>
        <v>25.877599795741034</v>
      </c>
      <c r="R780" s="94">
        <f t="shared" ca="1" si="221"/>
        <v>2.5877599795741033</v>
      </c>
      <c r="S780" s="94">
        <f t="shared" ca="1" si="222"/>
        <v>2.5877599795741038</v>
      </c>
      <c r="T780" s="4">
        <f t="shared" ca="1" si="223"/>
        <v>0</v>
      </c>
      <c r="U780" s="46">
        <f t="shared" ca="1" si="224"/>
        <v>1420.8868633777442</v>
      </c>
      <c r="V780" s="4">
        <f t="shared" ca="1" si="225"/>
        <v>0</v>
      </c>
      <c r="W780" s="13">
        <f t="shared" ca="1" si="226"/>
        <v>13109.909197897776</v>
      </c>
      <c r="X780" s="4">
        <f t="shared" ca="1" si="227"/>
        <v>0</v>
      </c>
    </row>
    <row r="781" spans="1:24">
      <c r="A781">
        <v>1</v>
      </c>
      <c r="B781">
        <v>3</v>
      </c>
      <c r="C781">
        <f t="shared" si="209"/>
        <v>6</v>
      </c>
      <c r="D781">
        <f t="shared" si="210"/>
        <v>4</v>
      </c>
      <c r="E781">
        <f t="shared" si="211"/>
        <v>1</v>
      </c>
      <c r="F781" s="100">
        <f t="shared" ca="1" si="212"/>
        <v>0</v>
      </c>
      <c r="G781">
        <v>1</v>
      </c>
      <c r="H781">
        <v>1</v>
      </c>
      <c r="I781">
        <v>1</v>
      </c>
      <c r="J781" s="1">
        <f t="shared" ca="1" si="213"/>
        <v>3.7243800000000099E-6</v>
      </c>
      <c r="K781" s="1">
        <f t="shared" ca="1" si="214"/>
        <v>0</v>
      </c>
      <c r="L781" s="13">
        <f t="shared" ca="1" si="215"/>
        <v>143</v>
      </c>
      <c r="M781" s="7">
        <f t="shared" ca="1" si="216"/>
        <v>857</v>
      </c>
      <c r="N781" s="44">
        <f t="shared" ca="1" si="217"/>
        <v>10</v>
      </c>
      <c r="O781" s="94">
        <f t="shared" ca="1" si="218"/>
        <v>2.5877599795741038</v>
      </c>
      <c r="P781" s="94">
        <f t="shared" ca="1" si="219"/>
        <v>25.877599795741034</v>
      </c>
      <c r="Q781" s="94">
        <f t="shared" ca="1" si="220"/>
        <v>25.877599795741034</v>
      </c>
      <c r="R781" s="94">
        <f t="shared" ca="1" si="221"/>
        <v>2.5877599795741033</v>
      </c>
      <c r="S781" s="94">
        <f t="shared" ca="1" si="222"/>
        <v>2.5877599795741038</v>
      </c>
      <c r="T781" s="4">
        <f t="shared" ca="1" si="223"/>
        <v>0</v>
      </c>
      <c r="U781" s="46">
        <f t="shared" ca="1" si="224"/>
        <v>1407.8868633777442</v>
      </c>
      <c r="V781" s="4">
        <f t="shared" ca="1" si="225"/>
        <v>0</v>
      </c>
      <c r="W781" s="13">
        <f t="shared" ca="1" si="226"/>
        <v>12444.238902425894</v>
      </c>
      <c r="X781" s="4">
        <f t="shared" ca="1" si="227"/>
        <v>0</v>
      </c>
    </row>
    <row r="782" spans="1:24">
      <c r="A782">
        <v>1</v>
      </c>
      <c r="B782">
        <v>3</v>
      </c>
      <c r="C782">
        <f t="shared" si="209"/>
        <v>6</v>
      </c>
      <c r="D782">
        <f t="shared" si="210"/>
        <v>4</v>
      </c>
      <c r="E782">
        <f t="shared" si="211"/>
        <v>1</v>
      </c>
      <c r="F782" s="100">
        <f t="shared" ca="1" si="212"/>
        <v>0</v>
      </c>
      <c r="G782">
        <v>1</v>
      </c>
      <c r="H782">
        <v>1</v>
      </c>
      <c r="I782">
        <v>0</v>
      </c>
      <c r="J782" s="1">
        <f t="shared" ca="1" si="213"/>
        <v>9.4050000000000352E-9</v>
      </c>
      <c r="K782" s="1">
        <f t="shared" ca="1" si="214"/>
        <v>0</v>
      </c>
      <c r="L782" s="13">
        <f t="shared" ca="1" si="215"/>
        <v>130</v>
      </c>
      <c r="M782" s="7">
        <f t="shared" ca="1" si="216"/>
        <v>870</v>
      </c>
      <c r="N782" s="44">
        <f t="shared" ca="1" si="217"/>
        <v>10</v>
      </c>
      <c r="O782" s="94">
        <f t="shared" ca="1" si="218"/>
        <v>2.5877599795741038</v>
      </c>
      <c r="P782" s="94">
        <f t="shared" ca="1" si="219"/>
        <v>25.877599795741034</v>
      </c>
      <c r="Q782" s="94">
        <f t="shared" ca="1" si="220"/>
        <v>25.877599795741034</v>
      </c>
      <c r="R782" s="94">
        <f t="shared" ca="1" si="221"/>
        <v>2.5877599795741033</v>
      </c>
      <c r="S782" s="94">
        <f t="shared" ca="1" si="222"/>
        <v>2.5877599795741038</v>
      </c>
      <c r="T782" s="4">
        <f t="shared" ca="1" si="223"/>
        <v>0</v>
      </c>
      <c r="U782" s="46">
        <f t="shared" ca="1" si="224"/>
        <v>1394.8868633777442</v>
      </c>
      <c r="V782" s="4">
        <f t="shared" ca="1" si="225"/>
        <v>0</v>
      </c>
      <c r="W782" s="13">
        <f t="shared" ca="1" si="226"/>
        <v>11778.56860695401</v>
      </c>
      <c r="X782" s="4">
        <f t="shared" ca="1" si="227"/>
        <v>0</v>
      </c>
    </row>
    <row r="783" spans="1:24">
      <c r="A783">
        <v>1</v>
      </c>
      <c r="B783">
        <v>3</v>
      </c>
      <c r="C783">
        <f t="shared" si="209"/>
        <v>6</v>
      </c>
      <c r="D783">
        <f t="shared" si="210"/>
        <v>4</v>
      </c>
      <c r="E783">
        <f t="shared" si="211"/>
        <v>1</v>
      </c>
      <c r="F783" s="100">
        <f t="shared" ca="1" si="212"/>
        <v>0</v>
      </c>
      <c r="G783">
        <v>1</v>
      </c>
      <c r="H783">
        <v>0</v>
      </c>
      <c r="I783">
        <v>7</v>
      </c>
      <c r="J783" s="1">
        <f t="shared" ca="1" si="213"/>
        <v>0</v>
      </c>
      <c r="K783" s="1">
        <f t="shared" ca="1" si="214"/>
        <v>0</v>
      </c>
      <c r="L783" s="13">
        <f t="shared" ca="1" si="215"/>
        <v>156</v>
      </c>
      <c r="M783" s="7">
        <f t="shared" ca="1" si="216"/>
        <v>844</v>
      </c>
      <c r="N783" s="44">
        <f t="shared" ca="1" si="217"/>
        <v>10</v>
      </c>
      <c r="O783" s="94">
        <f t="shared" ca="1" si="218"/>
        <v>2.5877599795741038</v>
      </c>
      <c r="P783" s="94">
        <f t="shared" ca="1" si="219"/>
        <v>25.877599795741034</v>
      </c>
      <c r="Q783" s="94">
        <f t="shared" ca="1" si="220"/>
        <v>25.877599795741034</v>
      </c>
      <c r="R783" s="94">
        <f t="shared" ca="1" si="221"/>
        <v>2.5877599795741033</v>
      </c>
      <c r="S783" s="94">
        <f t="shared" ca="1" si="222"/>
        <v>2.5877599795741038</v>
      </c>
      <c r="T783" s="4">
        <f t="shared" ca="1" si="223"/>
        <v>0</v>
      </c>
      <c r="U783" s="46">
        <f t="shared" ca="1" si="224"/>
        <v>1420.8868633777442</v>
      </c>
      <c r="V783" s="4">
        <f t="shared" ca="1" si="225"/>
        <v>0</v>
      </c>
      <c r="W783" s="13">
        <f t="shared" ca="1" si="226"/>
        <v>15972.716608816479</v>
      </c>
      <c r="X783" s="4">
        <f t="shared" ca="1" si="227"/>
        <v>0</v>
      </c>
    </row>
    <row r="784" spans="1:24">
      <c r="A784">
        <v>1</v>
      </c>
      <c r="B784">
        <v>3</v>
      </c>
      <c r="C784">
        <f t="shared" si="209"/>
        <v>6</v>
      </c>
      <c r="D784">
        <f t="shared" si="210"/>
        <v>4</v>
      </c>
      <c r="E784">
        <f t="shared" si="211"/>
        <v>1</v>
      </c>
      <c r="F784" s="100">
        <f t="shared" ca="1" si="212"/>
        <v>0</v>
      </c>
      <c r="G784">
        <v>1</v>
      </c>
      <c r="H784">
        <v>0</v>
      </c>
      <c r="I784">
        <v>6</v>
      </c>
      <c r="J784" s="1">
        <f t="shared" ca="1" si="213"/>
        <v>0</v>
      </c>
      <c r="K784" s="1">
        <f t="shared" ca="1" si="214"/>
        <v>0</v>
      </c>
      <c r="L784" s="13">
        <f t="shared" ca="1" si="215"/>
        <v>143</v>
      </c>
      <c r="M784" s="7">
        <f t="shared" ca="1" si="216"/>
        <v>857</v>
      </c>
      <c r="N784" s="44">
        <f t="shared" ca="1" si="217"/>
        <v>10</v>
      </c>
      <c r="O784" s="94">
        <f t="shared" ca="1" si="218"/>
        <v>2.5877599795741038</v>
      </c>
      <c r="P784" s="94">
        <f t="shared" ca="1" si="219"/>
        <v>25.877599795741034</v>
      </c>
      <c r="Q784" s="94">
        <f t="shared" ca="1" si="220"/>
        <v>25.877599795741034</v>
      </c>
      <c r="R784" s="94">
        <f t="shared" ca="1" si="221"/>
        <v>2.5877599795741033</v>
      </c>
      <c r="S784" s="94">
        <f t="shared" ca="1" si="222"/>
        <v>2.5877599795741038</v>
      </c>
      <c r="T784" s="4">
        <f t="shared" ca="1" si="223"/>
        <v>0</v>
      </c>
      <c r="U784" s="46">
        <f t="shared" ca="1" si="224"/>
        <v>1407.8868633777442</v>
      </c>
      <c r="V784" s="4">
        <f t="shared" ca="1" si="225"/>
        <v>0</v>
      </c>
      <c r="W784" s="13">
        <f t="shared" ca="1" si="226"/>
        <v>15307.046313344596</v>
      </c>
      <c r="X784" s="4">
        <f t="shared" ca="1" si="227"/>
        <v>0</v>
      </c>
    </row>
    <row r="785" spans="1:24">
      <c r="A785">
        <v>1</v>
      </c>
      <c r="B785">
        <v>3</v>
      </c>
      <c r="C785">
        <f t="shared" si="209"/>
        <v>6</v>
      </c>
      <c r="D785">
        <f t="shared" si="210"/>
        <v>4</v>
      </c>
      <c r="E785">
        <f t="shared" si="211"/>
        <v>1</v>
      </c>
      <c r="F785" s="100">
        <f t="shared" ca="1" si="212"/>
        <v>0</v>
      </c>
      <c r="G785">
        <v>1</v>
      </c>
      <c r="H785">
        <v>0</v>
      </c>
      <c r="I785">
        <v>5</v>
      </c>
      <c r="J785" s="1">
        <f t="shared" ca="1" si="213"/>
        <v>0</v>
      </c>
      <c r="K785" s="1">
        <f t="shared" ca="1" si="214"/>
        <v>0</v>
      </c>
      <c r="L785" s="13">
        <f t="shared" ca="1" si="215"/>
        <v>130</v>
      </c>
      <c r="M785" s="7">
        <f t="shared" ca="1" si="216"/>
        <v>870</v>
      </c>
      <c r="N785" s="44">
        <f t="shared" ca="1" si="217"/>
        <v>10</v>
      </c>
      <c r="O785" s="94">
        <f t="shared" ca="1" si="218"/>
        <v>2.5877599795741038</v>
      </c>
      <c r="P785" s="94">
        <f t="shared" ca="1" si="219"/>
        <v>25.877599795741034</v>
      </c>
      <c r="Q785" s="94">
        <f t="shared" ca="1" si="220"/>
        <v>25.877599795741034</v>
      </c>
      <c r="R785" s="94">
        <f t="shared" ca="1" si="221"/>
        <v>2.5877599795741033</v>
      </c>
      <c r="S785" s="94">
        <f t="shared" ca="1" si="222"/>
        <v>2.5877599795741038</v>
      </c>
      <c r="T785" s="4">
        <f t="shared" ca="1" si="223"/>
        <v>0</v>
      </c>
      <c r="U785" s="46">
        <f t="shared" ca="1" si="224"/>
        <v>1394.8868633777442</v>
      </c>
      <c r="V785" s="4">
        <f t="shared" ca="1" si="225"/>
        <v>0</v>
      </c>
      <c r="W785" s="13">
        <f t="shared" ca="1" si="226"/>
        <v>14641.376017872713</v>
      </c>
      <c r="X785" s="4">
        <f t="shared" ca="1" si="227"/>
        <v>0</v>
      </c>
    </row>
    <row r="786" spans="1:24">
      <c r="A786">
        <v>1</v>
      </c>
      <c r="B786">
        <v>3</v>
      </c>
      <c r="C786">
        <f t="shared" si="209"/>
        <v>6</v>
      </c>
      <c r="D786">
        <f t="shared" si="210"/>
        <v>4</v>
      </c>
      <c r="E786">
        <f t="shared" si="211"/>
        <v>1</v>
      </c>
      <c r="F786" s="100">
        <f t="shared" ca="1" si="212"/>
        <v>0</v>
      </c>
      <c r="G786">
        <v>1</v>
      </c>
      <c r="H786">
        <v>0</v>
      </c>
      <c r="I786">
        <v>4</v>
      </c>
      <c r="J786" s="1">
        <f t="shared" ca="1" si="213"/>
        <v>9.1256620950000075E-3</v>
      </c>
      <c r="K786" s="1">
        <f t="shared" ca="1" si="214"/>
        <v>0</v>
      </c>
      <c r="L786" s="13">
        <f t="shared" ca="1" si="215"/>
        <v>117</v>
      </c>
      <c r="M786" s="7">
        <f t="shared" ca="1" si="216"/>
        <v>883</v>
      </c>
      <c r="N786" s="44">
        <f t="shared" ca="1" si="217"/>
        <v>10</v>
      </c>
      <c r="O786" s="94">
        <f t="shared" ca="1" si="218"/>
        <v>2.5877599795741038</v>
      </c>
      <c r="P786" s="94">
        <f t="shared" ca="1" si="219"/>
        <v>25.877599795741034</v>
      </c>
      <c r="Q786" s="94">
        <f t="shared" ca="1" si="220"/>
        <v>25.877599795741034</v>
      </c>
      <c r="R786" s="94">
        <f t="shared" ca="1" si="221"/>
        <v>2.5877599795741033</v>
      </c>
      <c r="S786" s="94">
        <f t="shared" ca="1" si="222"/>
        <v>2.5877599795741038</v>
      </c>
      <c r="T786" s="4">
        <f t="shared" ca="1" si="223"/>
        <v>0</v>
      </c>
      <c r="U786" s="46">
        <f t="shared" ca="1" si="224"/>
        <v>1381.8868633777442</v>
      </c>
      <c r="V786" s="4">
        <f t="shared" ca="1" si="225"/>
        <v>0</v>
      </c>
      <c r="W786" s="13">
        <f t="shared" ca="1" si="226"/>
        <v>13975.705722400829</v>
      </c>
      <c r="X786" s="4">
        <f t="shared" ca="1" si="227"/>
        <v>0</v>
      </c>
    </row>
    <row r="787" spans="1:24">
      <c r="A787">
        <v>1</v>
      </c>
      <c r="B787">
        <v>3</v>
      </c>
      <c r="C787">
        <f t="shared" si="209"/>
        <v>6</v>
      </c>
      <c r="D787">
        <f t="shared" si="210"/>
        <v>4</v>
      </c>
      <c r="E787">
        <f t="shared" si="211"/>
        <v>1</v>
      </c>
      <c r="F787" s="100">
        <f t="shared" ca="1" si="212"/>
        <v>0</v>
      </c>
      <c r="G787">
        <v>1</v>
      </c>
      <c r="H787">
        <v>0</v>
      </c>
      <c r="I787">
        <v>3</v>
      </c>
      <c r="J787" s="1">
        <f t="shared" ca="1" si="213"/>
        <v>3.6871362000000067E-4</v>
      </c>
      <c r="K787" s="1">
        <f t="shared" ca="1" si="214"/>
        <v>0</v>
      </c>
      <c r="L787" s="13">
        <f t="shared" ca="1" si="215"/>
        <v>104</v>
      </c>
      <c r="M787" s="7">
        <f t="shared" ca="1" si="216"/>
        <v>896</v>
      </c>
      <c r="N787" s="44">
        <f t="shared" ca="1" si="217"/>
        <v>11</v>
      </c>
      <c r="O787" s="94">
        <f t="shared" ca="1" si="218"/>
        <v>2.8265749241644089</v>
      </c>
      <c r="P787" s="94">
        <f t="shared" ca="1" si="219"/>
        <v>27.071674518692554</v>
      </c>
      <c r="Q787" s="94">
        <f t="shared" ca="1" si="220"/>
        <v>25.877599795741034</v>
      </c>
      <c r="R787" s="94">
        <f t="shared" ca="1" si="221"/>
        <v>2.6474637157216794</v>
      </c>
      <c r="S787" s="94">
        <f t="shared" ca="1" si="222"/>
        <v>2.8265749241644089</v>
      </c>
      <c r="T787" s="4">
        <f t="shared" ca="1" si="223"/>
        <v>0</v>
      </c>
      <c r="U787" s="46">
        <f t="shared" ca="1" si="224"/>
        <v>1466.7163216869442</v>
      </c>
      <c r="V787" s="4">
        <f t="shared" ca="1" si="225"/>
        <v>0</v>
      </c>
      <c r="W787" s="13">
        <f t="shared" ca="1" si="226"/>
        <v>13310.035426928947</v>
      </c>
      <c r="X787" s="4">
        <f t="shared" ca="1" si="227"/>
        <v>0</v>
      </c>
    </row>
    <row r="788" spans="1:24">
      <c r="A788">
        <v>1</v>
      </c>
      <c r="B788">
        <v>3</v>
      </c>
      <c r="C788">
        <f t="shared" si="209"/>
        <v>6</v>
      </c>
      <c r="D788">
        <f t="shared" si="210"/>
        <v>4</v>
      </c>
      <c r="E788">
        <f t="shared" si="211"/>
        <v>1</v>
      </c>
      <c r="F788" s="100">
        <f t="shared" ca="1" si="212"/>
        <v>0</v>
      </c>
      <c r="G788">
        <v>1</v>
      </c>
      <c r="H788">
        <v>0</v>
      </c>
      <c r="I788">
        <v>2</v>
      </c>
      <c r="J788" s="1">
        <f t="shared" ca="1" si="213"/>
        <v>5.5865700000000149E-6</v>
      </c>
      <c r="K788" s="1">
        <f t="shared" ca="1" si="214"/>
        <v>0</v>
      </c>
      <c r="L788" s="13">
        <f t="shared" ca="1" si="215"/>
        <v>91</v>
      </c>
      <c r="M788" s="7">
        <f t="shared" ca="1" si="216"/>
        <v>909</v>
      </c>
      <c r="N788" s="44">
        <f t="shared" ca="1" si="217"/>
        <v>11</v>
      </c>
      <c r="O788" s="94">
        <f t="shared" ca="1" si="218"/>
        <v>2.8265749241644089</v>
      </c>
      <c r="P788" s="94">
        <f t="shared" ca="1" si="219"/>
        <v>28.265749241644084</v>
      </c>
      <c r="Q788" s="94">
        <f t="shared" ca="1" si="220"/>
        <v>27.788119352463475</v>
      </c>
      <c r="R788" s="94">
        <f t="shared" ca="1" si="221"/>
        <v>2.8026934297053776</v>
      </c>
      <c r="S788" s="94">
        <f t="shared" ca="1" si="222"/>
        <v>2.8265749241644089</v>
      </c>
      <c r="T788" s="4">
        <f t="shared" ca="1" si="223"/>
        <v>0</v>
      </c>
      <c r="U788" s="46">
        <f t="shared" ca="1" si="224"/>
        <v>1453.7163216869442</v>
      </c>
      <c r="V788" s="4">
        <f t="shared" ca="1" si="225"/>
        <v>0</v>
      </c>
      <c r="W788" s="13">
        <f t="shared" ca="1" si="226"/>
        <v>12644.365131457063</v>
      </c>
      <c r="X788" s="4">
        <f t="shared" ca="1" si="227"/>
        <v>0</v>
      </c>
    </row>
    <row r="789" spans="1:24">
      <c r="A789">
        <v>1</v>
      </c>
      <c r="B789">
        <v>3</v>
      </c>
      <c r="C789">
        <f t="shared" si="209"/>
        <v>6</v>
      </c>
      <c r="D789">
        <f t="shared" si="210"/>
        <v>4</v>
      </c>
      <c r="E789">
        <f t="shared" si="211"/>
        <v>1</v>
      </c>
      <c r="F789" s="100">
        <f t="shared" ca="1" si="212"/>
        <v>0</v>
      </c>
      <c r="G789">
        <v>1</v>
      </c>
      <c r="H789">
        <v>0</v>
      </c>
      <c r="I789">
        <v>1</v>
      </c>
      <c r="J789" s="1">
        <f t="shared" ca="1" si="213"/>
        <v>3.7620000000000134E-8</v>
      </c>
      <c r="K789" s="1">
        <f t="shared" ca="1" si="214"/>
        <v>0</v>
      </c>
      <c r="L789" s="13">
        <f t="shared" ca="1" si="215"/>
        <v>78</v>
      </c>
      <c r="M789" s="7">
        <f t="shared" ca="1" si="216"/>
        <v>922</v>
      </c>
      <c r="N789" s="44">
        <f t="shared" ca="1" si="217"/>
        <v>11</v>
      </c>
      <c r="O789" s="94">
        <f t="shared" ca="1" si="218"/>
        <v>2.8265749241644089</v>
      </c>
      <c r="P789" s="94">
        <f t="shared" ca="1" si="219"/>
        <v>28.265749241644084</v>
      </c>
      <c r="Q789" s="94">
        <f t="shared" ca="1" si="220"/>
        <v>28.265749241644084</v>
      </c>
      <c r="R789" s="94">
        <f t="shared" ca="1" si="221"/>
        <v>2.8265749241644085</v>
      </c>
      <c r="S789" s="94">
        <f t="shared" ca="1" si="222"/>
        <v>2.8265749241644089</v>
      </c>
      <c r="T789" s="4">
        <f t="shared" ca="1" si="223"/>
        <v>0</v>
      </c>
      <c r="U789" s="46">
        <f t="shared" ca="1" si="224"/>
        <v>1440.7163216869442</v>
      </c>
      <c r="V789" s="4">
        <f t="shared" ca="1" si="225"/>
        <v>0</v>
      </c>
      <c r="W789" s="13">
        <f t="shared" ca="1" si="226"/>
        <v>11978.694835985181</v>
      </c>
      <c r="X789" s="4">
        <f t="shared" ca="1" si="227"/>
        <v>0</v>
      </c>
    </row>
    <row r="790" spans="1:24">
      <c r="A790">
        <v>1</v>
      </c>
      <c r="B790">
        <v>3</v>
      </c>
      <c r="C790">
        <f t="shared" si="209"/>
        <v>6</v>
      </c>
      <c r="D790">
        <f t="shared" si="210"/>
        <v>4</v>
      </c>
      <c r="E790">
        <f t="shared" si="211"/>
        <v>1</v>
      </c>
      <c r="F790" s="100">
        <f t="shared" ca="1" si="212"/>
        <v>0</v>
      </c>
      <c r="G790">
        <v>1</v>
      </c>
      <c r="H790">
        <v>0</v>
      </c>
      <c r="I790">
        <v>0</v>
      </c>
      <c r="J790" s="1">
        <f t="shared" ca="1" si="213"/>
        <v>9.5000000000000434E-11</v>
      </c>
      <c r="K790" s="1">
        <f t="shared" ca="1" si="214"/>
        <v>0</v>
      </c>
      <c r="L790" s="13">
        <f t="shared" ca="1" si="215"/>
        <v>65</v>
      </c>
      <c r="M790" s="7">
        <f t="shared" ca="1" si="216"/>
        <v>935</v>
      </c>
      <c r="N790" s="44">
        <f t="shared" ca="1" si="217"/>
        <v>11</v>
      </c>
      <c r="O790" s="94">
        <f t="shared" ca="1" si="218"/>
        <v>2.8265749241644089</v>
      </c>
      <c r="P790" s="94">
        <f t="shared" ca="1" si="219"/>
        <v>28.265749241644084</v>
      </c>
      <c r="Q790" s="94">
        <f t="shared" ca="1" si="220"/>
        <v>28.265749241644084</v>
      </c>
      <c r="R790" s="94">
        <f t="shared" ca="1" si="221"/>
        <v>2.8265749241644085</v>
      </c>
      <c r="S790" s="94">
        <f t="shared" ca="1" si="222"/>
        <v>2.8265749241644089</v>
      </c>
      <c r="T790" s="4">
        <f t="shared" ca="1" si="223"/>
        <v>0</v>
      </c>
      <c r="U790" s="46">
        <f t="shared" ca="1" si="224"/>
        <v>1427.7163216869442</v>
      </c>
      <c r="V790" s="4">
        <f t="shared" ca="1" si="225"/>
        <v>0</v>
      </c>
      <c r="W790" s="13">
        <f t="shared" ca="1" si="226"/>
        <v>11313.024540513297</v>
      </c>
      <c r="X790" s="4">
        <f t="shared" ca="1" si="227"/>
        <v>0</v>
      </c>
    </row>
    <row r="791" spans="1:24">
      <c r="A791">
        <v>1</v>
      </c>
      <c r="B791">
        <v>3</v>
      </c>
      <c r="C791">
        <f t="shared" si="209"/>
        <v>6</v>
      </c>
      <c r="D791">
        <f t="shared" si="210"/>
        <v>4</v>
      </c>
      <c r="E791">
        <f t="shared" si="211"/>
        <v>1</v>
      </c>
      <c r="F791" s="100">
        <f t="shared" ca="1" si="212"/>
        <v>0</v>
      </c>
      <c r="G791">
        <v>0</v>
      </c>
      <c r="H791">
        <v>1</v>
      </c>
      <c r="I791">
        <v>7</v>
      </c>
      <c r="J791" s="1">
        <f t="shared" ca="1" si="213"/>
        <v>0</v>
      </c>
      <c r="K791" s="1">
        <f t="shared" ca="1" si="214"/>
        <v>0</v>
      </c>
      <c r="L791" s="13">
        <f t="shared" ca="1" si="215"/>
        <v>156</v>
      </c>
      <c r="M791" s="7">
        <f t="shared" ca="1" si="216"/>
        <v>844</v>
      </c>
      <c r="N791" s="44">
        <f t="shared" ca="1" si="217"/>
        <v>10</v>
      </c>
      <c r="O791" s="94">
        <f t="shared" ca="1" si="218"/>
        <v>2.5877599795741038</v>
      </c>
      <c r="P791" s="94">
        <f t="shared" ca="1" si="219"/>
        <v>25.877599795741034</v>
      </c>
      <c r="Q791" s="94">
        <f t="shared" ca="1" si="220"/>
        <v>25.877599795741034</v>
      </c>
      <c r="R791" s="94">
        <f t="shared" ca="1" si="221"/>
        <v>2.5877599795741033</v>
      </c>
      <c r="S791" s="94">
        <f t="shared" ca="1" si="222"/>
        <v>2.5877599795741038</v>
      </c>
      <c r="T791" s="4">
        <f t="shared" ca="1" si="223"/>
        <v>0</v>
      </c>
      <c r="U791" s="46">
        <f t="shared" ca="1" si="224"/>
        <v>1420.8868633777442</v>
      </c>
      <c r="V791" s="4">
        <f t="shared" ca="1" si="225"/>
        <v>0</v>
      </c>
      <c r="W791" s="13">
        <f t="shared" ca="1" si="226"/>
        <v>5125.2361347438955</v>
      </c>
      <c r="X791" s="4">
        <f t="shared" ca="1" si="227"/>
        <v>0</v>
      </c>
    </row>
    <row r="792" spans="1:24">
      <c r="A792">
        <v>1</v>
      </c>
      <c r="B792">
        <v>3</v>
      </c>
      <c r="C792">
        <f t="shared" si="209"/>
        <v>6</v>
      </c>
      <c r="D792">
        <f t="shared" si="210"/>
        <v>4</v>
      </c>
      <c r="E792">
        <f t="shared" si="211"/>
        <v>1</v>
      </c>
      <c r="F792" s="100">
        <f t="shared" ca="1" si="212"/>
        <v>0</v>
      </c>
      <c r="G792">
        <v>0</v>
      </c>
      <c r="H792">
        <v>1</v>
      </c>
      <c r="I792">
        <v>6</v>
      </c>
      <c r="J792" s="1">
        <f t="shared" ca="1" si="213"/>
        <v>0</v>
      </c>
      <c r="K792" s="1">
        <f t="shared" ca="1" si="214"/>
        <v>0</v>
      </c>
      <c r="L792" s="13">
        <f t="shared" ca="1" si="215"/>
        <v>143</v>
      </c>
      <c r="M792" s="7">
        <f t="shared" ca="1" si="216"/>
        <v>857</v>
      </c>
      <c r="N792" s="44">
        <f t="shared" ca="1" si="217"/>
        <v>10</v>
      </c>
      <c r="O792" s="94">
        <f t="shared" ca="1" si="218"/>
        <v>2.5877599795741038</v>
      </c>
      <c r="P792" s="94">
        <f t="shared" ca="1" si="219"/>
        <v>25.877599795741034</v>
      </c>
      <c r="Q792" s="94">
        <f t="shared" ca="1" si="220"/>
        <v>25.877599795741034</v>
      </c>
      <c r="R792" s="94">
        <f t="shared" ca="1" si="221"/>
        <v>2.5877599795741033</v>
      </c>
      <c r="S792" s="94">
        <f t="shared" ca="1" si="222"/>
        <v>2.5877599795741038</v>
      </c>
      <c r="T792" s="4">
        <f t="shared" ca="1" si="223"/>
        <v>0</v>
      </c>
      <c r="U792" s="46">
        <f t="shared" ca="1" si="224"/>
        <v>1407.8868633777442</v>
      </c>
      <c r="V792" s="4">
        <f t="shared" ca="1" si="225"/>
        <v>0</v>
      </c>
      <c r="W792" s="13">
        <f t="shared" ca="1" si="226"/>
        <v>4459.5658392720125</v>
      </c>
      <c r="X792" s="4">
        <f t="shared" ca="1" si="227"/>
        <v>0</v>
      </c>
    </row>
    <row r="793" spans="1:24">
      <c r="A793">
        <v>1</v>
      </c>
      <c r="B793">
        <v>3</v>
      </c>
      <c r="C793">
        <f t="shared" si="209"/>
        <v>6</v>
      </c>
      <c r="D793">
        <f t="shared" si="210"/>
        <v>4</v>
      </c>
      <c r="E793">
        <f t="shared" si="211"/>
        <v>1</v>
      </c>
      <c r="F793" s="100">
        <f t="shared" ca="1" si="212"/>
        <v>0</v>
      </c>
      <c r="G793">
        <v>0</v>
      </c>
      <c r="H793">
        <v>1</v>
      </c>
      <c r="I793">
        <v>5</v>
      </c>
      <c r="J793" s="1">
        <f t="shared" ca="1" si="213"/>
        <v>0</v>
      </c>
      <c r="K793" s="1">
        <f t="shared" ca="1" si="214"/>
        <v>0</v>
      </c>
      <c r="L793" s="13">
        <f t="shared" ca="1" si="215"/>
        <v>130</v>
      </c>
      <c r="M793" s="7">
        <f t="shared" ca="1" si="216"/>
        <v>870</v>
      </c>
      <c r="N793" s="44">
        <f t="shared" ca="1" si="217"/>
        <v>10</v>
      </c>
      <c r="O793" s="94">
        <f t="shared" ca="1" si="218"/>
        <v>2.5877599795741038</v>
      </c>
      <c r="P793" s="94">
        <f t="shared" ca="1" si="219"/>
        <v>25.877599795741034</v>
      </c>
      <c r="Q793" s="94">
        <f t="shared" ca="1" si="220"/>
        <v>25.877599795741034</v>
      </c>
      <c r="R793" s="94">
        <f t="shared" ca="1" si="221"/>
        <v>2.5877599795741033</v>
      </c>
      <c r="S793" s="94">
        <f t="shared" ca="1" si="222"/>
        <v>2.5877599795741038</v>
      </c>
      <c r="T793" s="4">
        <f t="shared" ca="1" si="223"/>
        <v>0</v>
      </c>
      <c r="U793" s="46">
        <f t="shared" ca="1" si="224"/>
        <v>1394.8868633777442</v>
      </c>
      <c r="V793" s="4">
        <f t="shared" ca="1" si="225"/>
        <v>0</v>
      </c>
      <c r="W793" s="13">
        <f t="shared" ca="1" si="226"/>
        <v>3793.895543800129</v>
      </c>
      <c r="X793" s="4">
        <f t="shared" ca="1" si="227"/>
        <v>0</v>
      </c>
    </row>
    <row r="794" spans="1:24">
      <c r="A794">
        <v>1</v>
      </c>
      <c r="B794">
        <v>3</v>
      </c>
      <c r="C794">
        <f t="shared" si="209"/>
        <v>6</v>
      </c>
      <c r="D794">
        <f t="shared" si="210"/>
        <v>4</v>
      </c>
      <c r="E794">
        <f t="shared" si="211"/>
        <v>1</v>
      </c>
      <c r="F794" s="100">
        <f t="shared" ca="1" si="212"/>
        <v>0</v>
      </c>
      <c r="G794">
        <v>0</v>
      </c>
      <c r="H794">
        <v>1</v>
      </c>
      <c r="I794">
        <v>4</v>
      </c>
      <c r="J794" s="1">
        <f t="shared" ca="1" si="213"/>
        <v>4.7549502495E-2</v>
      </c>
      <c r="K794" s="1">
        <f t="shared" ca="1" si="214"/>
        <v>0</v>
      </c>
      <c r="L794" s="13">
        <f t="shared" ca="1" si="215"/>
        <v>117</v>
      </c>
      <c r="M794" s="7">
        <f t="shared" ca="1" si="216"/>
        <v>883</v>
      </c>
      <c r="N794" s="44">
        <f t="shared" ca="1" si="217"/>
        <v>10</v>
      </c>
      <c r="O794" s="94">
        <f t="shared" ca="1" si="218"/>
        <v>2.5877599795741038</v>
      </c>
      <c r="P794" s="94">
        <f t="shared" ca="1" si="219"/>
        <v>25.877599795741034</v>
      </c>
      <c r="Q794" s="94">
        <f t="shared" ca="1" si="220"/>
        <v>25.877599795741034</v>
      </c>
      <c r="R794" s="94">
        <f t="shared" ca="1" si="221"/>
        <v>2.5877599795741033</v>
      </c>
      <c r="S794" s="94">
        <f t="shared" ca="1" si="222"/>
        <v>2.5877599795741038</v>
      </c>
      <c r="T794" s="4">
        <f t="shared" ca="1" si="223"/>
        <v>0</v>
      </c>
      <c r="U794" s="46">
        <f t="shared" ca="1" si="224"/>
        <v>1381.8868633777442</v>
      </c>
      <c r="V794" s="4">
        <f t="shared" ca="1" si="225"/>
        <v>0</v>
      </c>
      <c r="W794" s="13">
        <f t="shared" ca="1" si="226"/>
        <v>3128.2252483282455</v>
      </c>
      <c r="X794" s="4">
        <f t="shared" ca="1" si="227"/>
        <v>0</v>
      </c>
    </row>
    <row r="795" spans="1:24">
      <c r="A795">
        <v>1</v>
      </c>
      <c r="B795">
        <v>3</v>
      </c>
      <c r="C795">
        <f t="shared" si="209"/>
        <v>6</v>
      </c>
      <c r="D795">
        <f t="shared" si="210"/>
        <v>4</v>
      </c>
      <c r="E795">
        <f t="shared" si="211"/>
        <v>1</v>
      </c>
      <c r="F795" s="100">
        <f t="shared" ca="1" si="212"/>
        <v>0</v>
      </c>
      <c r="G795">
        <v>0</v>
      </c>
      <c r="H795">
        <v>1</v>
      </c>
      <c r="I795">
        <v>3</v>
      </c>
      <c r="J795" s="1">
        <f t="shared" ca="1" si="213"/>
        <v>1.9211920200000018E-3</v>
      </c>
      <c r="K795" s="1">
        <f t="shared" ca="1" si="214"/>
        <v>0</v>
      </c>
      <c r="L795" s="13">
        <f t="shared" ca="1" si="215"/>
        <v>104</v>
      </c>
      <c r="M795" s="7">
        <f t="shared" ca="1" si="216"/>
        <v>896</v>
      </c>
      <c r="N795" s="44">
        <f t="shared" ca="1" si="217"/>
        <v>11</v>
      </c>
      <c r="O795" s="94">
        <f t="shared" ca="1" si="218"/>
        <v>2.8265749241644089</v>
      </c>
      <c r="P795" s="94">
        <f t="shared" ca="1" si="219"/>
        <v>27.071674518692554</v>
      </c>
      <c r="Q795" s="94">
        <f t="shared" ca="1" si="220"/>
        <v>25.877599795741034</v>
      </c>
      <c r="R795" s="94">
        <f t="shared" ca="1" si="221"/>
        <v>2.6474637157216794</v>
      </c>
      <c r="S795" s="94">
        <f t="shared" ca="1" si="222"/>
        <v>2.8265749241644089</v>
      </c>
      <c r="T795" s="4">
        <f t="shared" ca="1" si="223"/>
        <v>0</v>
      </c>
      <c r="U795" s="46">
        <f t="shared" ca="1" si="224"/>
        <v>1466.7163216869442</v>
      </c>
      <c r="V795" s="4">
        <f t="shared" ca="1" si="225"/>
        <v>0</v>
      </c>
      <c r="W795" s="13">
        <f t="shared" ca="1" si="226"/>
        <v>2462.5549528563624</v>
      </c>
      <c r="X795" s="4">
        <f t="shared" ca="1" si="227"/>
        <v>0</v>
      </c>
    </row>
    <row r="796" spans="1:24">
      <c r="A796">
        <v>1</v>
      </c>
      <c r="B796">
        <v>3</v>
      </c>
      <c r="C796">
        <f t="shared" si="209"/>
        <v>6</v>
      </c>
      <c r="D796">
        <f t="shared" si="210"/>
        <v>4</v>
      </c>
      <c r="E796">
        <f t="shared" si="211"/>
        <v>1</v>
      </c>
      <c r="F796" s="100">
        <f t="shared" ca="1" si="212"/>
        <v>0</v>
      </c>
      <c r="G796">
        <v>0</v>
      </c>
      <c r="H796">
        <v>1</v>
      </c>
      <c r="I796">
        <v>2</v>
      </c>
      <c r="J796" s="1">
        <f t="shared" ca="1" si="213"/>
        <v>2.9108970000000054E-5</v>
      </c>
      <c r="K796" s="1">
        <f t="shared" ca="1" si="214"/>
        <v>0</v>
      </c>
      <c r="L796" s="13">
        <f t="shared" ca="1" si="215"/>
        <v>91</v>
      </c>
      <c r="M796" s="7">
        <f t="shared" ca="1" si="216"/>
        <v>909</v>
      </c>
      <c r="N796" s="44">
        <f t="shared" ca="1" si="217"/>
        <v>11</v>
      </c>
      <c r="O796" s="94">
        <f t="shared" ca="1" si="218"/>
        <v>2.8265749241644089</v>
      </c>
      <c r="P796" s="94">
        <f t="shared" ca="1" si="219"/>
        <v>28.265749241644084</v>
      </c>
      <c r="Q796" s="94">
        <f t="shared" ca="1" si="220"/>
        <v>27.788119352463475</v>
      </c>
      <c r="R796" s="94">
        <f t="shared" ca="1" si="221"/>
        <v>2.8026934297053776</v>
      </c>
      <c r="S796" s="94">
        <f t="shared" ca="1" si="222"/>
        <v>2.8265749241644089</v>
      </c>
      <c r="T796" s="4">
        <f t="shared" ca="1" si="223"/>
        <v>0</v>
      </c>
      <c r="U796" s="46">
        <f t="shared" ca="1" si="224"/>
        <v>1453.7163216869442</v>
      </c>
      <c r="V796" s="4">
        <f t="shared" ca="1" si="225"/>
        <v>0</v>
      </c>
      <c r="W796" s="13">
        <f t="shared" ca="1" si="226"/>
        <v>1796.8846573844794</v>
      </c>
      <c r="X796" s="4">
        <f t="shared" ca="1" si="227"/>
        <v>0</v>
      </c>
    </row>
    <row r="797" spans="1:24">
      <c r="A797">
        <v>1</v>
      </c>
      <c r="B797">
        <v>3</v>
      </c>
      <c r="C797">
        <f t="shared" si="209"/>
        <v>6</v>
      </c>
      <c r="D797">
        <f t="shared" si="210"/>
        <v>4</v>
      </c>
      <c r="E797">
        <f t="shared" si="211"/>
        <v>1</v>
      </c>
      <c r="F797" s="100">
        <f t="shared" ca="1" si="212"/>
        <v>0</v>
      </c>
      <c r="G797">
        <v>0</v>
      </c>
      <c r="H797">
        <v>1</v>
      </c>
      <c r="I797">
        <v>1</v>
      </c>
      <c r="J797" s="1">
        <f t="shared" ca="1" si="213"/>
        <v>1.9602000000000053E-7</v>
      </c>
      <c r="K797" s="1">
        <f t="shared" ca="1" si="214"/>
        <v>0</v>
      </c>
      <c r="L797" s="13">
        <f t="shared" ca="1" si="215"/>
        <v>78</v>
      </c>
      <c r="M797" s="7">
        <f t="shared" ca="1" si="216"/>
        <v>922</v>
      </c>
      <c r="N797" s="44">
        <f t="shared" ca="1" si="217"/>
        <v>11</v>
      </c>
      <c r="O797" s="94">
        <f t="shared" ca="1" si="218"/>
        <v>2.8265749241644089</v>
      </c>
      <c r="P797" s="94">
        <f t="shared" ca="1" si="219"/>
        <v>28.265749241644084</v>
      </c>
      <c r="Q797" s="94">
        <f t="shared" ca="1" si="220"/>
        <v>28.265749241644084</v>
      </c>
      <c r="R797" s="94">
        <f t="shared" ca="1" si="221"/>
        <v>2.8265749241644085</v>
      </c>
      <c r="S797" s="94">
        <f t="shared" ca="1" si="222"/>
        <v>2.8265749241644089</v>
      </c>
      <c r="T797" s="4">
        <f t="shared" ca="1" si="223"/>
        <v>0</v>
      </c>
      <c r="U797" s="46">
        <f t="shared" ca="1" si="224"/>
        <v>1440.7163216869442</v>
      </c>
      <c r="V797" s="4">
        <f t="shared" ca="1" si="225"/>
        <v>0</v>
      </c>
      <c r="W797" s="13">
        <f t="shared" ca="1" si="226"/>
        <v>1131.2143619125961</v>
      </c>
      <c r="X797" s="4">
        <f t="shared" ca="1" si="227"/>
        <v>0</v>
      </c>
    </row>
    <row r="798" spans="1:24">
      <c r="A798">
        <v>1</v>
      </c>
      <c r="B798">
        <v>3</v>
      </c>
      <c r="C798">
        <f t="shared" si="209"/>
        <v>6</v>
      </c>
      <c r="D798">
        <f t="shared" si="210"/>
        <v>4</v>
      </c>
      <c r="E798">
        <f t="shared" si="211"/>
        <v>1</v>
      </c>
      <c r="F798" s="100">
        <f t="shared" ca="1" si="212"/>
        <v>0</v>
      </c>
      <c r="G798">
        <v>0</v>
      </c>
      <c r="H798">
        <v>1</v>
      </c>
      <c r="I798">
        <v>0</v>
      </c>
      <c r="J798" s="1">
        <f t="shared" ca="1" si="213"/>
        <v>4.9500000000000181E-10</v>
      </c>
      <c r="K798" s="1">
        <f t="shared" ca="1" si="214"/>
        <v>0</v>
      </c>
      <c r="L798" s="13">
        <f t="shared" ca="1" si="215"/>
        <v>65</v>
      </c>
      <c r="M798" s="7">
        <f t="shared" ca="1" si="216"/>
        <v>935</v>
      </c>
      <c r="N798" s="44">
        <f t="shared" ca="1" si="217"/>
        <v>11</v>
      </c>
      <c r="O798" s="94">
        <f t="shared" ca="1" si="218"/>
        <v>2.8265749241644089</v>
      </c>
      <c r="P798" s="94">
        <f t="shared" ca="1" si="219"/>
        <v>28.265749241644084</v>
      </c>
      <c r="Q798" s="94">
        <f t="shared" ca="1" si="220"/>
        <v>28.265749241644084</v>
      </c>
      <c r="R798" s="94">
        <f t="shared" ca="1" si="221"/>
        <v>2.8265749241644085</v>
      </c>
      <c r="S798" s="94">
        <f t="shared" ca="1" si="222"/>
        <v>2.8265749241644089</v>
      </c>
      <c r="T798" s="4">
        <f t="shared" ca="1" si="223"/>
        <v>0</v>
      </c>
      <c r="U798" s="46">
        <f t="shared" ca="1" si="224"/>
        <v>1427.7163216869442</v>
      </c>
      <c r="V798" s="4">
        <f t="shared" ca="1" si="225"/>
        <v>0</v>
      </c>
      <c r="W798" s="13">
        <f t="shared" ca="1" si="226"/>
        <v>465.54406644071304</v>
      </c>
      <c r="X798" s="4">
        <f t="shared" ca="1" si="227"/>
        <v>0</v>
      </c>
    </row>
    <row r="799" spans="1:24">
      <c r="A799">
        <v>1</v>
      </c>
      <c r="B799">
        <v>3</v>
      </c>
      <c r="C799">
        <f t="shared" si="209"/>
        <v>6</v>
      </c>
      <c r="D799">
        <f t="shared" si="210"/>
        <v>4</v>
      </c>
      <c r="E799">
        <f t="shared" si="211"/>
        <v>1</v>
      </c>
      <c r="F799" s="100">
        <f t="shared" ca="1" si="212"/>
        <v>0</v>
      </c>
      <c r="G799">
        <v>0</v>
      </c>
      <c r="H799">
        <v>0</v>
      </c>
      <c r="I799">
        <v>7</v>
      </c>
      <c r="J799" s="1">
        <f t="shared" ca="1" si="213"/>
        <v>0</v>
      </c>
      <c r="K799" s="1">
        <f t="shared" ca="1" si="214"/>
        <v>0</v>
      </c>
      <c r="L799" s="13">
        <f t="shared" ca="1" si="215"/>
        <v>91</v>
      </c>
      <c r="M799" s="7">
        <f t="shared" ca="1" si="216"/>
        <v>909</v>
      </c>
      <c r="N799" s="44">
        <f t="shared" ca="1" si="217"/>
        <v>11</v>
      </c>
      <c r="O799" s="94">
        <f t="shared" ca="1" si="218"/>
        <v>2.8265749241644089</v>
      </c>
      <c r="P799" s="94">
        <f t="shared" ca="1" si="219"/>
        <v>28.265749241644084</v>
      </c>
      <c r="Q799" s="94">
        <f t="shared" ca="1" si="220"/>
        <v>27.788119352463475</v>
      </c>
      <c r="R799" s="94">
        <f t="shared" ca="1" si="221"/>
        <v>2.8026934297053776</v>
      </c>
      <c r="S799" s="94">
        <f t="shared" ca="1" si="222"/>
        <v>2.8265749241644089</v>
      </c>
      <c r="T799" s="4">
        <f t="shared" ca="1" si="223"/>
        <v>0</v>
      </c>
      <c r="U799" s="46">
        <f t="shared" ca="1" si="224"/>
        <v>1453.7163216869442</v>
      </c>
      <c r="V799" s="4">
        <f t="shared" ca="1" si="225"/>
        <v>0</v>
      </c>
      <c r="W799" s="13">
        <f t="shared" ca="1" si="226"/>
        <v>4659.6920683031822</v>
      </c>
      <c r="X799" s="4">
        <f t="shared" ca="1" si="227"/>
        <v>0</v>
      </c>
    </row>
    <row r="800" spans="1:24">
      <c r="A800">
        <v>1</v>
      </c>
      <c r="B800">
        <v>3</v>
      </c>
      <c r="C800">
        <f t="shared" si="209"/>
        <v>6</v>
      </c>
      <c r="D800">
        <f t="shared" si="210"/>
        <v>4</v>
      </c>
      <c r="E800">
        <f t="shared" si="211"/>
        <v>1</v>
      </c>
      <c r="F800" s="100">
        <f t="shared" ca="1" si="212"/>
        <v>0</v>
      </c>
      <c r="G800">
        <v>0</v>
      </c>
      <c r="H800">
        <v>0</v>
      </c>
      <c r="I800">
        <v>6</v>
      </c>
      <c r="J800" s="1">
        <f t="shared" ca="1" si="213"/>
        <v>0</v>
      </c>
      <c r="K800" s="1">
        <f t="shared" ca="1" si="214"/>
        <v>0</v>
      </c>
      <c r="L800" s="13">
        <f t="shared" ca="1" si="215"/>
        <v>78</v>
      </c>
      <c r="M800" s="7">
        <f t="shared" ca="1" si="216"/>
        <v>922</v>
      </c>
      <c r="N800" s="44">
        <f t="shared" ca="1" si="217"/>
        <v>11</v>
      </c>
      <c r="O800" s="94">
        <f t="shared" ca="1" si="218"/>
        <v>2.8265749241644089</v>
      </c>
      <c r="P800" s="94">
        <f t="shared" ca="1" si="219"/>
        <v>28.265749241644084</v>
      </c>
      <c r="Q800" s="94">
        <f t="shared" ca="1" si="220"/>
        <v>28.265749241644084</v>
      </c>
      <c r="R800" s="94">
        <f t="shared" ca="1" si="221"/>
        <v>2.8265749241644085</v>
      </c>
      <c r="S800" s="94">
        <f t="shared" ca="1" si="222"/>
        <v>2.8265749241644089</v>
      </c>
      <c r="T800" s="4">
        <f t="shared" ca="1" si="223"/>
        <v>0</v>
      </c>
      <c r="U800" s="46">
        <f t="shared" ca="1" si="224"/>
        <v>1440.7163216869442</v>
      </c>
      <c r="V800" s="4">
        <f t="shared" ca="1" si="225"/>
        <v>0</v>
      </c>
      <c r="W800" s="13">
        <f t="shared" ca="1" si="226"/>
        <v>3994.0217728312991</v>
      </c>
      <c r="X800" s="4">
        <f t="shared" ca="1" si="227"/>
        <v>0</v>
      </c>
    </row>
    <row r="801" spans="1:24">
      <c r="A801">
        <v>1</v>
      </c>
      <c r="B801">
        <v>3</v>
      </c>
      <c r="C801">
        <f t="shared" si="209"/>
        <v>6</v>
      </c>
      <c r="D801">
        <f t="shared" si="210"/>
        <v>4</v>
      </c>
      <c r="E801">
        <f t="shared" si="211"/>
        <v>1</v>
      </c>
      <c r="F801" s="100">
        <f t="shared" ca="1" si="212"/>
        <v>0</v>
      </c>
      <c r="G801">
        <v>0</v>
      </c>
      <c r="H801">
        <v>0</v>
      </c>
      <c r="I801">
        <v>5</v>
      </c>
      <c r="J801" s="1">
        <f t="shared" ca="1" si="213"/>
        <v>0</v>
      </c>
      <c r="K801" s="1">
        <f t="shared" ca="1" si="214"/>
        <v>0</v>
      </c>
      <c r="L801" s="13">
        <f t="shared" ca="1" si="215"/>
        <v>65</v>
      </c>
      <c r="M801" s="7">
        <f t="shared" ca="1" si="216"/>
        <v>935</v>
      </c>
      <c r="N801" s="44">
        <f t="shared" ca="1" si="217"/>
        <v>11</v>
      </c>
      <c r="O801" s="94">
        <f t="shared" ca="1" si="218"/>
        <v>2.8265749241644089</v>
      </c>
      <c r="P801" s="94">
        <f t="shared" ca="1" si="219"/>
        <v>28.265749241644084</v>
      </c>
      <c r="Q801" s="94">
        <f t="shared" ca="1" si="220"/>
        <v>28.265749241644084</v>
      </c>
      <c r="R801" s="94">
        <f t="shared" ca="1" si="221"/>
        <v>2.8265749241644085</v>
      </c>
      <c r="S801" s="94">
        <f t="shared" ca="1" si="222"/>
        <v>2.8265749241644089</v>
      </c>
      <c r="T801" s="4">
        <f t="shared" ca="1" si="223"/>
        <v>0</v>
      </c>
      <c r="U801" s="46">
        <f t="shared" ca="1" si="224"/>
        <v>1427.7163216869442</v>
      </c>
      <c r="V801" s="4">
        <f t="shared" ca="1" si="225"/>
        <v>0</v>
      </c>
      <c r="W801" s="13">
        <f t="shared" ca="1" si="226"/>
        <v>3328.3514773594161</v>
      </c>
      <c r="X801" s="4">
        <f t="shared" ca="1" si="227"/>
        <v>0</v>
      </c>
    </row>
    <row r="802" spans="1:24">
      <c r="A802">
        <v>1</v>
      </c>
      <c r="B802">
        <v>3</v>
      </c>
      <c r="C802">
        <f t="shared" si="209"/>
        <v>6</v>
      </c>
      <c r="D802">
        <f t="shared" si="210"/>
        <v>4</v>
      </c>
      <c r="E802">
        <f t="shared" si="211"/>
        <v>1</v>
      </c>
      <c r="F802" s="100">
        <f t="shared" ca="1" si="212"/>
        <v>0</v>
      </c>
      <c r="G802">
        <v>0</v>
      </c>
      <c r="H802">
        <v>0</v>
      </c>
      <c r="I802">
        <v>4</v>
      </c>
      <c r="J802" s="1">
        <f t="shared" ca="1" si="213"/>
        <v>4.802980050000004E-4</v>
      </c>
      <c r="K802" s="1">
        <f t="shared" ca="1" si="214"/>
        <v>0</v>
      </c>
      <c r="L802" s="13">
        <f t="shared" ca="1" si="215"/>
        <v>52</v>
      </c>
      <c r="M802" s="7">
        <f t="shared" ca="1" si="216"/>
        <v>948</v>
      </c>
      <c r="N802" s="44">
        <f t="shared" ca="1" si="217"/>
        <v>11</v>
      </c>
      <c r="O802" s="94">
        <f t="shared" ca="1" si="218"/>
        <v>2.8265749241644089</v>
      </c>
      <c r="P802" s="94">
        <f t="shared" ca="1" si="219"/>
        <v>28.265749241644084</v>
      </c>
      <c r="Q802" s="94">
        <f t="shared" ca="1" si="220"/>
        <v>28.265749241644084</v>
      </c>
      <c r="R802" s="94">
        <f t="shared" ca="1" si="221"/>
        <v>2.8265749241644085</v>
      </c>
      <c r="S802" s="94">
        <f t="shared" ca="1" si="222"/>
        <v>2.8265749241644089</v>
      </c>
      <c r="T802" s="4">
        <f t="shared" ca="1" si="223"/>
        <v>0</v>
      </c>
      <c r="U802" s="46">
        <f t="shared" ca="1" si="224"/>
        <v>1414.7163216869442</v>
      </c>
      <c r="V802" s="4">
        <f t="shared" ca="1" si="225"/>
        <v>0</v>
      </c>
      <c r="W802" s="13">
        <f t="shared" ca="1" si="226"/>
        <v>2662.6811818875326</v>
      </c>
      <c r="X802" s="4">
        <f t="shared" ca="1" si="227"/>
        <v>0</v>
      </c>
    </row>
    <row r="803" spans="1:24">
      <c r="A803">
        <v>1</v>
      </c>
      <c r="B803">
        <v>3</v>
      </c>
      <c r="C803">
        <f t="shared" si="209"/>
        <v>6</v>
      </c>
      <c r="D803">
        <f t="shared" si="210"/>
        <v>4</v>
      </c>
      <c r="E803">
        <f t="shared" si="211"/>
        <v>1</v>
      </c>
      <c r="F803" s="100">
        <f t="shared" ca="1" si="212"/>
        <v>0</v>
      </c>
      <c r="G803">
        <v>0</v>
      </c>
      <c r="H803">
        <v>0</v>
      </c>
      <c r="I803">
        <v>3</v>
      </c>
      <c r="J803" s="1">
        <f t="shared" ca="1" si="213"/>
        <v>1.9405980000000033E-5</v>
      </c>
      <c r="K803" s="1">
        <f t="shared" ca="1" si="214"/>
        <v>0</v>
      </c>
      <c r="L803" s="13">
        <f t="shared" ca="1" si="215"/>
        <v>39</v>
      </c>
      <c r="M803" s="7">
        <f t="shared" ca="1" si="216"/>
        <v>961</v>
      </c>
      <c r="N803" s="44">
        <f t="shared" ca="1" si="217"/>
        <v>11</v>
      </c>
      <c r="O803" s="94">
        <f t="shared" ca="1" si="218"/>
        <v>2.8265749241644089</v>
      </c>
      <c r="P803" s="94">
        <f t="shared" ca="1" si="219"/>
        <v>28.265749241644084</v>
      </c>
      <c r="Q803" s="94">
        <f t="shared" ca="1" si="220"/>
        <v>28.265749241644084</v>
      </c>
      <c r="R803" s="94">
        <f t="shared" ca="1" si="221"/>
        <v>2.8265749241644085</v>
      </c>
      <c r="S803" s="94">
        <f t="shared" ca="1" si="222"/>
        <v>2.8265749241644089</v>
      </c>
      <c r="T803" s="4">
        <f t="shared" ca="1" si="223"/>
        <v>0</v>
      </c>
      <c r="U803" s="46">
        <f t="shared" ca="1" si="224"/>
        <v>1401.7163216869442</v>
      </c>
      <c r="V803" s="4">
        <f t="shared" ca="1" si="225"/>
        <v>0</v>
      </c>
      <c r="W803" s="13">
        <f t="shared" ca="1" si="226"/>
        <v>1997.0108864156496</v>
      </c>
      <c r="X803" s="4">
        <f t="shared" ca="1" si="227"/>
        <v>0</v>
      </c>
    </row>
    <row r="804" spans="1:24">
      <c r="A804">
        <v>1</v>
      </c>
      <c r="B804">
        <v>3</v>
      </c>
      <c r="C804">
        <f t="shared" si="209"/>
        <v>6</v>
      </c>
      <c r="D804">
        <f t="shared" si="210"/>
        <v>4</v>
      </c>
      <c r="E804">
        <f t="shared" si="211"/>
        <v>1</v>
      </c>
      <c r="F804" s="100">
        <f t="shared" ca="1" si="212"/>
        <v>0</v>
      </c>
      <c r="G804">
        <v>0</v>
      </c>
      <c r="H804">
        <v>0</v>
      </c>
      <c r="I804">
        <v>2</v>
      </c>
      <c r="J804" s="1">
        <f t="shared" ca="1" si="213"/>
        <v>2.9403000000000079E-7</v>
      </c>
      <c r="K804" s="1">
        <f t="shared" ca="1" si="214"/>
        <v>0</v>
      </c>
      <c r="L804" s="13">
        <f t="shared" ca="1" si="215"/>
        <v>26</v>
      </c>
      <c r="M804" s="7">
        <f t="shared" ca="1" si="216"/>
        <v>974</v>
      </c>
      <c r="N804" s="44">
        <f t="shared" ca="1" si="217"/>
        <v>11</v>
      </c>
      <c r="O804" s="94">
        <f t="shared" ca="1" si="218"/>
        <v>2.8265749241644089</v>
      </c>
      <c r="P804" s="94">
        <f t="shared" ca="1" si="219"/>
        <v>28.265749241644084</v>
      </c>
      <c r="Q804" s="94">
        <f t="shared" ca="1" si="220"/>
        <v>28.265749241644084</v>
      </c>
      <c r="R804" s="94">
        <f t="shared" ca="1" si="221"/>
        <v>2.8265749241644085</v>
      </c>
      <c r="S804" s="94">
        <f t="shared" ca="1" si="222"/>
        <v>2.8265749241644089</v>
      </c>
      <c r="T804" s="4">
        <f t="shared" ca="1" si="223"/>
        <v>0</v>
      </c>
      <c r="U804" s="46">
        <f t="shared" ca="1" si="224"/>
        <v>1388.7163216869442</v>
      </c>
      <c r="V804" s="4">
        <f t="shared" ca="1" si="225"/>
        <v>0</v>
      </c>
      <c r="W804" s="13">
        <f t="shared" ca="1" si="226"/>
        <v>1331.3405909437663</v>
      </c>
      <c r="X804" s="4">
        <f t="shared" ca="1" si="227"/>
        <v>0</v>
      </c>
    </row>
    <row r="805" spans="1:24">
      <c r="A805">
        <v>1</v>
      </c>
      <c r="B805">
        <v>3</v>
      </c>
      <c r="C805">
        <f t="shared" si="209"/>
        <v>6</v>
      </c>
      <c r="D805">
        <f t="shared" si="210"/>
        <v>4</v>
      </c>
      <c r="E805">
        <f t="shared" si="211"/>
        <v>1</v>
      </c>
      <c r="F805" s="100">
        <f t="shared" ca="1" si="212"/>
        <v>0</v>
      </c>
      <c r="G805">
        <v>0</v>
      </c>
      <c r="H805">
        <v>0</v>
      </c>
      <c r="I805">
        <v>1</v>
      </c>
      <c r="J805" s="1">
        <f t="shared" ca="1" si="213"/>
        <v>1.9800000000000068E-9</v>
      </c>
      <c r="K805" s="1">
        <f t="shared" ca="1" si="214"/>
        <v>0</v>
      </c>
      <c r="L805" s="13">
        <f t="shared" ca="1" si="215"/>
        <v>13</v>
      </c>
      <c r="M805" s="7">
        <f t="shared" ca="1" si="216"/>
        <v>987</v>
      </c>
      <c r="N805" s="44">
        <f t="shared" ca="1" si="217"/>
        <v>12</v>
      </c>
      <c r="O805" s="94">
        <f t="shared" ca="1" si="218"/>
        <v>3.049271339469791</v>
      </c>
      <c r="P805" s="94">
        <f t="shared" ca="1" si="219"/>
        <v>29.824624148781758</v>
      </c>
      <c r="Q805" s="94">
        <f t="shared" ca="1" si="220"/>
        <v>28.265749241644084</v>
      </c>
      <c r="R805" s="94">
        <f t="shared" ca="1" si="221"/>
        <v>2.9045186695212921</v>
      </c>
      <c r="S805" s="94">
        <f t="shared" ca="1" si="222"/>
        <v>3.049271339469791</v>
      </c>
      <c r="T805" s="4">
        <f t="shared" ca="1" si="223"/>
        <v>0</v>
      </c>
      <c r="U805" s="46">
        <f t="shared" ca="1" si="224"/>
        <v>1466.9428976204611</v>
      </c>
      <c r="V805" s="4">
        <f t="shared" ca="1" si="225"/>
        <v>0</v>
      </c>
      <c r="W805" s="13">
        <f t="shared" ca="1" si="226"/>
        <v>665.67029547188315</v>
      </c>
      <c r="X805" s="4">
        <f t="shared" ca="1" si="227"/>
        <v>0</v>
      </c>
    </row>
    <row r="806" spans="1:24">
      <c r="A806">
        <v>1</v>
      </c>
      <c r="B806">
        <v>3</v>
      </c>
      <c r="C806">
        <f t="shared" si="209"/>
        <v>6</v>
      </c>
      <c r="D806">
        <f t="shared" si="210"/>
        <v>4</v>
      </c>
      <c r="E806">
        <f t="shared" si="211"/>
        <v>1</v>
      </c>
      <c r="F806" s="100">
        <f t="shared" ca="1" si="212"/>
        <v>0</v>
      </c>
      <c r="G806">
        <v>0</v>
      </c>
      <c r="H806">
        <v>0</v>
      </c>
      <c r="I806">
        <v>0</v>
      </c>
      <c r="J806" s="1">
        <f t="shared" ca="1" si="213"/>
        <v>5.0000000000000231E-12</v>
      </c>
      <c r="K806" s="1">
        <f t="shared" ca="1" si="214"/>
        <v>0</v>
      </c>
      <c r="L806" s="13">
        <f t="shared" ca="1" si="215"/>
        <v>0</v>
      </c>
      <c r="M806" s="7">
        <f t="shared" ca="1" si="216"/>
        <v>1000</v>
      </c>
      <c r="N806" s="44">
        <f t="shared" ca="1" si="217"/>
        <v>12</v>
      </c>
      <c r="O806" s="94">
        <f t="shared" ca="1" si="218"/>
        <v>3.049271339469791</v>
      </c>
      <c r="P806" s="94">
        <f t="shared" ca="1" si="219"/>
        <v>30.492713394697905</v>
      </c>
      <c r="Q806" s="94">
        <f t="shared" ca="1" si="220"/>
        <v>30.492713394697905</v>
      </c>
      <c r="R806" s="94">
        <f t="shared" ca="1" si="221"/>
        <v>3.0492713394697906</v>
      </c>
      <c r="S806" s="94">
        <f t="shared" ca="1" si="222"/>
        <v>3.049271339469791</v>
      </c>
      <c r="T806" s="4">
        <f t="shared" ca="1" si="223"/>
        <v>0</v>
      </c>
      <c r="U806" s="46">
        <f t="shared" ca="1" si="224"/>
        <v>1453.9428976204611</v>
      </c>
      <c r="V806" s="4">
        <f t="shared" ca="1" si="225"/>
        <v>0</v>
      </c>
      <c r="W806" s="13">
        <f t="shared" ca="1" si="226"/>
        <v>0</v>
      </c>
      <c r="X806" s="4">
        <f t="shared" ca="1" si="227"/>
        <v>0</v>
      </c>
    </row>
    <row r="807" spans="1:24">
      <c r="A807">
        <v>2</v>
      </c>
      <c r="B807">
        <v>0</v>
      </c>
      <c r="C807">
        <f t="shared" ref="C807:C870" si="228">MIN(8, 1+$B$543+$B$542+A807+B807)</f>
        <v>4</v>
      </c>
      <c r="D807">
        <f t="shared" ref="D807:D870" si="229">C807-(1+$B$543)</f>
        <v>2</v>
      </c>
      <c r="E807">
        <f t="shared" ref="E807:E870" si="230">MIN(A807, C807-(1+$B$543+$B$542))</f>
        <v>2</v>
      </c>
      <c r="F807" s="100">
        <f t="shared" ref="F807:F870" ca="1" si="231">IF(A807=3, Set2QA, IF(A807=2, (1-Set2QA)*Set2TA + (1-Set2QA)*(1-Set2TA)*(1-Set2DA)*Set2AM3*Set2AM33, IF(A807=1, (1-Set2QA)*(1-Set2TA)*Set2DA + (1-Set2QA)*(1-Set2TA)*(1-Set2DA)*Set2AM3*Set2AM32, (1-Set2QA)*(1-Set2TA)*(1-Set2DA)*(1-Set2AM3)))) * IF($B$542+$B$543&gt;0, IF(B807=3, Set2QA, IF(B807=2, (1-Set2QA)*Set2TA, IF(B807=1, (1-Set2QA)*(1-Set2TA)*Set2DA, (1-Set2QA)*(1-Set2TA)*(1-Set2DA)))), IF(B807=0, 1, 0))</f>
        <v>6.3634999999999997E-2</v>
      </c>
      <c r="G807">
        <v>1</v>
      </c>
      <c r="H807">
        <v>1</v>
      </c>
      <c r="I807">
        <v>7</v>
      </c>
      <c r="J807" s="1">
        <f t="shared" ref="J807:J870" ca="1" si="232">POWER(95%,G807)*POWER(5%, 1-G807) * IF($B$543=0, IF(H807=0, 1, 0), POWER(Set2WSHitRate,H807)*POWER(1-Set2WSHitRate, 1-H807)) * IF(I807&lt;=D807, POWER(Set2WSHitRate, I807)*POWER(1-Set2WSHitRate, D807-I807)*COMBIN(D807,I807), 0)</f>
        <v>0</v>
      </c>
      <c r="K807" s="1">
        <f t="shared" ref="K807:K870" ca="1" si="233">F807*J807</f>
        <v>0</v>
      </c>
      <c r="L807" s="13">
        <f t="shared" ref="L807:L870" ca="1" si="234">MAX((G807+H807)*Set2WSTP + I807*$B$539, Set2SaveTP)</f>
        <v>221</v>
      </c>
      <c r="M807" s="7">
        <f t="shared" ref="M807:M870" ca="1" si="235">MAX(Set2MinTP-(L807+Set2Regain), 0)</f>
        <v>779</v>
      </c>
      <c r="N807" s="44">
        <f t="shared" ref="N807:N870" ca="1" si="236">CEILING(M807/Set2MeleeTP, 1)</f>
        <v>9</v>
      </c>
      <c r="O807" s="94">
        <f t="shared" ref="O807:O870" ca="1" si="237">VLOOKUP(N807, AvgRoundsSet2, 2)</f>
        <v>2.3639647217884514</v>
      </c>
      <c r="P807" s="94">
        <f t="shared" ref="P807:P870" ca="1" si="238">VLOOKUP(CEILING(MAX(M807-1, 0)/Set2MeleeTP, 1), AvgRoundsSet2, 2) + VLOOKUP(CEILING(MAX(M807-2, 0)/Set2MeleeTP, 1), AvgRoundsSet2, 2) + VLOOKUP(CEILING(MAX(M807-3, 0)/Set2MeleeTP, 1), AvgRoundsSet2, 2) + VLOOKUP(CEILING(MAX(M807-4, 0)/Set2MeleeTP, 1), AvgRoundsSet2, 2) + VLOOKUP(CEILING(MAX(M807-5, 0)/Set2MeleeTP, 1), AvgRoundsSet2, 2) + VLOOKUP(CEILING(MAX(M807-6, 0)/Set2MeleeTP, 1), AvgRoundsSet2, 2) + VLOOKUP(CEILING(MAX(M807-7, 0)/Set2MeleeTP, 1), AvgRoundsSet2, 2) + VLOOKUP(CEILING(MAX(M807-8, 0)/Set2MeleeTP, 1), AvgRoundsSet2, 2) + VLOOKUP(CEILING(MAX(M807-9, 0)/Set2MeleeTP, 1), AvgRoundsSet2, 2) + VLOOKUP(CEILING(MAX(M807-10, 0)/Set2MeleeTP, 1), AvgRoundsSet2, 2)</f>
        <v>23.639647217884519</v>
      </c>
      <c r="Q807" s="94">
        <f t="shared" ref="Q807:Q870" ca="1" si="239">VLOOKUP(CEILING(MAX(M807-11, 0)/Set2MeleeTP, 1), AvgRoundsSet2, 2) + VLOOKUP(CEILING(MAX(M807-12, 0)/Set2MeleeTP, 1), AvgRoundsSet2, 2) + VLOOKUP(CEILING(MAX(M807-13, 0)/Set2MeleeTP, 1), AvgRoundsSet2, 2) + VLOOKUP(CEILING(MAX(M807-14, 0)/Set2MeleeTP, 1), AvgRoundsSet2, 2) + VLOOKUP(CEILING(MAX(M807-15, 0)/Set2MeleeTP, 1), AvgRoundsSet2, 2) + VLOOKUP(CEILING(MAX(M807-16, 0)/Set2MeleeTP, 1), AvgRoundsSet2, 2) + VLOOKUP(CEILING(MAX(M807-17, 0)/Set2MeleeTP, 1), AvgRoundsSet2, 2) + VLOOKUP(CEILING(MAX(M807-18, 0)/Set2MeleeTP, 1), AvgRoundsSet2, 2) + VLOOKUP(CEILING(MAX(M807-19, 0)/Set2MeleeTP, 1), AvgRoundsSet2, 2) + VLOOKUP(CEILING(MAX(M807-20, 0)/Set2MeleeTP, 1), AvgRoundsSet2, 2)</f>
        <v>23.639647217884519</v>
      </c>
      <c r="R807" s="94">
        <f t="shared" ref="R807:R870" ca="1" si="240">(P807+Q807)/20</f>
        <v>2.3639647217884519</v>
      </c>
      <c r="S807" s="94">
        <f t="shared" ref="S807:S870" ca="1" si="241">R807*Set2ConserveTP + O807*(1-Set2ConserveTP)</f>
        <v>2.3639647217884514</v>
      </c>
      <c r="T807" s="4">
        <f t="shared" ref="T807:T870" ca="1" si="242">K807*S807</f>
        <v>0</v>
      </c>
      <c r="U807" s="46">
        <f t="shared" ref="U807:U870" ca="1" si="243">MIN(L807+(S807+Set2OverTP)*AvgHitsPerRound2*Set2MeleeTP + Set2Regain + 10.5*Set2ConserveTP, 3000)</f>
        <v>1394.2101516087316</v>
      </c>
      <c r="V807" s="4">
        <f t="shared" ref="V807:V870" ca="1" si="244">U807*K807</f>
        <v>0</v>
      </c>
      <c r="W807" s="13">
        <f t="shared" ref="W807:W870" ca="1" si="245">G807*$K$543*((1-$L$543)*$L$547 + $L$543*$M$547*$M$543)*Set2WSDmg + H807*$K$546*((1-$L$546)*$L$548 + $L$546*$M$548*$M$544) + I807*$K$544*((1-$L$544)*$L$547 + $L$544*$M$547*$M$544) + E807*$K$545*$L$545*$M$543</f>
        <v>16438.260675257192</v>
      </c>
      <c r="X807" s="4">
        <f t="shared" ref="X807:X870" ca="1" si="246">K807*W807</f>
        <v>0</v>
      </c>
    </row>
    <row r="808" spans="1:24">
      <c r="A808">
        <v>2</v>
      </c>
      <c r="B808">
        <v>0</v>
      </c>
      <c r="C808">
        <f t="shared" si="228"/>
        <v>4</v>
      </c>
      <c r="D808">
        <f t="shared" si="229"/>
        <v>2</v>
      </c>
      <c r="E808">
        <f t="shared" si="230"/>
        <v>2</v>
      </c>
      <c r="F808" s="100">
        <f t="shared" ca="1" si="231"/>
        <v>6.3634999999999997E-2</v>
      </c>
      <c r="G808">
        <v>1</v>
      </c>
      <c r="H808">
        <v>1</v>
      </c>
      <c r="I808">
        <v>6</v>
      </c>
      <c r="J808" s="1">
        <f t="shared" ca="1" si="232"/>
        <v>0</v>
      </c>
      <c r="K808" s="1">
        <f t="shared" ca="1" si="233"/>
        <v>0</v>
      </c>
      <c r="L808" s="13">
        <f t="shared" ca="1" si="234"/>
        <v>208</v>
      </c>
      <c r="M808" s="7">
        <f t="shared" ca="1" si="235"/>
        <v>792</v>
      </c>
      <c r="N808" s="44">
        <f t="shared" ca="1" si="236"/>
        <v>9</v>
      </c>
      <c r="O808" s="94">
        <f t="shared" ca="1" si="237"/>
        <v>2.3639647217884514</v>
      </c>
      <c r="P808" s="94">
        <f t="shared" ca="1" si="238"/>
        <v>23.639647217884519</v>
      </c>
      <c r="Q808" s="94">
        <f t="shared" ca="1" si="239"/>
        <v>23.639647217884519</v>
      </c>
      <c r="R808" s="94">
        <f t="shared" ca="1" si="240"/>
        <v>2.3639647217884519</v>
      </c>
      <c r="S808" s="94">
        <f t="shared" ca="1" si="241"/>
        <v>2.3639647217884514</v>
      </c>
      <c r="T808" s="4">
        <f t="shared" ca="1" si="242"/>
        <v>0</v>
      </c>
      <c r="U808" s="46">
        <f t="shared" ca="1" si="243"/>
        <v>1381.2101516087316</v>
      </c>
      <c r="V808" s="4">
        <f t="shared" ca="1" si="244"/>
        <v>0</v>
      </c>
      <c r="W808" s="13">
        <f t="shared" ca="1" si="245"/>
        <v>15772.59037978531</v>
      </c>
      <c r="X808" s="4">
        <f t="shared" ca="1" si="246"/>
        <v>0</v>
      </c>
    </row>
    <row r="809" spans="1:24">
      <c r="A809">
        <v>2</v>
      </c>
      <c r="B809">
        <v>0</v>
      </c>
      <c r="C809">
        <f t="shared" si="228"/>
        <v>4</v>
      </c>
      <c r="D809">
        <f t="shared" si="229"/>
        <v>2</v>
      </c>
      <c r="E809">
        <f t="shared" si="230"/>
        <v>2</v>
      </c>
      <c r="F809" s="100">
        <f t="shared" ca="1" si="231"/>
        <v>6.3634999999999997E-2</v>
      </c>
      <c r="G809">
        <v>1</v>
      </c>
      <c r="H809">
        <v>1</v>
      </c>
      <c r="I809">
        <v>5</v>
      </c>
      <c r="J809" s="1">
        <f t="shared" ca="1" si="232"/>
        <v>0</v>
      </c>
      <c r="K809" s="1">
        <f t="shared" ca="1" si="233"/>
        <v>0</v>
      </c>
      <c r="L809" s="13">
        <f t="shared" ca="1" si="234"/>
        <v>195</v>
      </c>
      <c r="M809" s="7">
        <f t="shared" ca="1" si="235"/>
        <v>805</v>
      </c>
      <c r="N809" s="44">
        <f t="shared" ca="1" si="236"/>
        <v>10</v>
      </c>
      <c r="O809" s="94">
        <f t="shared" ca="1" si="237"/>
        <v>2.5877599795741038</v>
      </c>
      <c r="P809" s="94">
        <f t="shared" ca="1" si="238"/>
        <v>24.311032991241476</v>
      </c>
      <c r="Q809" s="94">
        <f t="shared" ca="1" si="239"/>
        <v>23.639647217884519</v>
      </c>
      <c r="R809" s="94">
        <f t="shared" ca="1" si="240"/>
        <v>2.3975340104562997</v>
      </c>
      <c r="S809" s="94">
        <f t="shared" ca="1" si="241"/>
        <v>2.5877599795741038</v>
      </c>
      <c r="T809" s="4">
        <f t="shared" ca="1" si="242"/>
        <v>0</v>
      </c>
      <c r="U809" s="46">
        <f t="shared" ca="1" si="243"/>
        <v>1459.8868633777442</v>
      </c>
      <c r="V809" s="4">
        <f t="shared" ca="1" si="244"/>
        <v>0</v>
      </c>
      <c r="W809" s="13">
        <f t="shared" ca="1" si="245"/>
        <v>15106.920084313426</v>
      </c>
      <c r="X809" s="4">
        <f t="shared" ca="1" si="246"/>
        <v>0</v>
      </c>
    </row>
    <row r="810" spans="1:24">
      <c r="A810">
        <v>2</v>
      </c>
      <c r="B810">
        <v>0</v>
      </c>
      <c r="C810">
        <f t="shared" si="228"/>
        <v>4</v>
      </c>
      <c r="D810">
        <f t="shared" si="229"/>
        <v>2</v>
      </c>
      <c r="E810">
        <f t="shared" si="230"/>
        <v>2</v>
      </c>
      <c r="F810" s="100">
        <f t="shared" ca="1" si="231"/>
        <v>6.3634999999999997E-2</v>
      </c>
      <c r="G810">
        <v>1</v>
      </c>
      <c r="H810">
        <v>1</v>
      </c>
      <c r="I810">
        <v>4</v>
      </c>
      <c r="J810" s="1">
        <f t="shared" ca="1" si="232"/>
        <v>0</v>
      </c>
      <c r="K810" s="1">
        <f t="shared" ca="1" si="233"/>
        <v>0</v>
      </c>
      <c r="L810" s="13">
        <f t="shared" ca="1" si="234"/>
        <v>182</v>
      </c>
      <c r="M810" s="7">
        <f t="shared" ca="1" si="235"/>
        <v>818</v>
      </c>
      <c r="N810" s="44">
        <f t="shared" ca="1" si="236"/>
        <v>10</v>
      </c>
      <c r="O810" s="94">
        <f t="shared" ca="1" si="237"/>
        <v>2.5877599795741038</v>
      </c>
      <c r="P810" s="94">
        <f t="shared" ca="1" si="238"/>
        <v>25.877599795741034</v>
      </c>
      <c r="Q810" s="94">
        <f t="shared" ca="1" si="239"/>
        <v>24.982418764598432</v>
      </c>
      <c r="R810" s="94">
        <f t="shared" ca="1" si="240"/>
        <v>2.5430009280169736</v>
      </c>
      <c r="S810" s="94">
        <f t="shared" ca="1" si="241"/>
        <v>2.5877599795741038</v>
      </c>
      <c r="T810" s="4">
        <f t="shared" ca="1" si="242"/>
        <v>0</v>
      </c>
      <c r="U810" s="46">
        <f t="shared" ca="1" si="243"/>
        <v>1446.8868633777442</v>
      </c>
      <c r="V810" s="4">
        <f t="shared" ca="1" si="244"/>
        <v>0</v>
      </c>
      <c r="W810" s="13">
        <f t="shared" ca="1" si="245"/>
        <v>14441.249788841542</v>
      </c>
      <c r="X810" s="4">
        <f t="shared" ca="1" si="246"/>
        <v>0</v>
      </c>
    </row>
    <row r="811" spans="1:24">
      <c r="A811">
        <v>2</v>
      </c>
      <c r="B811">
        <v>0</v>
      </c>
      <c r="C811">
        <f t="shared" si="228"/>
        <v>4</v>
      </c>
      <c r="D811">
        <f t="shared" si="229"/>
        <v>2</v>
      </c>
      <c r="E811">
        <f t="shared" si="230"/>
        <v>2</v>
      </c>
      <c r="F811" s="100">
        <f t="shared" ca="1" si="231"/>
        <v>6.3634999999999997E-2</v>
      </c>
      <c r="G811">
        <v>1</v>
      </c>
      <c r="H811">
        <v>1</v>
      </c>
      <c r="I811">
        <v>3</v>
      </c>
      <c r="J811" s="1">
        <f t="shared" ca="1" si="232"/>
        <v>0</v>
      </c>
      <c r="K811" s="1">
        <f t="shared" ca="1" si="233"/>
        <v>0</v>
      </c>
      <c r="L811" s="13">
        <f t="shared" ca="1" si="234"/>
        <v>169</v>
      </c>
      <c r="M811" s="7">
        <f t="shared" ca="1" si="235"/>
        <v>831</v>
      </c>
      <c r="N811" s="44">
        <f t="shared" ca="1" si="236"/>
        <v>10</v>
      </c>
      <c r="O811" s="94">
        <f t="shared" ca="1" si="237"/>
        <v>2.5877599795741038</v>
      </c>
      <c r="P811" s="94">
        <f t="shared" ca="1" si="238"/>
        <v>25.877599795741034</v>
      </c>
      <c r="Q811" s="94">
        <f t="shared" ca="1" si="239"/>
        <v>25.877599795741034</v>
      </c>
      <c r="R811" s="94">
        <f t="shared" ca="1" si="240"/>
        <v>2.5877599795741033</v>
      </c>
      <c r="S811" s="94">
        <f t="shared" ca="1" si="241"/>
        <v>2.5877599795741038</v>
      </c>
      <c r="T811" s="4">
        <f t="shared" ca="1" si="242"/>
        <v>0</v>
      </c>
      <c r="U811" s="46">
        <f t="shared" ca="1" si="243"/>
        <v>1433.8868633777442</v>
      </c>
      <c r="V811" s="4">
        <f t="shared" ca="1" si="244"/>
        <v>0</v>
      </c>
      <c r="W811" s="13">
        <f t="shared" ca="1" si="245"/>
        <v>13775.57949336966</v>
      </c>
      <c r="X811" s="4">
        <f t="shared" ca="1" si="246"/>
        <v>0</v>
      </c>
    </row>
    <row r="812" spans="1:24">
      <c r="A812">
        <v>2</v>
      </c>
      <c r="B812">
        <v>0</v>
      </c>
      <c r="C812">
        <f t="shared" si="228"/>
        <v>4</v>
      </c>
      <c r="D812">
        <f t="shared" si="229"/>
        <v>2</v>
      </c>
      <c r="E812">
        <f t="shared" si="230"/>
        <v>2</v>
      </c>
      <c r="F812" s="100">
        <f t="shared" ca="1" si="231"/>
        <v>6.3634999999999997E-2</v>
      </c>
      <c r="G812">
        <v>1</v>
      </c>
      <c r="H812">
        <v>1</v>
      </c>
      <c r="I812">
        <v>2</v>
      </c>
      <c r="J812" s="1">
        <f t="shared" ca="1" si="232"/>
        <v>0.92178404999999997</v>
      </c>
      <c r="K812" s="1">
        <f t="shared" ca="1" si="233"/>
        <v>5.8657728021749997E-2</v>
      </c>
      <c r="L812" s="13">
        <f t="shared" ca="1" si="234"/>
        <v>156</v>
      </c>
      <c r="M812" s="7">
        <f t="shared" ca="1" si="235"/>
        <v>844</v>
      </c>
      <c r="N812" s="44">
        <f t="shared" ca="1" si="236"/>
        <v>10</v>
      </c>
      <c r="O812" s="94">
        <f t="shared" ca="1" si="237"/>
        <v>2.5877599795741038</v>
      </c>
      <c r="P812" s="94">
        <f t="shared" ca="1" si="238"/>
        <v>25.877599795741034</v>
      </c>
      <c r="Q812" s="94">
        <f t="shared" ca="1" si="239"/>
        <v>25.877599795741034</v>
      </c>
      <c r="R812" s="94">
        <f t="shared" ca="1" si="240"/>
        <v>2.5877599795741033</v>
      </c>
      <c r="S812" s="94">
        <f t="shared" ca="1" si="241"/>
        <v>2.5877599795741038</v>
      </c>
      <c r="T812" s="4">
        <f t="shared" ca="1" si="242"/>
        <v>0.15179212106742709</v>
      </c>
      <c r="U812" s="46">
        <f t="shared" ca="1" si="243"/>
        <v>1420.8868633777442</v>
      </c>
      <c r="V812" s="4">
        <f t="shared" ca="1" si="244"/>
        <v>83.345995181689162</v>
      </c>
      <c r="W812" s="13">
        <f t="shared" ca="1" si="245"/>
        <v>13109.909197897776</v>
      </c>
      <c r="X812" s="4">
        <f t="shared" ca="1" si="246"/>
        <v>768.99748812012638</v>
      </c>
    </row>
    <row r="813" spans="1:24">
      <c r="A813">
        <v>2</v>
      </c>
      <c r="B813">
        <v>0</v>
      </c>
      <c r="C813">
        <f t="shared" si="228"/>
        <v>4</v>
      </c>
      <c r="D813">
        <f t="shared" si="229"/>
        <v>2</v>
      </c>
      <c r="E813">
        <f t="shared" si="230"/>
        <v>2</v>
      </c>
      <c r="F813" s="100">
        <f t="shared" ca="1" si="231"/>
        <v>6.3634999999999997E-2</v>
      </c>
      <c r="G813">
        <v>1</v>
      </c>
      <c r="H813">
        <v>1</v>
      </c>
      <c r="I813">
        <v>1</v>
      </c>
      <c r="J813" s="1">
        <f t="shared" ca="1" si="232"/>
        <v>1.8621900000000018E-2</v>
      </c>
      <c r="K813" s="1">
        <f t="shared" ca="1" si="233"/>
        <v>1.185004606500001E-3</v>
      </c>
      <c r="L813" s="13">
        <f t="shared" ca="1" si="234"/>
        <v>143</v>
      </c>
      <c r="M813" s="7">
        <f t="shared" ca="1" si="235"/>
        <v>857</v>
      </c>
      <c r="N813" s="44">
        <f t="shared" ca="1" si="236"/>
        <v>10</v>
      </c>
      <c r="O813" s="94">
        <f t="shared" ca="1" si="237"/>
        <v>2.5877599795741038</v>
      </c>
      <c r="P813" s="94">
        <f t="shared" ca="1" si="238"/>
        <v>25.877599795741034</v>
      </c>
      <c r="Q813" s="94">
        <f t="shared" ca="1" si="239"/>
        <v>25.877599795741034</v>
      </c>
      <c r="R813" s="94">
        <f t="shared" ca="1" si="240"/>
        <v>2.5877599795741033</v>
      </c>
      <c r="S813" s="94">
        <f t="shared" ca="1" si="241"/>
        <v>2.5877599795741038</v>
      </c>
      <c r="T813" s="4">
        <f t="shared" ca="1" si="242"/>
        <v>3.0665074963116615E-3</v>
      </c>
      <c r="U813" s="46">
        <f t="shared" ca="1" si="243"/>
        <v>1407.8868633777442</v>
      </c>
      <c r="V813" s="4">
        <f t="shared" ca="1" si="244"/>
        <v>1.6683524185334644</v>
      </c>
      <c r="W813" s="13">
        <f t="shared" ca="1" si="245"/>
        <v>12444.238902425894</v>
      </c>
      <c r="X813" s="4">
        <f t="shared" ca="1" si="246"/>
        <v>14.7464804237612</v>
      </c>
    </row>
    <row r="814" spans="1:24">
      <c r="A814">
        <v>2</v>
      </c>
      <c r="B814">
        <v>0</v>
      </c>
      <c r="C814">
        <f t="shared" si="228"/>
        <v>4</v>
      </c>
      <c r="D814">
        <f t="shared" si="229"/>
        <v>2</v>
      </c>
      <c r="E814">
        <f t="shared" si="230"/>
        <v>2</v>
      </c>
      <c r="F814" s="100">
        <f t="shared" ca="1" si="231"/>
        <v>6.3634999999999997E-2</v>
      </c>
      <c r="G814">
        <v>1</v>
      </c>
      <c r="H814">
        <v>1</v>
      </c>
      <c r="I814">
        <v>0</v>
      </c>
      <c r="J814" s="1">
        <f t="shared" ca="1" si="232"/>
        <v>9.4050000000000172E-5</v>
      </c>
      <c r="K814" s="1">
        <f t="shared" ca="1" si="233"/>
        <v>5.9848717500000105E-6</v>
      </c>
      <c r="L814" s="13">
        <f t="shared" ca="1" si="234"/>
        <v>130</v>
      </c>
      <c r="M814" s="7">
        <f t="shared" ca="1" si="235"/>
        <v>870</v>
      </c>
      <c r="N814" s="44">
        <f t="shared" ca="1" si="236"/>
        <v>10</v>
      </c>
      <c r="O814" s="94">
        <f t="shared" ca="1" si="237"/>
        <v>2.5877599795741038</v>
      </c>
      <c r="P814" s="94">
        <f t="shared" ca="1" si="238"/>
        <v>25.877599795741034</v>
      </c>
      <c r="Q814" s="94">
        <f t="shared" ca="1" si="239"/>
        <v>25.877599795741034</v>
      </c>
      <c r="R814" s="94">
        <f t="shared" ca="1" si="240"/>
        <v>2.5877599795741033</v>
      </c>
      <c r="S814" s="94">
        <f t="shared" ca="1" si="241"/>
        <v>2.5877599795741038</v>
      </c>
      <c r="T814" s="4">
        <f t="shared" ca="1" si="242"/>
        <v>1.5487411597533657E-5</v>
      </c>
      <c r="U814" s="46">
        <f t="shared" ca="1" si="243"/>
        <v>1394.8868633777442</v>
      </c>
      <c r="V814" s="4">
        <f t="shared" ca="1" si="244"/>
        <v>8.3482189830755855E-3</v>
      </c>
      <c r="W814" s="13">
        <f t="shared" ca="1" si="245"/>
        <v>11778.56860695401</v>
      </c>
      <c r="X814" s="4">
        <f t="shared" ca="1" si="246"/>
        <v>7.0493222511196024E-2</v>
      </c>
    </row>
    <row r="815" spans="1:24">
      <c r="A815">
        <v>2</v>
      </c>
      <c r="B815">
        <v>0</v>
      </c>
      <c r="C815">
        <f t="shared" si="228"/>
        <v>4</v>
      </c>
      <c r="D815">
        <f t="shared" si="229"/>
        <v>2</v>
      </c>
      <c r="E815">
        <f t="shared" si="230"/>
        <v>2</v>
      </c>
      <c r="F815" s="100">
        <f t="shared" ca="1" si="231"/>
        <v>6.3634999999999997E-2</v>
      </c>
      <c r="G815">
        <v>1</v>
      </c>
      <c r="H815">
        <v>0</v>
      </c>
      <c r="I815">
        <v>7</v>
      </c>
      <c r="J815" s="1">
        <f t="shared" ca="1" si="232"/>
        <v>0</v>
      </c>
      <c r="K815" s="1">
        <f t="shared" ca="1" si="233"/>
        <v>0</v>
      </c>
      <c r="L815" s="13">
        <f t="shared" ca="1" si="234"/>
        <v>156</v>
      </c>
      <c r="M815" s="7">
        <f t="shared" ca="1" si="235"/>
        <v>844</v>
      </c>
      <c r="N815" s="44">
        <f t="shared" ca="1" si="236"/>
        <v>10</v>
      </c>
      <c r="O815" s="94">
        <f t="shared" ca="1" si="237"/>
        <v>2.5877599795741038</v>
      </c>
      <c r="P815" s="94">
        <f t="shared" ca="1" si="238"/>
        <v>25.877599795741034</v>
      </c>
      <c r="Q815" s="94">
        <f t="shared" ca="1" si="239"/>
        <v>25.877599795741034</v>
      </c>
      <c r="R815" s="94">
        <f t="shared" ca="1" si="240"/>
        <v>2.5877599795741033</v>
      </c>
      <c r="S815" s="94">
        <f t="shared" ca="1" si="241"/>
        <v>2.5877599795741038</v>
      </c>
      <c r="T815" s="4">
        <f t="shared" ca="1" si="242"/>
        <v>0</v>
      </c>
      <c r="U815" s="46">
        <f t="shared" ca="1" si="243"/>
        <v>1420.8868633777442</v>
      </c>
      <c r="V815" s="4">
        <f t="shared" ca="1" si="244"/>
        <v>0</v>
      </c>
      <c r="W815" s="13">
        <f t="shared" ca="1" si="245"/>
        <v>15972.716608816479</v>
      </c>
      <c r="X815" s="4">
        <f t="shared" ca="1" si="246"/>
        <v>0</v>
      </c>
    </row>
    <row r="816" spans="1:24">
      <c r="A816">
        <v>2</v>
      </c>
      <c r="B816">
        <v>0</v>
      </c>
      <c r="C816">
        <f t="shared" si="228"/>
        <v>4</v>
      </c>
      <c r="D816">
        <f t="shared" si="229"/>
        <v>2</v>
      </c>
      <c r="E816">
        <f t="shared" si="230"/>
        <v>2</v>
      </c>
      <c r="F816" s="100">
        <f t="shared" ca="1" si="231"/>
        <v>6.3634999999999997E-2</v>
      </c>
      <c r="G816">
        <v>1</v>
      </c>
      <c r="H816">
        <v>0</v>
      </c>
      <c r="I816">
        <v>6</v>
      </c>
      <c r="J816" s="1">
        <f t="shared" ca="1" si="232"/>
        <v>0</v>
      </c>
      <c r="K816" s="1">
        <f t="shared" ca="1" si="233"/>
        <v>0</v>
      </c>
      <c r="L816" s="13">
        <f t="shared" ca="1" si="234"/>
        <v>143</v>
      </c>
      <c r="M816" s="7">
        <f t="shared" ca="1" si="235"/>
        <v>857</v>
      </c>
      <c r="N816" s="44">
        <f t="shared" ca="1" si="236"/>
        <v>10</v>
      </c>
      <c r="O816" s="94">
        <f t="shared" ca="1" si="237"/>
        <v>2.5877599795741038</v>
      </c>
      <c r="P816" s="94">
        <f t="shared" ca="1" si="238"/>
        <v>25.877599795741034</v>
      </c>
      <c r="Q816" s="94">
        <f t="shared" ca="1" si="239"/>
        <v>25.877599795741034</v>
      </c>
      <c r="R816" s="94">
        <f t="shared" ca="1" si="240"/>
        <v>2.5877599795741033</v>
      </c>
      <c r="S816" s="94">
        <f t="shared" ca="1" si="241"/>
        <v>2.5877599795741038</v>
      </c>
      <c r="T816" s="4">
        <f t="shared" ca="1" si="242"/>
        <v>0</v>
      </c>
      <c r="U816" s="46">
        <f t="shared" ca="1" si="243"/>
        <v>1407.8868633777442</v>
      </c>
      <c r="V816" s="4">
        <f t="shared" ca="1" si="244"/>
        <v>0</v>
      </c>
      <c r="W816" s="13">
        <f t="shared" ca="1" si="245"/>
        <v>15307.046313344596</v>
      </c>
      <c r="X816" s="4">
        <f t="shared" ca="1" si="246"/>
        <v>0</v>
      </c>
    </row>
    <row r="817" spans="1:24">
      <c r="A817">
        <v>2</v>
      </c>
      <c r="B817">
        <v>0</v>
      </c>
      <c r="C817">
        <f t="shared" si="228"/>
        <v>4</v>
      </c>
      <c r="D817">
        <f t="shared" si="229"/>
        <v>2</v>
      </c>
      <c r="E817">
        <f t="shared" si="230"/>
        <v>2</v>
      </c>
      <c r="F817" s="100">
        <f t="shared" ca="1" si="231"/>
        <v>6.3634999999999997E-2</v>
      </c>
      <c r="G817">
        <v>1</v>
      </c>
      <c r="H817">
        <v>0</v>
      </c>
      <c r="I817">
        <v>5</v>
      </c>
      <c r="J817" s="1">
        <f t="shared" ca="1" si="232"/>
        <v>0</v>
      </c>
      <c r="K817" s="1">
        <f t="shared" ca="1" si="233"/>
        <v>0</v>
      </c>
      <c r="L817" s="13">
        <f t="shared" ca="1" si="234"/>
        <v>130</v>
      </c>
      <c r="M817" s="7">
        <f t="shared" ca="1" si="235"/>
        <v>870</v>
      </c>
      <c r="N817" s="44">
        <f t="shared" ca="1" si="236"/>
        <v>10</v>
      </c>
      <c r="O817" s="94">
        <f t="shared" ca="1" si="237"/>
        <v>2.5877599795741038</v>
      </c>
      <c r="P817" s="94">
        <f t="shared" ca="1" si="238"/>
        <v>25.877599795741034</v>
      </c>
      <c r="Q817" s="94">
        <f t="shared" ca="1" si="239"/>
        <v>25.877599795741034</v>
      </c>
      <c r="R817" s="94">
        <f t="shared" ca="1" si="240"/>
        <v>2.5877599795741033</v>
      </c>
      <c r="S817" s="94">
        <f t="shared" ca="1" si="241"/>
        <v>2.5877599795741038</v>
      </c>
      <c r="T817" s="4">
        <f t="shared" ca="1" si="242"/>
        <v>0</v>
      </c>
      <c r="U817" s="46">
        <f t="shared" ca="1" si="243"/>
        <v>1394.8868633777442</v>
      </c>
      <c r="V817" s="4">
        <f t="shared" ca="1" si="244"/>
        <v>0</v>
      </c>
      <c r="W817" s="13">
        <f t="shared" ca="1" si="245"/>
        <v>14641.376017872713</v>
      </c>
      <c r="X817" s="4">
        <f t="shared" ca="1" si="246"/>
        <v>0</v>
      </c>
    </row>
    <row r="818" spans="1:24">
      <c r="A818">
        <v>2</v>
      </c>
      <c r="B818">
        <v>0</v>
      </c>
      <c r="C818">
        <f t="shared" si="228"/>
        <v>4</v>
      </c>
      <c r="D818">
        <f t="shared" si="229"/>
        <v>2</v>
      </c>
      <c r="E818">
        <f t="shared" si="230"/>
        <v>2</v>
      </c>
      <c r="F818" s="100">
        <f t="shared" ca="1" si="231"/>
        <v>6.3634999999999997E-2</v>
      </c>
      <c r="G818">
        <v>1</v>
      </c>
      <c r="H818">
        <v>0</v>
      </c>
      <c r="I818">
        <v>4</v>
      </c>
      <c r="J818" s="1">
        <f t="shared" ca="1" si="232"/>
        <v>0</v>
      </c>
      <c r="K818" s="1">
        <f t="shared" ca="1" si="233"/>
        <v>0</v>
      </c>
      <c r="L818" s="13">
        <f t="shared" ca="1" si="234"/>
        <v>117</v>
      </c>
      <c r="M818" s="7">
        <f t="shared" ca="1" si="235"/>
        <v>883</v>
      </c>
      <c r="N818" s="44">
        <f t="shared" ca="1" si="236"/>
        <v>10</v>
      </c>
      <c r="O818" s="94">
        <f t="shared" ca="1" si="237"/>
        <v>2.5877599795741038</v>
      </c>
      <c r="P818" s="94">
        <f t="shared" ca="1" si="238"/>
        <v>25.877599795741034</v>
      </c>
      <c r="Q818" s="94">
        <f t="shared" ca="1" si="239"/>
        <v>25.877599795741034</v>
      </c>
      <c r="R818" s="94">
        <f t="shared" ca="1" si="240"/>
        <v>2.5877599795741033</v>
      </c>
      <c r="S818" s="94">
        <f t="shared" ca="1" si="241"/>
        <v>2.5877599795741038</v>
      </c>
      <c r="T818" s="4">
        <f t="shared" ca="1" si="242"/>
        <v>0</v>
      </c>
      <c r="U818" s="46">
        <f t="shared" ca="1" si="243"/>
        <v>1381.8868633777442</v>
      </c>
      <c r="V818" s="4">
        <f t="shared" ca="1" si="244"/>
        <v>0</v>
      </c>
      <c r="W818" s="13">
        <f t="shared" ca="1" si="245"/>
        <v>13975.705722400829</v>
      </c>
      <c r="X818" s="4">
        <f t="shared" ca="1" si="246"/>
        <v>0</v>
      </c>
    </row>
    <row r="819" spans="1:24">
      <c r="A819">
        <v>2</v>
      </c>
      <c r="B819">
        <v>0</v>
      </c>
      <c r="C819">
        <f t="shared" si="228"/>
        <v>4</v>
      </c>
      <c r="D819">
        <f t="shared" si="229"/>
        <v>2</v>
      </c>
      <c r="E819">
        <f t="shared" si="230"/>
        <v>2</v>
      </c>
      <c r="F819" s="100">
        <f t="shared" ca="1" si="231"/>
        <v>6.3634999999999997E-2</v>
      </c>
      <c r="G819">
        <v>1</v>
      </c>
      <c r="H819">
        <v>0</v>
      </c>
      <c r="I819">
        <v>3</v>
      </c>
      <c r="J819" s="1">
        <f t="shared" ca="1" si="232"/>
        <v>0</v>
      </c>
      <c r="K819" s="1">
        <f t="shared" ca="1" si="233"/>
        <v>0</v>
      </c>
      <c r="L819" s="13">
        <f t="shared" ca="1" si="234"/>
        <v>104</v>
      </c>
      <c r="M819" s="7">
        <f t="shared" ca="1" si="235"/>
        <v>896</v>
      </c>
      <c r="N819" s="44">
        <f t="shared" ca="1" si="236"/>
        <v>11</v>
      </c>
      <c r="O819" s="94">
        <f t="shared" ca="1" si="237"/>
        <v>2.8265749241644089</v>
      </c>
      <c r="P819" s="94">
        <f t="shared" ca="1" si="238"/>
        <v>27.071674518692554</v>
      </c>
      <c r="Q819" s="94">
        <f t="shared" ca="1" si="239"/>
        <v>25.877599795741034</v>
      </c>
      <c r="R819" s="94">
        <f t="shared" ca="1" si="240"/>
        <v>2.6474637157216794</v>
      </c>
      <c r="S819" s="94">
        <f t="shared" ca="1" si="241"/>
        <v>2.8265749241644089</v>
      </c>
      <c r="T819" s="4">
        <f t="shared" ca="1" si="242"/>
        <v>0</v>
      </c>
      <c r="U819" s="46">
        <f t="shared" ca="1" si="243"/>
        <v>1466.7163216869442</v>
      </c>
      <c r="V819" s="4">
        <f t="shared" ca="1" si="244"/>
        <v>0</v>
      </c>
      <c r="W819" s="13">
        <f t="shared" ca="1" si="245"/>
        <v>13310.035426928947</v>
      </c>
      <c r="X819" s="4">
        <f t="shared" ca="1" si="246"/>
        <v>0</v>
      </c>
    </row>
    <row r="820" spans="1:24">
      <c r="A820">
        <v>2</v>
      </c>
      <c r="B820">
        <v>0</v>
      </c>
      <c r="C820">
        <f t="shared" si="228"/>
        <v>4</v>
      </c>
      <c r="D820">
        <f t="shared" si="229"/>
        <v>2</v>
      </c>
      <c r="E820">
        <f t="shared" si="230"/>
        <v>2</v>
      </c>
      <c r="F820" s="100">
        <f t="shared" ca="1" si="231"/>
        <v>6.3634999999999997E-2</v>
      </c>
      <c r="G820">
        <v>1</v>
      </c>
      <c r="H820">
        <v>0</v>
      </c>
      <c r="I820">
        <v>2</v>
      </c>
      <c r="J820" s="1">
        <f t="shared" ca="1" si="232"/>
        <v>9.3109500000000088E-3</v>
      </c>
      <c r="K820" s="1">
        <f t="shared" ca="1" si="233"/>
        <v>5.9250230325000048E-4</v>
      </c>
      <c r="L820" s="13">
        <f t="shared" ca="1" si="234"/>
        <v>91</v>
      </c>
      <c r="M820" s="7">
        <f t="shared" ca="1" si="235"/>
        <v>909</v>
      </c>
      <c r="N820" s="44">
        <f t="shared" ca="1" si="236"/>
        <v>11</v>
      </c>
      <c r="O820" s="94">
        <f t="shared" ca="1" si="237"/>
        <v>2.8265749241644089</v>
      </c>
      <c r="P820" s="94">
        <f t="shared" ca="1" si="238"/>
        <v>28.265749241644084</v>
      </c>
      <c r="Q820" s="94">
        <f t="shared" ca="1" si="239"/>
        <v>27.788119352463475</v>
      </c>
      <c r="R820" s="94">
        <f t="shared" ca="1" si="240"/>
        <v>2.8026934297053776</v>
      </c>
      <c r="S820" s="94">
        <f t="shared" ca="1" si="241"/>
        <v>2.8265749241644089</v>
      </c>
      <c r="T820" s="4">
        <f t="shared" ca="1" si="242"/>
        <v>1.6747521528761077E-3</v>
      </c>
      <c r="U820" s="46">
        <f t="shared" ca="1" si="243"/>
        <v>1453.7163216869442</v>
      </c>
      <c r="V820" s="4">
        <f t="shared" ca="1" si="244"/>
        <v>0.86133026887163311</v>
      </c>
      <c r="W820" s="13">
        <f t="shared" ca="1" si="245"/>
        <v>12644.365131457063</v>
      </c>
      <c r="X820" s="4">
        <f t="shared" ca="1" si="246"/>
        <v>7.4918154635223049</v>
      </c>
    </row>
    <row r="821" spans="1:24">
      <c r="A821">
        <v>2</v>
      </c>
      <c r="B821">
        <v>0</v>
      </c>
      <c r="C821">
        <f t="shared" si="228"/>
        <v>4</v>
      </c>
      <c r="D821">
        <f t="shared" si="229"/>
        <v>2</v>
      </c>
      <c r="E821">
        <f t="shared" si="230"/>
        <v>2</v>
      </c>
      <c r="F821" s="100">
        <f t="shared" ca="1" si="231"/>
        <v>6.3634999999999997E-2</v>
      </c>
      <c r="G821">
        <v>1</v>
      </c>
      <c r="H821">
        <v>0</v>
      </c>
      <c r="I821">
        <v>1</v>
      </c>
      <c r="J821" s="1">
        <f t="shared" ca="1" si="232"/>
        <v>1.8810000000000034E-4</v>
      </c>
      <c r="K821" s="1">
        <f t="shared" ca="1" si="233"/>
        <v>1.1969743500000021E-5</v>
      </c>
      <c r="L821" s="13">
        <f t="shared" ca="1" si="234"/>
        <v>78</v>
      </c>
      <c r="M821" s="7">
        <f t="shared" ca="1" si="235"/>
        <v>922</v>
      </c>
      <c r="N821" s="44">
        <f t="shared" ca="1" si="236"/>
        <v>11</v>
      </c>
      <c r="O821" s="94">
        <f t="shared" ca="1" si="237"/>
        <v>2.8265749241644089</v>
      </c>
      <c r="P821" s="94">
        <f t="shared" ca="1" si="238"/>
        <v>28.265749241644084</v>
      </c>
      <c r="Q821" s="94">
        <f t="shared" ca="1" si="239"/>
        <v>28.265749241644084</v>
      </c>
      <c r="R821" s="94">
        <f t="shared" ca="1" si="240"/>
        <v>2.8265749241644085</v>
      </c>
      <c r="S821" s="94">
        <f t="shared" ca="1" si="241"/>
        <v>2.8265749241644089</v>
      </c>
      <c r="T821" s="4">
        <f t="shared" ca="1" si="242"/>
        <v>3.3833376825779984E-5</v>
      </c>
      <c r="U821" s="46">
        <f t="shared" ca="1" si="243"/>
        <v>1440.7163216869442</v>
      </c>
      <c r="V821" s="4">
        <f t="shared" ca="1" si="244"/>
        <v>1.7245004826856241E-2</v>
      </c>
      <c r="W821" s="13">
        <f t="shared" ca="1" si="245"/>
        <v>11978.694835985181</v>
      </c>
      <c r="X821" s="4">
        <f t="shared" ca="1" si="246"/>
        <v>0.14338190465151743</v>
      </c>
    </row>
    <row r="822" spans="1:24">
      <c r="A822">
        <v>2</v>
      </c>
      <c r="B822">
        <v>0</v>
      </c>
      <c r="C822">
        <f t="shared" si="228"/>
        <v>4</v>
      </c>
      <c r="D822">
        <f t="shared" si="229"/>
        <v>2</v>
      </c>
      <c r="E822">
        <f t="shared" si="230"/>
        <v>2</v>
      </c>
      <c r="F822" s="100">
        <f t="shared" ca="1" si="231"/>
        <v>6.3634999999999997E-2</v>
      </c>
      <c r="G822">
        <v>1</v>
      </c>
      <c r="H822">
        <v>0</v>
      </c>
      <c r="I822">
        <v>0</v>
      </c>
      <c r="J822" s="1">
        <f t="shared" ca="1" si="232"/>
        <v>9.5000000000000255E-7</v>
      </c>
      <c r="K822" s="1">
        <f t="shared" ca="1" si="233"/>
        <v>6.0453250000000158E-8</v>
      </c>
      <c r="L822" s="13">
        <f t="shared" ca="1" si="234"/>
        <v>65</v>
      </c>
      <c r="M822" s="7">
        <f t="shared" ca="1" si="235"/>
        <v>935</v>
      </c>
      <c r="N822" s="44">
        <f t="shared" ca="1" si="236"/>
        <v>11</v>
      </c>
      <c r="O822" s="94">
        <f t="shared" ca="1" si="237"/>
        <v>2.8265749241644089</v>
      </c>
      <c r="P822" s="94">
        <f t="shared" ca="1" si="238"/>
        <v>28.265749241644084</v>
      </c>
      <c r="Q822" s="94">
        <f t="shared" ca="1" si="239"/>
        <v>28.265749241644084</v>
      </c>
      <c r="R822" s="94">
        <f t="shared" ca="1" si="240"/>
        <v>2.8265749241644085</v>
      </c>
      <c r="S822" s="94">
        <f t="shared" ca="1" si="241"/>
        <v>2.8265749241644089</v>
      </c>
      <c r="T822" s="4">
        <f t="shared" ca="1" si="242"/>
        <v>1.7087564053424249E-7</v>
      </c>
      <c r="U822" s="46">
        <f t="shared" ca="1" si="243"/>
        <v>1427.7163216869442</v>
      </c>
      <c r="V822" s="4">
        <f t="shared" ca="1" si="244"/>
        <v>8.6310091724021477E-5</v>
      </c>
      <c r="W822" s="13">
        <f t="shared" ca="1" si="245"/>
        <v>11313.024540513297</v>
      </c>
      <c r="X822" s="4">
        <f t="shared" ca="1" si="246"/>
        <v>6.8390910080378732E-4</v>
      </c>
    </row>
    <row r="823" spans="1:24">
      <c r="A823">
        <v>2</v>
      </c>
      <c r="B823">
        <v>0</v>
      </c>
      <c r="C823">
        <f t="shared" si="228"/>
        <v>4</v>
      </c>
      <c r="D823">
        <f t="shared" si="229"/>
        <v>2</v>
      </c>
      <c r="E823">
        <f t="shared" si="230"/>
        <v>2</v>
      </c>
      <c r="F823" s="100">
        <f t="shared" ca="1" si="231"/>
        <v>6.3634999999999997E-2</v>
      </c>
      <c r="G823">
        <v>0</v>
      </c>
      <c r="H823">
        <v>1</v>
      </c>
      <c r="I823">
        <v>7</v>
      </c>
      <c r="J823" s="1">
        <f t="shared" ca="1" si="232"/>
        <v>0</v>
      </c>
      <c r="K823" s="1">
        <f t="shared" ca="1" si="233"/>
        <v>0</v>
      </c>
      <c r="L823" s="13">
        <f t="shared" ca="1" si="234"/>
        <v>156</v>
      </c>
      <c r="M823" s="7">
        <f t="shared" ca="1" si="235"/>
        <v>844</v>
      </c>
      <c r="N823" s="44">
        <f t="shared" ca="1" si="236"/>
        <v>10</v>
      </c>
      <c r="O823" s="94">
        <f t="shared" ca="1" si="237"/>
        <v>2.5877599795741038</v>
      </c>
      <c r="P823" s="94">
        <f t="shared" ca="1" si="238"/>
        <v>25.877599795741034</v>
      </c>
      <c r="Q823" s="94">
        <f t="shared" ca="1" si="239"/>
        <v>25.877599795741034</v>
      </c>
      <c r="R823" s="94">
        <f t="shared" ca="1" si="240"/>
        <v>2.5877599795741033</v>
      </c>
      <c r="S823" s="94">
        <f t="shared" ca="1" si="241"/>
        <v>2.5877599795741038</v>
      </c>
      <c r="T823" s="4">
        <f t="shared" ca="1" si="242"/>
        <v>0</v>
      </c>
      <c r="U823" s="46">
        <f t="shared" ca="1" si="243"/>
        <v>1420.8868633777442</v>
      </c>
      <c r="V823" s="4">
        <f t="shared" ca="1" si="244"/>
        <v>0</v>
      </c>
      <c r="W823" s="13">
        <f t="shared" ca="1" si="245"/>
        <v>5125.2361347438955</v>
      </c>
      <c r="X823" s="4">
        <f t="shared" ca="1" si="246"/>
        <v>0</v>
      </c>
    </row>
    <row r="824" spans="1:24">
      <c r="A824">
        <v>2</v>
      </c>
      <c r="B824">
        <v>0</v>
      </c>
      <c r="C824">
        <f t="shared" si="228"/>
        <v>4</v>
      </c>
      <c r="D824">
        <f t="shared" si="229"/>
        <v>2</v>
      </c>
      <c r="E824">
        <f t="shared" si="230"/>
        <v>2</v>
      </c>
      <c r="F824" s="100">
        <f t="shared" ca="1" si="231"/>
        <v>6.3634999999999997E-2</v>
      </c>
      <c r="G824">
        <v>0</v>
      </c>
      <c r="H824">
        <v>1</v>
      </c>
      <c r="I824">
        <v>6</v>
      </c>
      <c r="J824" s="1">
        <f t="shared" ca="1" si="232"/>
        <v>0</v>
      </c>
      <c r="K824" s="1">
        <f t="shared" ca="1" si="233"/>
        <v>0</v>
      </c>
      <c r="L824" s="13">
        <f t="shared" ca="1" si="234"/>
        <v>143</v>
      </c>
      <c r="M824" s="7">
        <f t="shared" ca="1" si="235"/>
        <v>857</v>
      </c>
      <c r="N824" s="44">
        <f t="shared" ca="1" si="236"/>
        <v>10</v>
      </c>
      <c r="O824" s="94">
        <f t="shared" ca="1" si="237"/>
        <v>2.5877599795741038</v>
      </c>
      <c r="P824" s="94">
        <f t="shared" ca="1" si="238"/>
        <v>25.877599795741034</v>
      </c>
      <c r="Q824" s="94">
        <f t="shared" ca="1" si="239"/>
        <v>25.877599795741034</v>
      </c>
      <c r="R824" s="94">
        <f t="shared" ca="1" si="240"/>
        <v>2.5877599795741033</v>
      </c>
      <c r="S824" s="94">
        <f t="shared" ca="1" si="241"/>
        <v>2.5877599795741038</v>
      </c>
      <c r="T824" s="4">
        <f t="shared" ca="1" si="242"/>
        <v>0</v>
      </c>
      <c r="U824" s="46">
        <f t="shared" ca="1" si="243"/>
        <v>1407.8868633777442</v>
      </c>
      <c r="V824" s="4">
        <f t="shared" ca="1" si="244"/>
        <v>0</v>
      </c>
      <c r="W824" s="13">
        <f t="shared" ca="1" si="245"/>
        <v>4459.5658392720125</v>
      </c>
      <c r="X824" s="4">
        <f t="shared" ca="1" si="246"/>
        <v>0</v>
      </c>
    </row>
    <row r="825" spans="1:24">
      <c r="A825">
        <v>2</v>
      </c>
      <c r="B825">
        <v>0</v>
      </c>
      <c r="C825">
        <f t="shared" si="228"/>
        <v>4</v>
      </c>
      <c r="D825">
        <f t="shared" si="229"/>
        <v>2</v>
      </c>
      <c r="E825">
        <f t="shared" si="230"/>
        <v>2</v>
      </c>
      <c r="F825" s="100">
        <f t="shared" ca="1" si="231"/>
        <v>6.3634999999999997E-2</v>
      </c>
      <c r="G825">
        <v>0</v>
      </c>
      <c r="H825">
        <v>1</v>
      </c>
      <c r="I825">
        <v>5</v>
      </c>
      <c r="J825" s="1">
        <f t="shared" ca="1" si="232"/>
        <v>0</v>
      </c>
      <c r="K825" s="1">
        <f t="shared" ca="1" si="233"/>
        <v>0</v>
      </c>
      <c r="L825" s="13">
        <f t="shared" ca="1" si="234"/>
        <v>130</v>
      </c>
      <c r="M825" s="7">
        <f t="shared" ca="1" si="235"/>
        <v>870</v>
      </c>
      <c r="N825" s="44">
        <f t="shared" ca="1" si="236"/>
        <v>10</v>
      </c>
      <c r="O825" s="94">
        <f t="shared" ca="1" si="237"/>
        <v>2.5877599795741038</v>
      </c>
      <c r="P825" s="94">
        <f t="shared" ca="1" si="238"/>
        <v>25.877599795741034</v>
      </c>
      <c r="Q825" s="94">
        <f t="shared" ca="1" si="239"/>
        <v>25.877599795741034</v>
      </c>
      <c r="R825" s="94">
        <f t="shared" ca="1" si="240"/>
        <v>2.5877599795741033</v>
      </c>
      <c r="S825" s="94">
        <f t="shared" ca="1" si="241"/>
        <v>2.5877599795741038</v>
      </c>
      <c r="T825" s="4">
        <f t="shared" ca="1" si="242"/>
        <v>0</v>
      </c>
      <c r="U825" s="46">
        <f t="shared" ca="1" si="243"/>
        <v>1394.8868633777442</v>
      </c>
      <c r="V825" s="4">
        <f t="shared" ca="1" si="244"/>
        <v>0</v>
      </c>
      <c r="W825" s="13">
        <f t="shared" ca="1" si="245"/>
        <v>3793.895543800129</v>
      </c>
      <c r="X825" s="4">
        <f t="shared" ca="1" si="246"/>
        <v>0</v>
      </c>
    </row>
    <row r="826" spans="1:24">
      <c r="A826">
        <v>2</v>
      </c>
      <c r="B826">
        <v>0</v>
      </c>
      <c r="C826">
        <f t="shared" si="228"/>
        <v>4</v>
      </c>
      <c r="D826">
        <f t="shared" si="229"/>
        <v>2</v>
      </c>
      <c r="E826">
        <f t="shared" si="230"/>
        <v>2</v>
      </c>
      <c r="F826" s="100">
        <f t="shared" ca="1" si="231"/>
        <v>6.3634999999999997E-2</v>
      </c>
      <c r="G826">
        <v>0</v>
      </c>
      <c r="H826">
        <v>1</v>
      </c>
      <c r="I826">
        <v>4</v>
      </c>
      <c r="J826" s="1">
        <f t="shared" ca="1" si="232"/>
        <v>0</v>
      </c>
      <c r="K826" s="1">
        <f t="shared" ca="1" si="233"/>
        <v>0</v>
      </c>
      <c r="L826" s="13">
        <f t="shared" ca="1" si="234"/>
        <v>117</v>
      </c>
      <c r="M826" s="7">
        <f t="shared" ca="1" si="235"/>
        <v>883</v>
      </c>
      <c r="N826" s="44">
        <f t="shared" ca="1" si="236"/>
        <v>10</v>
      </c>
      <c r="O826" s="94">
        <f t="shared" ca="1" si="237"/>
        <v>2.5877599795741038</v>
      </c>
      <c r="P826" s="94">
        <f t="shared" ca="1" si="238"/>
        <v>25.877599795741034</v>
      </c>
      <c r="Q826" s="94">
        <f t="shared" ca="1" si="239"/>
        <v>25.877599795741034</v>
      </c>
      <c r="R826" s="94">
        <f t="shared" ca="1" si="240"/>
        <v>2.5877599795741033</v>
      </c>
      <c r="S826" s="94">
        <f t="shared" ca="1" si="241"/>
        <v>2.5877599795741038</v>
      </c>
      <c r="T826" s="4">
        <f t="shared" ca="1" si="242"/>
        <v>0</v>
      </c>
      <c r="U826" s="46">
        <f t="shared" ca="1" si="243"/>
        <v>1381.8868633777442</v>
      </c>
      <c r="V826" s="4">
        <f t="shared" ca="1" si="244"/>
        <v>0</v>
      </c>
      <c r="W826" s="13">
        <f t="shared" ca="1" si="245"/>
        <v>3128.2252483282455</v>
      </c>
      <c r="X826" s="4">
        <f t="shared" ca="1" si="246"/>
        <v>0</v>
      </c>
    </row>
    <row r="827" spans="1:24">
      <c r="A827">
        <v>2</v>
      </c>
      <c r="B827">
        <v>0</v>
      </c>
      <c r="C827">
        <f t="shared" si="228"/>
        <v>4</v>
      </c>
      <c r="D827">
        <f t="shared" si="229"/>
        <v>2</v>
      </c>
      <c r="E827">
        <f t="shared" si="230"/>
        <v>2</v>
      </c>
      <c r="F827" s="100">
        <f t="shared" ca="1" si="231"/>
        <v>6.3634999999999997E-2</v>
      </c>
      <c r="G827">
        <v>0</v>
      </c>
      <c r="H827">
        <v>1</v>
      </c>
      <c r="I827">
        <v>3</v>
      </c>
      <c r="J827" s="1">
        <f t="shared" ca="1" si="232"/>
        <v>0</v>
      </c>
      <c r="K827" s="1">
        <f t="shared" ca="1" si="233"/>
        <v>0</v>
      </c>
      <c r="L827" s="13">
        <f t="shared" ca="1" si="234"/>
        <v>104</v>
      </c>
      <c r="M827" s="7">
        <f t="shared" ca="1" si="235"/>
        <v>896</v>
      </c>
      <c r="N827" s="44">
        <f t="shared" ca="1" si="236"/>
        <v>11</v>
      </c>
      <c r="O827" s="94">
        <f t="shared" ca="1" si="237"/>
        <v>2.8265749241644089</v>
      </c>
      <c r="P827" s="94">
        <f t="shared" ca="1" si="238"/>
        <v>27.071674518692554</v>
      </c>
      <c r="Q827" s="94">
        <f t="shared" ca="1" si="239"/>
        <v>25.877599795741034</v>
      </c>
      <c r="R827" s="94">
        <f t="shared" ca="1" si="240"/>
        <v>2.6474637157216794</v>
      </c>
      <c r="S827" s="94">
        <f t="shared" ca="1" si="241"/>
        <v>2.8265749241644089</v>
      </c>
      <c r="T827" s="4">
        <f t="shared" ca="1" si="242"/>
        <v>0</v>
      </c>
      <c r="U827" s="46">
        <f t="shared" ca="1" si="243"/>
        <v>1466.7163216869442</v>
      </c>
      <c r="V827" s="4">
        <f t="shared" ca="1" si="244"/>
        <v>0</v>
      </c>
      <c r="W827" s="13">
        <f t="shared" ca="1" si="245"/>
        <v>2462.5549528563624</v>
      </c>
      <c r="X827" s="4">
        <f t="shared" ca="1" si="246"/>
        <v>0</v>
      </c>
    </row>
    <row r="828" spans="1:24">
      <c r="A828">
        <v>2</v>
      </c>
      <c r="B828">
        <v>0</v>
      </c>
      <c r="C828">
        <f t="shared" si="228"/>
        <v>4</v>
      </c>
      <c r="D828">
        <f t="shared" si="229"/>
        <v>2</v>
      </c>
      <c r="E828">
        <f t="shared" si="230"/>
        <v>2</v>
      </c>
      <c r="F828" s="100">
        <f t="shared" ca="1" si="231"/>
        <v>6.3634999999999997E-2</v>
      </c>
      <c r="G828">
        <v>0</v>
      </c>
      <c r="H828">
        <v>1</v>
      </c>
      <c r="I828">
        <v>2</v>
      </c>
      <c r="J828" s="1">
        <f t="shared" ca="1" si="232"/>
        <v>4.8514950000000001E-2</v>
      </c>
      <c r="K828" s="1">
        <f t="shared" ca="1" si="233"/>
        <v>3.0872488432500001E-3</v>
      </c>
      <c r="L828" s="13">
        <f t="shared" ca="1" si="234"/>
        <v>91</v>
      </c>
      <c r="M828" s="7">
        <f t="shared" ca="1" si="235"/>
        <v>909</v>
      </c>
      <c r="N828" s="44">
        <f t="shared" ca="1" si="236"/>
        <v>11</v>
      </c>
      <c r="O828" s="94">
        <f t="shared" ca="1" si="237"/>
        <v>2.8265749241644089</v>
      </c>
      <c r="P828" s="94">
        <f t="shared" ca="1" si="238"/>
        <v>28.265749241644084</v>
      </c>
      <c r="Q828" s="94">
        <f t="shared" ca="1" si="239"/>
        <v>27.788119352463475</v>
      </c>
      <c r="R828" s="94">
        <f t="shared" ca="1" si="240"/>
        <v>2.8026934297053776</v>
      </c>
      <c r="S828" s="94">
        <f t="shared" ca="1" si="241"/>
        <v>2.8265749241644089</v>
      </c>
      <c r="T828" s="4">
        <f t="shared" ca="1" si="242"/>
        <v>8.7263401649860274E-3</v>
      </c>
      <c r="U828" s="46">
        <f t="shared" ca="1" si="243"/>
        <v>1453.7163216869442</v>
      </c>
      <c r="V828" s="4">
        <f t="shared" ca="1" si="244"/>
        <v>4.4879840325416636</v>
      </c>
      <c r="W828" s="13">
        <f t="shared" ca="1" si="245"/>
        <v>1796.8846573844794</v>
      </c>
      <c r="X828" s="4">
        <f t="shared" ca="1" si="246"/>
        <v>5.5474300799639069</v>
      </c>
    </row>
    <row r="829" spans="1:24">
      <c r="A829">
        <v>2</v>
      </c>
      <c r="B829">
        <v>0</v>
      </c>
      <c r="C829">
        <f t="shared" si="228"/>
        <v>4</v>
      </c>
      <c r="D829">
        <f t="shared" si="229"/>
        <v>2</v>
      </c>
      <c r="E829">
        <f t="shared" si="230"/>
        <v>2</v>
      </c>
      <c r="F829" s="100">
        <f t="shared" ca="1" si="231"/>
        <v>6.3634999999999997E-2</v>
      </c>
      <c r="G829">
        <v>0</v>
      </c>
      <c r="H829">
        <v>1</v>
      </c>
      <c r="I829">
        <v>1</v>
      </c>
      <c r="J829" s="1">
        <f t="shared" ca="1" si="232"/>
        <v>9.8010000000000089E-4</v>
      </c>
      <c r="K829" s="1">
        <f t="shared" ca="1" si="233"/>
        <v>6.2368663500000056E-5</v>
      </c>
      <c r="L829" s="13">
        <f t="shared" ca="1" si="234"/>
        <v>78</v>
      </c>
      <c r="M829" s="7">
        <f t="shared" ca="1" si="235"/>
        <v>922</v>
      </c>
      <c r="N829" s="44">
        <f t="shared" ca="1" si="236"/>
        <v>11</v>
      </c>
      <c r="O829" s="94">
        <f t="shared" ca="1" si="237"/>
        <v>2.8265749241644089</v>
      </c>
      <c r="P829" s="94">
        <f t="shared" ca="1" si="238"/>
        <v>28.265749241644084</v>
      </c>
      <c r="Q829" s="94">
        <f t="shared" ca="1" si="239"/>
        <v>28.265749241644084</v>
      </c>
      <c r="R829" s="94">
        <f t="shared" ca="1" si="240"/>
        <v>2.8265749241644085</v>
      </c>
      <c r="S829" s="94">
        <f t="shared" ca="1" si="241"/>
        <v>2.8265749241644089</v>
      </c>
      <c r="T829" s="4">
        <f t="shared" ca="1" si="242"/>
        <v>1.7628970030274818E-4</v>
      </c>
      <c r="U829" s="46">
        <f t="shared" ca="1" si="243"/>
        <v>1440.7163216869442</v>
      </c>
      <c r="V829" s="4">
        <f t="shared" ca="1" si="244"/>
        <v>8.9855551466250849E-2</v>
      </c>
      <c r="W829" s="13">
        <f t="shared" ca="1" si="245"/>
        <v>1131.2143619125961</v>
      </c>
      <c r="X829" s="4">
        <f t="shared" ca="1" si="246"/>
        <v>7.055232788449399E-2</v>
      </c>
    </row>
    <row r="830" spans="1:24">
      <c r="A830">
        <v>2</v>
      </c>
      <c r="B830">
        <v>0</v>
      </c>
      <c r="C830">
        <f t="shared" si="228"/>
        <v>4</v>
      </c>
      <c r="D830">
        <f t="shared" si="229"/>
        <v>2</v>
      </c>
      <c r="E830">
        <f t="shared" si="230"/>
        <v>2</v>
      </c>
      <c r="F830" s="100">
        <f t="shared" ca="1" si="231"/>
        <v>6.3634999999999997E-2</v>
      </c>
      <c r="G830">
        <v>0</v>
      </c>
      <c r="H830">
        <v>1</v>
      </c>
      <c r="I830">
        <v>0</v>
      </c>
      <c r="J830" s="1">
        <f t="shared" ca="1" si="232"/>
        <v>4.9500000000000094E-6</v>
      </c>
      <c r="K830" s="1">
        <f t="shared" ca="1" si="233"/>
        <v>3.1499325000000056E-7</v>
      </c>
      <c r="L830" s="13">
        <f t="shared" ca="1" si="234"/>
        <v>65</v>
      </c>
      <c r="M830" s="7">
        <f t="shared" ca="1" si="235"/>
        <v>935</v>
      </c>
      <c r="N830" s="44">
        <f t="shared" ca="1" si="236"/>
        <v>11</v>
      </c>
      <c r="O830" s="94">
        <f t="shared" ca="1" si="237"/>
        <v>2.8265749241644089</v>
      </c>
      <c r="P830" s="94">
        <f t="shared" ca="1" si="238"/>
        <v>28.265749241644084</v>
      </c>
      <c r="Q830" s="94">
        <f t="shared" ca="1" si="239"/>
        <v>28.265749241644084</v>
      </c>
      <c r="R830" s="94">
        <f t="shared" ca="1" si="240"/>
        <v>2.8265749241644085</v>
      </c>
      <c r="S830" s="94">
        <f t="shared" ca="1" si="241"/>
        <v>2.8265749241644089</v>
      </c>
      <c r="T830" s="4">
        <f t="shared" ca="1" si="242"/>
        <v>8.9035202173105222E-7</v>
      </c>
      <c r="U830" s="46">
        <f t="shared" ca="1" si="243"/>
        <v>1427.7163216869442</v>
      </c>
      <c r="V830" s="4">
        <f t="shared" ca="1" si="244"/>
        <v>4.4972100424621681E-4</v>
      </c>
      <c r="W830" s="13">
        <f t="shared" ca="1" si="245"/>
        <v>465.54406644071304</v>
      </c>
      <c r="X830" s="4">
        <f t="shared" ca="1" si="246"/>
        <v>1.4664323850637639E-4</v>
      </c>
    </row>
    <row r="831" spans="1:24">
      <c r="A831">
        <v>2</v>
      </c>
      <c r="B831">
        <v>0</v>
      </c>
      <c r="C831">
        <f t="shared" si="228"/>
        <v>4</v>
      </c>
      <c r="D831">
        <f t="shared" si="229"/>
        <v>2</v>
      </c>
      <c r="E831">
        <f t="shared" si="230"/>
        <v>2</v>
      </c>
      <c r="F831" s="100">
        <f t="shared" ca="1" si="231"/>
        <v>6.3634999999999997E-2</v>
      </c>
      <c r="G831">
        <v>0</v>
      </c>
      <c r="H831">
        <v>0</v>
      </c>
      <c r="I831">
        <v>7</v>
      </c>
      <c r="J831" s="1">
        <f t="shared" ca="1" si="232"/>
        <v>0</v>
      </c>
      <c r="K831" s="1">
        <f t="shared" ca="1" si="233"/>
        <v>0</v>
      </c>
      <c r="L831" s="13">
        <f t="shared" ca="1" si="234"/>
        <v>91</v>
      </c>
      <c r="M831" s="7">
        <f t="shared" ca="1" si="235"/>
        <v>909</v>
      </c>
      <c r="N831" s="44">
        <f t="shared" ca="1" si="236"/>
        <v>11</v>
      </c>
      <c r="O831" s="94">
        <f t="shared" ca="1" si="237"/>
        <v>2.8265749241644089</v>
      </c>
      <c r="P831" s="94">
        <f t="shared" ca="1" si="238"/>
        <v>28.265749241644084</v>
      </c>
      <c r="Q831" s="94">
        <f t="shared" ca="1" si="239"/>
        <v>27.788119352463475</v>
      </c>
      <c r="R831" s="94">
        <f t="shared" ca="1" si="240"/>
        <v>2.8026934297053776</v>
      </c>
      <c r="S831" s="94">
        <f t="shared" ca="1" si="241"/>
        <v>2.8265749241644089</v>
      </c>
      <c r="T831" s="4">
        <f t="shared" ca="1" si="242"/>
        <v>0</v>
      </c>
      <c r="U831" s="46">
        <f t="shared" ca="1" si="243"/>
        <v>1453.7163216869442</v>
      </c>
      <c r="V831" s="4">
        <f t="shared" ca="1" si="244"/>
        <v>0</v>
      </c>
      <c r="W831" s="13">
        <f t="shared" ca="1" si="245"/>
        <v>4659.6920683031822</v>
      </c>
      <c r="X831" s="4">
        <f t="shared" ca="1" si="246"/>
        <v>0</v>
      </c>
    </row>
    <row r="832" spans="1:24">
      <c r="A832">
        <v>2</v>
      </c>
      <c r="B832">
        <v>0</v>
      </c>
      <c r="C832">
        <f t="shared" si="228"/>
        <v>4</v>
      </c>
      <c r="D832">
        <f t="shared" si="229"/>
        <v>2</v>
      </c>
      <c r="E832">
        <f t="shared" si="230"/>
        <v>2</v>
      </c>
      <c r="F832" s="100">
        <f t="shared" ca="1" si="231"/>
        <v>6.3634999999999997E-2</v>
      </c>
      <c r="G832">
        <v>0</v>
      </c>
      <c r="H832">
        <v>0</v>
      </c>
      <c r="I832">
        <v>6</v>
      </c>
      <c r="J832" s="1">
        <f t="shared" ca="1" si="232"/>
        <v>0</v>
      </c>
      <c r="K832" s="1">
        <f t="shared" ca="1" si="233"/>
        <v>0</v>
      </c>
      <c r="L832" s="13">
        <f t="shared" ca="1" si="234"/>
        <v>78</v>
      </c>
      <c r="M832" s="7">
        <f t="shared" ca="1" si="235"/>
        <v>922</v>
      </c>
      <c r="N832" s="44">
        <f t="shared" ca="1" si="236"/>
        <v>11</v>
      </c>
      <c r="O832" s="94">
        <f t="shared" ca="1" si="237"/>
        <v>2.8265749241644089</v>
      </c>
      <c r="P832" s="94">
        <f t="shared" ca="1" si="238"/>
        <v>28.265749241644084</v>
      </c>
      <c r="Q832" s="94">
        <f t="shared" ca="1" si="239"/>
        <v>28.265749241644084</v>
      </c>
      <c r="R832" s="94">
        <f t="shared" ca="1" si="240"/>
        <v>2.8265749241644085</v>
      </c>
      <c r="S832" s="94">
        <f t="shared" ca="1" si="241"/>
        <v>2.8265749241644089</v>
      </c>
      <c r="T832" s="4">
        <f t="shared" ca="1" si="242"/>
        <v>0</v>
      </c>
      <c r="U832" s="46">
        <f t="shared" ca="1" si="243"/>
        <v>1440.7163216869442</v>
      </c>
      <c r="V832" s="4">
        <f t="shared" ca="1" si="244"/>
        <v>0</v>
      </c>
      <c r="W832" s="13">
        <f t="shared" ca="1" si="245"/>
        <v>3994.0217728312991</v>
      </c>
      <c r="X832" s="4">
        <f t="shared" ca="1" si="246"/>
        <v>0</v>
      </c>
    </row>
    <row r="833" spans="1:24">
      <c r="A833">
        <v>2</v>
      </c>
      <c r="B833">
        <v>0</v>
      </c>
      <c r="C833">
        <f t="shared" si="228"/>
        <v>4</v>
      </c>
      <c r="D833">
        <f t="shared" si="229"/>
        <v>2</v>
      </c>
      <c r="E833">
        <f t="shared" si="230"/>
        <v>2</v>
      </c>
      <c r="F833" s="100">
        <f t="shared" ca="1" si="231"/>
        <v>6.3634999999999997E-2</v>
      </c>
      <c r="G833">
        <v>0</v>
      </c>
      <c r="H833">
        <v>0</v>
      </c>
      <c r="I833">
        <v>5</v>
      </c>
      <c r="J833" s="1">
        <f t="shared" ca="1" si="232"/>
        <v>0</v>
      </c>
      <c r="K833" s="1">
        <f t="shared" ca="1" si="233"/>
        <v>0</v>
      </c>
      <c r="L833" s="13">
        <f t="shared" ca="1" si="234"/>
        <v>65</v>
      </c>
      <c r="M833" s="7">
        <f t="shared" ca="1" si="235"/>
        <v>935</v>
      </c>
      <c r="N833" s="44">
        <f t="shared" ca="1" si="236"/>
        <v>11</v>
      </c>
      <c r="O833" s="94">
        <f t="shared" ca="1" si="237"/>
        <v>2.8265749241644089</v>
      </c>
      <c r="P833" s="94">
        <f t="shared" ca="1" si="238"/>
        <v>28.265749241644084</v>
      </c>
      <c r="Q833" s="94">
        <f t="shared" ca="1" si="239"/>
        <v>28.265749241644084</v>
      </c>
      <c r="R833" s="94">
        <f t="shared" ca="1" si="240"/>
        <v>2.8265749241644085</v>
      </c>
      <c r="S833" s="94">
        <f t="shared" ca="1" si="241"/>
        <v>2.8265749241644089</v>
      </c>
      <c r="T833" s="4">
        <f t="shared" ca="1" si="242"/>
        <v>0</v>
      </c>
      <c r="U833" s="46">
        <f t="shared" ca="1" si="243"/>
        <v>1427.7163216869442</v>
      </c>
      <c r="V833" s="4">
        <f t="shared" ca="1" si="244"/>
        <v>0</v>
      </c>
      <c r="W833" s="13">
        <f t="shared" ca="1" si="245"/>
        <v>3328.3514773594161</v>
      </c>
      <c r="X833" s="4">
        <f t="shared" ca="1" si="246"/>
        <v>0</v>
      </c>
    </row>
    <row r="834" spans="1:24">
      <c r="A834">
        <v>2</v>
      </c>
      <c r="B834">
        <v>0</v>
      </c>
      <c r="C834">
        <f t="shared" si="228"/>
        <v>4</v>
      </c>
      <c r="D834">
        <f t="shared" si="229"/>
        <v>2</v>
      </c>
      <c r="E834">
        <f t="shared" si="230"/>
        <v>2</v>
      </c>
      <c r="F834" s="100">
        <f t="shared" ca="1" si="231"/>
        <v>6.3634999999999997E-2</v>
      </c>
      <c r="G834">
        <v>0</v>
      </c>
      <c r="H834">
        <v>0</v>
      </c>
      <c r="I834">
        <v>4</v>
      </c>
      <c r="J834" s="1">
        <f t="shared" ca="1" si="232"/>
        <v>0</v>
      </c>
      <c r="K834" s="1">
        <f t="shared" ca="1" si="233"/>
        <v>0</v>
      </c>
      <c r="L834" s="13">
        <f t="shared" ca="1" si="234"/>
        <v>52</v>
      </c>
      <c r="M834" s="7">
        <f t="shared" ca="1" si="235"/>
        <v>948</v>
      </c>
      <c r="N834" s="44">
        <f t="shared" ca="1" si="236"/>
        <v>11</v>
      </c>
      <c r="O834" s="94">
        <f t="shared" ca="1" si="237"/>
        <v>2.8265749241644089</v>
      </c>
      <c r="P834" s="94">
        <f t="shared" ca="1" si="238"/>
        <v>28.265749241644084</v>
      </c>
      <c r="Q834" s="94">
        <f t="shared" ca="1" si="239"/>
        <v>28.265749241644084</v>
      </c>
      <c r="R834" s="94">
        <f t="shared" ca="1" si="240"/>
        <v>2.8265749241644085</v>
      </c>
      <c r="S834" s="94">
        <f t="shared" ca="1" si="241"/>
        <v>2.8265749241644089</v>
      </c>
      <c r="T834" s="4">
        <f t="shared" ca="1" si="242"/>
        <v>0</v>
      </c>
      <c r="U834" s="46">
        <f t="shared" ca="1" si="243"/>
        <v>1414.7163216869442</v>
      </c>
      <c r="V834" s="4">
        <f t="shared" ca="1" si="244"/>
        <v>0</v>
      </c>
      <c r="W834" s="13">
        <f t="shared" ca="1" si="245"/>
        <v>2662.6811818875326</v>
      </c>
      <c r="X834" s="4">
        <f t="shared" ca="1" si="246"/>
        <v>0</v>
      </c>
    </row>
    <row r="835" spans="1:24">
      <c r="A835">
        <v>2</v>
      </c>
      <c r="B835">
        <v>0</v>
      </c>
      <c r="C835">
        <f t="shared" si="228"/>
        <v>4</v>
      </c>
      <c r="D835">
        <f t="shared" si="229"/>
        <v>2</v>
      </c>
      <c r="E835">
        <f t="shared" si="230"/>
        <v>2</v>
      </c>
      <c r="F835" s="100">
        <f t="shared" ca="1" si="231"/>
        <v>6.3634999999999997E-2</v>
      </c>
      <c r="G835">
        <v>0</v>
      </c>
      <c r="H835">
        <v>0</v>
      </c>
      <c r="I835">
        <v>3</v>
      </c>
      <c r="J835" s="1">
        <f t="shared" ca="1" si="232"/>
        <v>0</v>
      </c>
      <c r="K835" s="1">
        <f t="shared" ca="1" si="233"/>
        <v>0</v>
      </c>
      <c r="L835" s="13">
        <f t="shared" ca="1" si="234"/>
        <v>39</v>
      </c>
      <c r="M835" s="7">
        <f t="shared" ca="1" si="235"/>
        <v>961</v>
      </c>
      <c r="N835" s="44">
        <f t="shared" ca="1" si="236"/>
        <v>11</v>
      </c>
      <c r="O835" s="94">
        <f t="shared" ca="1" si="237"/>
        <v>2.8265749241644089</v>
      </c>
      <c r="P835" s="94">
        <f t="shared" ca="1" si="238"/>
        <v>28.265749241644084</v>
      </c>
      <c r="Q835" s="94">
        <f t="shared" ca="1" si="239"/>
        <v>28.265749241644084</v>
      </c>
      <c r="R835" s="94">
        <f t="shared" ca="1" si="240"/>
        <v>2.8265749241644085</v>
      </c>
      <c r="S835" s="94">
        <f t="shared" ca="1" si="241"/>
        <v>2.8265749241644089</v>
      </c>
      <c r="T835" s="4">
        <f t="shared" ca="1" si="242"/>
        <v>0</v>
      </c>
      <c r="U835" s="46">
        <f t="shared" ca="1" si="243"/>
        <v>1401.7163216869442</v>
      </c>
      <c r="V835" s="4">
        <f t="shared" ca="1" si="244"/>
        <v>0</v>
      </c>
      <c r="W835" s="13">
        <f t="shared" ca="1" si="245"/>
        <v>1997.0108864156496</v>
      </c>
      <c r="X835" s="4">
        <f t="shared" ca="1" si="246"/>
        <v>0</v>
      </c>
    </row>
    <row r="836" spans="1:24">
      <c r="A836">
        <v>2</v>
      </c>
      <c r="B836">
        <v>0</v>
      </c>
      <c r="C836">
        <f t="shared" si="228"/>
        <v>4</v>
      </c>
      <c r="D836">
        <f t="shared" si="229"/>
        <v>2</v>
      </c>
      <c r="E836">
        <f t="shared" si="230"/>
        <v>2</v>
      </c>
      <c r="F836" s="100">
        <f t="shared" ca="1" si="231"/>
        <v>6.3634999999999997E-2</v>
      </c>
      <c r="G836">
        <v>0</v>
      </c>
      <c r="H836">
        <v>0</v>
      </c>
      <c r="I836">
        <v>2</v>
      </c>
      <c r="J836" s="1">
        <f t="shared" ca="1" si="232"/>
        <v>4.9005000000000045E-4</v>
      </c>
      <c r="K836" s="1">
        <f t="shared" ca="1" si="233"/>
        <v>3.1184331750000028E-5</v>
      </c>
      <c r="L836" s="13">
        <f t="shared" ca="1" si="234"/>
        <v>26</v>
      </c>
      <c r="M836" s="7">
        <f t="shared" ca="1" si="235"/>
        <v>974</v>
      </c>
      <c r="N836" s="44">
        <f t="shared" ca="1" si="236"/>
        <v>11</v>
      </c>
      <c r="O836" s="94">
        <f t="shared" ca="1" si="237"/>
        <v>2.8265749241644089</v>
      </c>
      <c r="P836" s="94">
        <f t="shared" ca="1" si="238"/>
        <v>28.265749241644084</v>
      </c>
      <c r="Q836" s="94">
        <f t="shared" ca="1" si="239"/>
        <v>28.265749241644084</v>
      </c>
      <c r="R836" s="94">
        <f t="shared" ca="1" si="240"/>
        <v>2.8265749241644085</v>
      </c>
      <c r="S836" s="94">
        <f t="shared" ca="1" si="241"/>
        <v>2.8265749241644089</v>
      </c>
      <c r="T836" s="4">
        <f t="shared" ca="1" si="242"/>
        <v>8.8144850151374092E-5</v>
      </c>
      <c r="U836" s="46">
        <f t="shared" ca="1" si="243"/>
        <v>1388.7163216869442</v>
      </c>
      <c r="V836" s="4">
        <f t="shared" ca="1" si="244"/>
        <v>4.3306190482125424E-2</v>
      </c>
      <c r="W836" s="13">
        <f t="shared" ca="1" si="245"/>
        <v>1331.3405909437663</v>
      </c>
      <c r="X836" s="4">
        <f t="shared" ca="1" si="246"/>
        <v>4.151696666023149E-2</v>
      </c>
    </row>
    <row r="837" spans="1:24">
      <c r="A837">
        <v>2</v>
      </c>
      <c r="B837">
        <v>0</v>
      </c>
      <c r="C837">
        <f t="shared" si="228"/>
        <v>4</v>
      </c>
      <c r="D837">
        <f t="shared" si="229"/>
        <v>2</v>
      </c>
      <c r="E837">
        <f t="shared" si="230"/>
        <v>2</v>
      </c>
      <c r="F837" s="100">
        <f t="shared" ca="1" si="231"/>
        <v>6.3634999999999997E-2</v>
      </c>
      <c r="G837">
        <v>0</v>
      </c>
      <c r="H837">
        <v>0</v>
      </c>
      <c r="I837">
        <v>1</v>
      </c>
      <c r="J837" s="1">
        <f t="shared" ca="1" si="232"/>
        <v>9.9000000000000187E-6</v>
      </c>
      <c r="K837" s="1">
        <f t="shared" ca="1" si="233"/>
        <v>6.2998650000000111E-7</v>
      </c>
      <c r="L837" s="13">
        <f t="shared" ca="1" si="234"/>
        <v>13</v>
      </c>
      <c r="M837" s="7">
        <f t="shared" ca="1" si="235"/>
        <v>987</v>
      </c>
      <c r="N837" s="44">
        <f t="shared" ca="1" si="236"/>
        <v>12</v>
      </c>
      <c r="O837" s="94">
        <f t="shared" ca="1" si="237"/>
        <v>3.049271339469791</v>
      </c>
      <c r="P837" s="94">
        <f t="shared" ca="1" si="238"/>
        <v>29.824624148781758</v>
      </c>
      <c r="Q837" s="94">
        <f t="shared" ca="1" si="239"/>
        <v>28.265749241644084</v>
      </c>
      <c r="R837" s="94">
        <f t="shared" ca="1" si="240"/>
        <v>2.9045186695212921</v>
      </c>
      <c r="S837" s="94">
        <f t="shared" ca="1" si="241"/>
        <v>3.049271339469791</v>
      </c>
      <c r="T837" s="4">
        <f t="shared" ca="1" si="242"/>
        <v>1.9209997787028888E-6</v>
      </c>
      <c r="U837" s="46">
        <f t="shared" ca="1" si="243"/>
        <v>1466.9428976204611</v>
      </c>
      <c r="V837" s="4">
        <f t="shared" ca="1" si="244"/>
        <v>9.2415422177177418E-4</v>
      </c>
      <c r="W837" s="13">
        <f t="shared" ca="1" si="245"/>
        <v>665.67029547188315</v>
      </c>
      <c r="X837" s="4">
        <f t="shared" ca="1" si="246"/>
        <v>4.1936329959829828E-4</v>
      </c>
    </row>
    <row r="838" spans="1:24">
      <c r="A838">
        <v>2</v>
      </c>
      <c r="B838">
        <v>0</v>
      </c>
      <c r="C838">
        <f t="shared" si="228"/>
        <v>4</v>
      </c>
      <c r="D838">
        <f t="shared" si="229"/>
        <v>2</v>
      </c>
      <c r="E838">
        <f t="shared" si="230"/>
        <v>2</v>
      </c>
      <c r="F838" s="100">
        <f t="shared" ca="1" si="231"/>
        <v>6.3634999999999997E-2</v>
      </c>
      <c r="G838">
        <v>0</v>
      </c>
      <c r="H838">
        <v>0</v>
      </c>
      <c r="I838">
        <v>0</v>
      </c>
      <c r="J838" s="1">
        <f t="shared" ca="1" si="232"/>
        <v>5.0000000000000137E-8</v>
      </c>
      <c r="K838" s="1">
        <f t="shared" ca="1" si="233"/>
        <v>3.1817500000000084E-9</v>
      </c>
      <c r="L838" s="13">
        <f t="shared" ca="1" si="234"/>
        <v>0</v>
      </c>
      <c r="M838" s="7">
        <f t="shared" ca="1" si="235"/>
        <v>1000</v>
      </c>
      <c r="N838" s="44">
        <f t="shared" ca="1" si="236"/>
        <v>12</v>
      </c>
      <c r="O838" s="94">
        <f t="shared" ca="1" si="237"/>
        <v>3.049271339469791</v>
      </c>
      <c r="P838" s="94">
        <f t="shared" ca="1" si="238"/>
        <v>30.492713394697905</v>
      </c>
      <c r="Q838" s="94">
        <f t="shared" ca="1" si="239"/>
        <v>30.492713394697905</v>
      </c>
      <c r="R838" s="94">
        <f t="shared" ca="1" si="240"/>
        <v>3.0492713394697906</v>
      </c>
      <c r="S838" s="94">
        <f t="shared" ca="1" si="241"/>
        <v>3.049271339469791</v>
      </c>
      <c r="T838" s="4">
        <f t="shared" ca="1" si="242"/>
        <v>9.7020190843580337E-9</v>
      </c>
      <c r="U838" s="46">
        <f t="shared" ca="1" si="243"/>
        <v>1453.9428976204611</v>
      </c>
      <c r="V838" s="4">
        <f t="shared" ca="1" si="244"/>
        <v>4.6260828145039145E-6</v>
      </c>
      <c r="W838" s="13">
        <f t="shared" ca="1" si="245"/>
        <v>0</v>
      </c>
      <c r="X838" s="4">
        <f t="shared" ca="1" si="246"/>
        <v>0</v>
      </c>
    </row>
    <row r="839" spans="1:24">
      <c r="A839">
        <v>2</v>
      </c>
      <c r="B839">
        <v>1</v>
      </c>
      <c r="C839">
        <f t="shared" si="228"/>
        <v>5</v>
      </c>
      <c r="D839">
        <f t="shared" si="229"/>
        <v>3</v>
      </c>
      <c r="E839">
        <f t="shared" si="230"/>
        <v>2</v>
      </c>
      <c r="F839" s="100">
        <f t="shared" ca="1" si="231"/>
        <v>3.4264999999999997E-2</v>
      </c>
      <c r="G839">
        <v>1</v>
      </c>
      <c r="H839">
        <v>1</v>
      </c>
      <c r="I839">
        <v>7</v>
      </c>
      <c r="J839" s="1">
        <f t="shared" ca="1" si="232"/>
        <v>0</v>
      </c>
      <c r="K839" s="1">
        <f t="shared" ca="1" si="233"/>
        <v>0</v>
      </c>
      <c r="L839" s="13">
        <f t="shared" ca="1" si="234"/>
        <v>221</v>
      </c>
      <c r="M839" s="7">
        <f t="shared" ca="1" si="235"/>
        <v>779</v>
      </c>
      <c r="N839" s="44">
        <f t="shared" ca="1" si="236"/>
        <v>9</v>
      </c>
      <c r="O839" s="94">
        <f t="shared" ca="1" si="237"/>
        <v>2.3639647217884514</v>
      </c>
      <c r="P839" s="94">
        <f t="shared" ca="1" si="238"/>
        <v>23.639647217884519</v>
      </c>
      <c r="Q839" s="94">
        <f t="shared" ca="1" si="239"/>
        <v>23.639647217884519</v>
      </c>
      <c r="R839" s="94">
        <f t="shared" ca="1" si="240"/>
        <v>2.3639647217884519</v>
      </c>
      <c r="S839" s="94">
        <f t="shared" ca="1" si="241"/>
        <v>2.3639647217884514</v>
      </c>
      <c r="T839" s="4">
        <f t="shared" ca="1" si="242"/>
        <v>0</v>
      </c>
      <c r="U839" s="46">
        <f t="shared" ca="1" si="243"/>
        <v>1394.2101516087316</v>
      </c>
      <c r="V839" s="4">
        <f t="shared" ca="1" si="244"/>
        <v>0</v>
      </c>
      <c r="W839" s="13">
        <f t="shared" ca="1" si="245"/>
        <v>16438.260675257192</v>
      </c>
      <c r="X839" s="4">
        <f t="shared" ca="1" si="246"/>
        <v>0</v>
      </c>
    </row>
    <row r="840" spans="1:24">
      <c r="A840">
        <v>2</v>
      </c>
      <c r="B840">
        <v>1</v>
      </c>
      <c r="C840">
        <f t="shared" si="228"/>
        <v>5</v>
      </c>
      <c r="D840">
        <f t="shared" si="229"/>
        <v>3</v>
      </c>
      <c r="E840">
        <f t="shared" si="230"/>
        <v>2</v>
      </c>
      <c r="F840" s="100">
        <f t="shared" ca="1" si="231"/>
        <v>3.4264999999999997E-2</v>
      </c>
      <c r="G840">
        <v>1</v>
      </c>
      <c r="H840">
        <v>1</v>
      </c>
      <c r="I840">
        <v>6</v>
      </c>
      <c r="J840" s="1">
        <f t="shared" ca="1" si="232"/>
        <v>0</v>
      </c>
      <c r="K840" s="1">
        <f t="shared" ca="1" si="233"/>
        <v>0</v>
      </c>
      <c r="L840" s="13">
        <f t="shared" ca="1" si="234"/>
        <v>208</v>
      </c>
      <c r="M840" s="7">
        <f t="shared" ca="1" si="235"/>
        <v>792</v>
      </c>
      <c r="N840" s="44">
        <f t="shared" ca="1" si="236"/>
        <v>9</v>
      </c>
      <c r="O840" s="94">
        <f t="shared" ca="1" si="237"/>
        <v>2.3639647217884514</v>
      </c>
      <c r="P840" s="94">
        <f t="shared" ca="1" si="238"/>
        <v>23.639647217884519</v>
      </c>
      <c r="Q840" s="94">
        <f t="shared" ca="1" si="239"/>
        <v>23.639647217884519</v>
      </c>
      <c r="R840" s="94">
        <f t="shared" ca="1" si="240"/>
        <v>2.3639647217884519</v>
      </c>
      <c r="S840" s="94">
        <f t="shared" ca="1" si="241"/>
        <v>2.3639647217884514</v>
      </c>
      <c r="T840" s="4">
        <f t="shared" ca="1" si="242"/>
        <v>0</v>
      </c>
      <c r="U840" s="46">
        <f t="shared" ca="1" si="243"/>
        <v>1381.2101516087316</v>
      </c>
      <c r="V840" s="4">
        <f t="shared" ca="1" si="244"/>
        <v>0</v>
      </c>
      <c r="W840" s="13">
        <f t="shared" ca="1" si="245"/>
        <v>15772.59037978531</v>
      </c>
      <c r="X840" s="4">
        <f t="shared" ca="1" si="246"/>
        <v>0</v>
      </c>
    </row>
    <row r="841" spans="1:24">
      <c r="A841">
        <v>2</v>
      </c>
      <c r="B841">
        <v>1</v>
      </c>
      <c r="C841">
        <f t="shared" si="228"/>
        <v>5</v>
      </c>
      <c r="D841">
        <f t="shared" si="229"/>
        <v>3</v>
      </c>
      <c r="E841">
        <f t="shared" si="230"/>
        <v>2</v>
      </c>
      <c r="F841" s="100">
        <f t="shared" ca="1" si="231"/>
        <v>3.4264999999999997E-2</v>
      </c>
      <c r="G841">
        <v>1</v>
      </c>
      <c r="H841">
        <v>1</v>
      </c>
      <c r="I841">
        <v>5</v>
      </c>
      <c r="J841" s="1">
        <f t="shared" ca="1" si="232"/>
        <v>0</v>
      </c>
      <c r="K841" s="1">
        <f t="shared" ca="1" si="233"/>
        <v>0</v>
      </c>
      <c r="L841" s="13">
        <f t="shared" ca="1" si="234"/>
        <v>195</v>
      </c>
      <c r="M841" s="7">
        <f t="shared" ca="1" si="235"/>
        <v>805</v>
      </c>
      <c r="N841" s="44">
        <f t="shared" ca="1" si="236"/>
        <v>10</v>
      </c>
      <c r="O841" s="94">
        <f t="shared" ca="1" si="237"/>
        <v>2.5877599795741038</v>
      </c>
      <c r="P841" s="94">
        <f t="shared" ca="1" si="238"/>
        <v>24.311032991241476</v>
      </c>
      <c r="Q841" s="94">
        <f t="shared" ca="1" si="239"/>
        <v>23.639647217884519</v>
      </c>
      <c r="R841" s="94">
        <f t="shared" ca="1" si="240"/>
        <v>2.3975340104562997</v>
      </c>
      <c r="S841" s="94">
        <f t="shared" ca="1" si="241"/>
        <v>2.5877599795741038</v>
      </c>
      <c r="T841" s="4">
        <f t="shared" ca="1" si="242"/>
        <v>0</v>
      </c>
      <c r="U841" s="46">
        <f t="shared" ca="1" si="243"/>
        <v>1459.8868633777442</v>
      </c>
      <c r="V841" s="4">
        <f t="shared" ca="1" si="244"/>
        <v>0</v>
      </c>
      <c r="W841" s="13">
        <f t="shared" ca="1" si="245"/>
        <v>15106.920084313426</v>
      </c>
      <c r="X841" s="4">
        <f t="shared" ca="1" si="246"/>
        <v>0</v>
      </c>
    </row>
    <row r="842" spans="1:24">
      <c r="A842">
        <v>2</v>
      </c>
      <c r="B842">
        <v>1</v>
      </c>
      <c r="C842">
        <f t="shared" si="228"/>
        <v>5</v>
      </c>
      <c r="D842">
        <f t="shared" si="229"/>
        <v>3</v>
      </c>
      <c r="E842">
        <f t="shared" si="230"/>
        <v>2</v>
      </c>
      <c r="F842" s="100">
        <f t="shared" ca="1" si="231"/>
        <v>3.4264999999999997E-2</v>
      </c>
      <c r="G842">
        <v>1</v>
      </c>
      <c r="H842">
        <v>1</v>
      </c>
      <c r="I842">
        <v>4</v>
      </c>
      <c r="J842" s="1">
        <f t="shared" ca="1" si="232"/>
        <v>0</v>
      </c>
      <c r="K842" s="1">
        <f t="shared" ca="1" si="233"/>
        <v>0</v>
      </c>
      <c r="L842" s="13">
        <f t="shared" ca="1" si="234"/>
        <v>182</v>
      </c>
      <c r="M842" s="7">
        <f t="shared" ca="1" si="235"/>
        <v>818</v>
      </c>
      <c r="N842" s="44">
        <f t="shared" ca="1" si="236"/>
        <v>10</v>
      </c>
      <c r="O842" s="94">
        <f t="shared" ca="1" si="237"/>
        <v>2.5877599795741038</v>
      </c>
      <c r="P842" s="94">
        <f t="shared" ca="1" si="238"/>
        <v>25.877599795741034</v>
      </c>
      <c r="Q842" s="94">
        <f t="shared" ca="1" si="239"/>
        <v>24.982418764598432</v>
      </c>
      <c r="R842" s="94">
        <f t="shared" ca="1" si="240"/>
        <v>2.5430009280169736</v>
      </c>
      <c r="S842" s="94">
        <f t="shared" ca="1" si="241"/>
        <v>2.5877599795741038</v>
      </c>
      <c r="T842" s="4">
        <f t="shared" ca="1" si="242"/>
        <v>0</v>
      </c>
      <c r="U842" s="46">
        <f t="shared" ca="1" si="243"/>
        <v>1446.8868633777442</v>
      </c>
      <c r="V842" s="4">
        <f t="shared" ca="1" si="244"/>
        <v>0</v>
      </c>
      <c r="W842" s="13">
        <f t="shared" ca="1" si="245"/>
        <v>14441.249788841542</v>
      </c>
      <c r="X842" s="4">
        <f t="shared" ca="1" si="246"/>
        <v>0</v>
      </c>
    </row>
    <row r="843" spans="1:24">
      <c r="A843">
        <v>2</v>
      </c>
      <c r="B843">
        <v>1</v>
      </c>
      <c r="C843">
        <f t="shared" si="228"/>
        <v>5</v>
      </c>
      <c r="D843">
        <f t="shared" si="229"/>
        <v>3</v>
      </c>
      <c r="E843">
        <f t="shared" si="230"/>
        <v>2</v>
      </c>
      <c r="F843" s="100">
        <f t="shared" ca="1" si="231"/>
        <v>3.4264999999999997E-2</v>
      </c>
      <c r="G843">
        <v>1</v>
      </c>
      <c r="H843">
        <v>1</v>
      </c>
      <c r="I843">
        <v>3</v>
      </c>
      <c r="J843" s="1">
        <f t="shared" ca="1" si="232"/>
        <v>0.91256620949999989</v>
      </c>
      <c r="K843" s="1">
        <f t="shared" ca="1" si="233"/>
        <v>3.1269081168517496E-2</v>
      </c>
      <c r="L843" s="13">
        <f t="shared" ca="1" si="234"/>
        <v>169</v>
      </c>
      <c r="M843" s="7">
        <f t="shared" ca="1" si="235"/>
        <v>831</v>
      </c>
      <c r="N843" s="44">
        <f t="shared" ca="1" si="236"/>
        <v>10</v>
      </c>
      <c r="O843" s="94">
        <f t="shared" ca="1" si="237"/>
        <v>2.5877599795741038</v>
      </c>
      <c r="P843" s="94">
        <f t="shared" ca="1" si="238"/>
        <v>25.877599795741034</v>
      </c>
      <c r="Q843" s="94">
        <f t="shared" ca="1" si="239"/>
        <v>25.877599795741034</v>
      </c>
      <c r="R843" s="94">
        <f t="shared" ca="1" si="240"/>
        <v>2.5877599795741033</v>
      </c>
      <c r="S843" s="94">
        <f t="shared" ca="1" si="241"/>
        <v>2.5877599795741038</v>
      </c>
      <c r="T843" s="4">
        <f t="shared" ca="1" si="242"/>
        <v>8.0916876845943828E-2</v>
      </c>
      <c r="U843" s="46">
        <f t="shared" ca="1" si="243"/>
        <v>1433.8868633777442</v>
      </c>
      <c r="V843" s="4">
        <f t="shared" ca="1" si="244"/>
        <v>44.83632471742964</v>
      </c>
      <c r="W843" s="13">
        <f t="shared" ca="1" si="245"/>
        <v>13775.57949336966</v>
      </c>
      <c r="X843" s="4">
        <f t="shared" ca="1" si="246"/>
        <v>430.74971332154104</v>
      </c>
    </row>
    <row r="844" spans="1:24">
      <c r="A844">
        <v>2</v>
      </c>
      <c r="B844">
        <v>1</v>
      </c>
      <c r="C844">
        <f t="shared" si="228"/>
        <v>5</v>
      </c>
      <c r="D844">
        <f t="shared" si="229"/>
        <v>3</v>
      </c>
      <c r="E844">
        <f t="shared" si="230"/>
        <v>2</v>
      </c>
      <c r="F844" s="100">
        <f t="shared" ca="1" si="231"/>
        <v>3.4264999999999997E-2</v>
      </c>
      <c r="G844">
        <v>1</v>
      </c>
      <c r="H844">
        <v>1</v>
      </c>
      <c r="I844">
        <v>2</v>
      </c>
      <c r="J844" s="1">
        <f t="shared" ca="1" si="232"/>
        <v>2.7653521500000021E-2</v>
      </c>
      <c r="K844" s="1">
        <f t="shared" ca="1" si="233"/>
        <v>9.4754791419750066E-4</v>
      </c>
      <c r="L844" s="13">
        <f t="shared" ca="1" si="234"/>
        <v>156</v>
      </c>
      <c r="M844" s="7">
        <f t="shared" ca="1" si="235"/>
        <v>844</v>
      </c>
      <c r="N844" s="44">
        <f t="shared" ca="1" si="236"/>
        <v>10</v>
      </c>
      <c r="O844" s="94">
        <f t="shared" ca="1" si="237"/>
        <v>2.5877599795741038</v>
      </c>
      <c r="P844" s="94">
        <f t="shared" ca="1" si="238"/>
        <v>25.877599795741034</v>
      </c>
      <c r="Q844" s="94">
        <f t="shared" ca="1" si="239"/>
        <v>25.877599795741034</v>
      </c>
      <c r="R844" s="94">
        <f t="shared" ca="1" si="240"/>
        <v>2.5877599795741033</v>
      </c>
      <c r="S844" s="94">
        <f t="shared" ca="1" si="241"/>
        <v>2.5877599795741038</v>
      </c>
      <c r="T844" s="4">
        <f t="shared" ca="1" si="242"/>
        <v>2.4520265710892089E-3</v>
      </c>
      <c r="U844" s="46">
        <f t="shared" ca="1" si="243"/>
        <v>1420.8868633777442</v>
      </c>
      <c r="V844" s="4">
        <f t="shared" ca="1" si="244"/>
        <v>1.3463583837042106</v>
      </c>
      <c r="W844" s="13">
        <f t="shared" ca="1" si="245"/>
        <v>13109.909197897776</v>
      </c>
      <c r="X844" s="4">
        <f t="shared" ca="1" si="246"/>
        <v>12.422267115786667</v>
      </c>
    </row>
    <row r="845" spans="1:24">
      <c r="A845">
        <v>2</v>
      </c>
      <c r="B845">
        <v>1</v>
      </c>
      <c r="C845">
        <f t="shared" si="228"/>
        <v>5</v>
      </c>
      <c r="D845">
        <f t="shared" si="229"/>
        <v>3</v>
      </c>
      <c r="E845">
        <f t="shared" si="230"/>
        <v>2</v>
      </c>
      <c r="F845" s="100">
        <f t="shared" ca="1" si="231"/>
        <v>3.4264999999999997E-2</v>
      </c>
      <c r="G845">
        <v>1</v>
      </c>
      <c r="H845">
        <v>1</v>
      </c>
      <c r="I845">
        <v>1</v>
      </c>
      <c r="J845" s="1">
        <f t="shared" ca="1" si="232"/>
        <v>2.7932850000000052E-4</v>
      </c>
      <c r="K845" s="1">
        <f t="shared" ca="1" si="233"/>
        <v>9.5711910525000163E-6</v>
      </c>
      <c r="L845" s="13">
        <f t="shared" ca="1" si="234"/>
        <v>143</v>
      </c>
      <c r="M845" s="7">
        <f t="shared" ca="1" si="235"/>
        <v>857</v>
      </c>
      <c r="N845" s="44">
        <f t="shared" ca="1" si="236"/>
        <v>10</v>
      </c>
      <c r="O845" s="94">
        <f t="shared" ca="1" si="237"/>
        <v>2.5877599795741038</v>
      </c>
      <c r="P845" s="94">
        <f t="shared" ca="1" si="238"/>
        <v>25.877599795741034</v>
      </c>
      <c r="Q845" s="94">
        <f t="shared" ca="1" si="239"/>
        <v>25.877599795741034</v>
      </c>
      <c r="R845" s="94">
        <f t="shared" ca="1" si="240"/>
        <v>2.5877599795741033</v>
      </c>
      <c r="S845" s="94">
        <f t="shared" ca="1" si="241"/>
        <v>2.5877599795741038</v>
      </c>
      <c r="T845" s="4">
        <f t="shared" ca="1" si="242"/>
        <v>2.4767945162517288E-5</v>
      </c>
      <c r="U845" s="46">
        <f t="shared" ca="1" si="243"/>
        <v>1407.8868633777442</v>
      </c>
      <c r="V845" s="4">
        <f t="shared" ca="1" si="244"/>
        <v>1.3475154149693379E-2</v>
      </c>
      <c r="W845" s="13">
        <f t="shared" ca="1" si="245"/>
        <v>12444.238902425894</v>
      </c>
      <c r="X845" s="4">
        <f t="shared" ca="1" si="246"/>
        <v>0.11910618803807134</v>
      </c>
    </row>
    <row r="846" spans="1:24">
      <c r="A846">
        <v>2</v>
      </c>
      <c r="B846">
        <v>1</v>
      </c>
      <c r="C846">
        <f t="shared" si="228"/>
        <v>5</v>
      </c>
      <c r="D846">
        <f t="shared" si="229"/>
        <v>3</v>
      </c>
      <c r="E846">
        <f t="shared" si="230"/>
        <v>2</v>
      </c>
      <c r="F846" s="100">
        <f t="shared" ca="1" si="231"/>
        <v>3.4264999999999997E-2</v>
      </c>
      <c r="G846">
        <v>1</v>
      </c>
      <c r="H846">
        <v>1</v>
      </c>
      <c r="I846">
        <v>0</v>
      </c>
      <c r="J846" s="1">
        <f t="shared" ca="1" si="232"/>
        <v>9.4050000000000258E-7</v>
      </c>
      <c r="K846" s="1">
        <f t="shared" ca="1" si="233"/>
        <v>3.2226232500000083E-8</v>
      </c>
      <c r="L846" s="13">
        <f t="shared" ca="1" si="234"/>
        <v>130</v>
      </c>
      <c r="M846" s="7">
        <f t="shared" ca="1" si="235"/>
        <v>870</v>
      </c>
      <c r="N846" s="44">
        <f t="shared" ca="1" si="236"/>
        <v>10</v>
      </c>
      <c r="O846" s="94">
        <f t="shared" ca="1" si="237"/>
        <v>2.5877599795741038</v>
      </c>
      <c r="P846" s="94">
        <f t="shared" ca="1" si="238"/>
        <v>25.877599795741034</v>
      </c>
      <c r="Q846" s="94">
        <f t="shared" ca="1" si="239"/>
        <v>25.877599795741034</v>
      </c>
      <c r="R846" s="94">
        <f t="shared" ca="1" si="240"/>
        <v>2.5877599795741033</v>
      </c>
      <c r="S846" s="94">
        <f t="shared" ca="1" si="241"/>
        <v>2.5877599795741038</v>
      </c>
      <c r="T846" s="4">
        <f t="shared" ca="1" si="242"/>
        <v>8.3393754755950535E-8</v>
      </c>
      <c r="U846" s="46">
        <f t="shared" ca="1" si="243"/>
        <v>1394.8868633777442</v>
      </c>
      <c r="V846" s="4">
        <f t="shared" ca="1" si="244"/>
        <v>4.4951948370407037E-5</v>
      </c>
      <c r="W846" s="13">
        <f t="shared" ca="1" si="245"/>
        <v>11778.56860695401</v>
      </c>
      <c r="X846" s="4">
        <f t="shared" ca="1" si="246"/>
        <v>3.7957889044490199E-4</v>
      </c>
    </row>
    <row r="847" spans="1:24">
      <c r="A847">
        <v>2</v>
      </c>
      <c r="B847">
        <v>1</v>
      </c>
      <c r="C847">
        <f t="shared" si="228"/>
        <v>5</v>
      </c>
      <c r="D847">
        <f t="shared" si="229"/>
        <v>3</v>
      </c>
      <c r="E847">
        <f t="shared" si="230"/>
        <v>2</v>
      </c>
      <c r="F847" s="100">
        <f t="shared" ca="1" si="231"/>
        <v>3.4264999999999997E-2</v>
      </c>
      <c r="G847">
        <v>1</v>
      </c>
      <c r="H847">
        <v>0</v>
      </c>
      <c r="I847">
        <v>7</v>
      </c>
      <c r="J847" s="1">
        <f t="shared" ca="1" si="232"/>
        <v>0</v>
      </c>
      <c r="K847" s="1">
        <f t="shared" ca="1" si="233"/>
        <v>0</v>
      </c>
      <c r="L847" s="13">
        <f t="shared" ca="1" si="234"/>
        <v>156</v>
      </c>
      <c r="M847" s="7">
        <f t="shared" ca="1" si="235"/>
        <v>844</v>
      </c>
      <c r="N847" s="44">
        <f t="shared" ca="1" si="236"/>
        <v>10</v>
      </c>
      <c r="O847" s="94">
        <f t="shared" ca="1" si="237"/>
        <v>2.5877599795741038</v>
      </c>
      <c r="P847" s="94">
        <f t="shared" ca="1" si="238"/>
        <v>25.877599795741034</v>
      </c>
      <c r="Q847" s="94">
        <f t="shared" ca="1" si="239"/>
        <v>25.877599795741034</v>
      </c>
      <c r="R847" s="94">
        <f t="shared" ca="1" si="240"/>
        <v>2.5877599795741033</v>
      </c>
      <c r="S847" s="94">
        <f t="shared" ca="1" si="241"/>
        <v>2.5877599795741038</v>
      </c>
      <c r="T847" s="4">
        <f t="shared" ca="1" si="242"/>
        <v>0</v>
      </c>
      <c r="U847" s="46">
        <f t="shared" ca="1" si="243"/>
        <v>1420.8868633777442</v>
      </c>
      <c r="V847" s="4">
        <f t="shared" ca="1" si="244"/>
        <v>0</v>
      </c>
      <c r="W847" s="13">
        <f t="shared" ca="1" si="245"/>
        <v>15972.716608816479</v>
      </c>
      <c r="X847" s="4">
        <f t="shared" ca="1" si="246"/>
        <v>0</v>
      </c>
    </row>
    <row r="848" spans="1:24">
      <c r="A848">
        <v>2</v>
      </c>
      <c r="B848">
        <v>1</v>
      </c>
      <c r="C848">
        <f t="shared" si="228"/>
        <v>5</v>
      </c>
      <c r="D848">
        <f t="shared" si="229"/>
        <v>3</v>
      </c>
      <c r="E848">
        <f t="shared" si="230"/>
        <v>2</v>
      </c>
      <c r="F848" s="100">
        <f t="shared" ca="1" si="231"/>
        <v>3.4264999999999997E-2</v>
      </c>
      <c r="G848">
        <v>1</v>
      </c>
      <c r="H848">
        <v>0</v>
      </c>
      <c r="I848">
        <v>6</v>
      </c>
      <c r="J848" s="1">
        <f t="shared" ca="1" si="232"/>
        <v>0</v>
      </c>
      <c r="K848" s="1">
        <f t="shared" ca="1" si="233"/>
        <v>0</v>
      </c>
      <c r="L848" s="13">
        <f t="shared" ca="1" si="234"/>
        <v>143</v>
      </c>
      <c r="M848" s="7">
        <f t="shared" ca="1" si="235"/>
        <v>857</v>
      </c>
      <c r="N848" s="44">
        <f t="shared" ca="1" si="236"/>
        <v>10</v>
      </c>
      <c r="O848" s="94">
        <f t="shared" ca="1" si="237"/>
        <v>2.5877599795741038</v>
      </c>
      <c r="P848" s="94">
        <f t="shared" ca="1" si="238"/>
        <v>25.877599795741034</v>
      </c>
      <c r="Q848" s="94">
        <f t="shared" ca="1" si="239"/>
        <v>25.877599795741034</v>
      </c>
      <c r="R848" s="94">
        <f t="shared" ca="1" si="240"/>
        <v>2.5877599795741033</v>
      </c>
      <c r="S848" s="94">
        <f t="shared" ca="1" si="241"/>
        <v>2.5877599795741038</v>
      </c>
      <c r="T848" s="4">
        <f t="shared" ca="1" si="242"/>
        <v>0</v>
      </c>
      <c r="U848" s="46">
        <f t="shared" ca="1" si="243"/>
        <v>1407.8868633777442</v>
      </c>
      <c r="V848" s="4">
        <f t="shared" ca="1" si="244"/>
        <v>0</v>
      </c>
      <c r="W848" s="13">
        <f t="shared" ca="1" si="245"/>
        <v>15307.046313344596</v>
      </c>
      <c r="X848" s="4">
        <f t="shared" ca="1" si="246"/>
        <v>0</v>
      </c>
    </row>
    <row r="849" spans="1:24">
      <c r="A849">
        <v>2</v>
      </c>
      <c r="B849">
        <v>1</v>
      </c>
      <c r="C849">
        <f t="shared" si="228"/>
        <v>5</v>
      </c>
      <c r="D849">
        <f t="shared" si="229"/>
        <v>3</v>
      </c>
      <c r="E849">
        <f t="shared" si="230"/>
        <v>2</v>
      </c>
      <c r="F849" s="100">
        <f t="shared" ca="1" si="231"/>
        <v>3.4264999999999997E-2</v>
      </c>
      <c r="G849">
        <v>1</v>
      </c>
      <c r="H849">
        <v>0</v>
      </c>
      <c r="I849">
        <v>5</v>
      </c>
      <c r="J849" s="1">
        <f t="shared" ca="1" si="232"/>
        <v>0</v>
      </c>
      <c r="K849" s="1">
        <f t="shared" ca="1" si="233"/>
        <v>0</v>
      </c>
      <c r="L849" s="13">
        <f t="shared" ca="1" si="234"/>
        <v>130</v>
      </c>
      <c r="M849" s="7">
        <f t="shared" ca="1" si="235"/>
        <v>870</v>
      </c>
      <c r="N849" s="44">
        <f t="shared" ca="1" si="236"/>
        <v>10</v>
      </c>
      <c r="O849" s="94">
        <f t="shared" ca="1" si="237"/>
        <v>2.5877599795741038</v>
      </c>
      <c r="P849" s="94">
        <f t="shared" ca="1" si="238"/>
        <v>25.877599795741034</v>
      </c>
      <c r="Q849" s="94">
        <f t="shared" ca="1" si="239"/>
        <v>25.877599795741034</v>
      </c>
      <c r="R849" s="94">
        <f t="shared" ca="1" si="240"/>
        <v>2.5877599795741033</v>
      </c>
      <c r="S849" s="94">
        <f t="shared" ca="1" si="241"/>
        <v>2.5877599795741038</v>
      </c>
      <c r="T849" s="4">
        <f t="shared" ca="1" si="242"/>
        <v>0</v>
      </c>
      <c r="U849" s="46">
        <f t="shared" ca="1" si="243"/>
        <v>1394.8868633777442</v>
      </c>
      <c r="V849" s="4">
        <f t="shared" ca="1" si="244"/>
        <v>0</v>
      </c>
      <c r="W849" s="13">
        <f t="shared" ca="1" si="245"/>
        <v>14641.376017872713</v>
      </c>
      <c r="X849" s="4">
        <f t="shared" ca="1" si="246"/>
        <v>0</v>
      </c>
    </row>
    <row r="850" spans="1:24">
      <c r="A850">
        <v>2</v>
      </c>
      <c r="B850">
        <v>1</v>
      </c>
      <c r="C850">
        <f t="shared" si="228"/>
        <v>5</v>
      </c>
      <c r="D850">
        <f t="shared" si="229"/>
        <v>3</v>
      </c>
      <c r="E850">
        <f t="shared" si="230"/>
        <v>2</v>
      </c>
      <c r="F850" s="100">
        <f t="shared" ca="1" si="231"/>
        <v>3.4264999999999997E-2</v>
      </c>
      <c r="G850">
        <v>1</v>
      </c>
      <c r="H850">
        <v>0</v>
      </c>
      <c r="I850">
        <v>4</v>
      </c>
      <c r="J850" s="1">
        <f t="shared" ca="1" si="232"/>
        <v>0</v>
      </c>
      <c r="K850" s="1">
        <f t="shared" ca="1" si="233"/>
        <v>0</v>
      </c>
      <c r="L850" s="13">
        <f t="shared" ca="1" si="234"/>
        <v>117</v>
      </c>
      <c r="M850" s="7">
        <f t="shared" ca="1" si="235"/>
        <v>883</v>
      </c>
      <c r="N850" s="44">
        <f t="shared" ca="1" si="236"/>
        <v>10</v>
      </c>
      <c r="O850" s="94">
        <f t="shared" ca="1" si="237"/>
        <v>2.5877599795741038</v>
      </c>
      <c r="P850" s="94">
        <f t="shared" ca="1" si="238"/>
        <v>25.877599795741034</v>
      </c>
      <c r="Q850" s="94">
        <f t="shared" ca="1" si="239"/>
        <v>25.877599795741034</v>
      </c>
      <c r="R850" s="94">
        <f t="shared" ca="1" si="240"/>
        <v>2.5877599795741033</v>
      </c>
      <c r="S850" s="94">
        <f t="shared" ca="1" si="241"/>
        <v>2.5877599795741038</v>
      </c>
      <c r="T850" s="4">
        <f t="shared" ca="1" si="242"/>
        <v>0</v>
      </c>
      <c r="U850" s="46">
        <f t="shared" ca="1" si="243"/>
        <v>1381.8868633777442</v>
      </c>
      <c r="V850" s="4">
        <f t="shared" ca="1" si="244"/>
        <v>0</v>
      </c>
      <c r="W850" s="13">
        <f t="shared" ca="1" si="245"/>
        <v>13975.705722400829</v>
      </c>
      <c r="X850" s="4">
        <f t="shared" ca="1" si="246"/>
        <v>0</v>
      </c>
    </row>
    <row r="851" spans="1:24">
      <c r="A851">
        <v>2</v>
      </c>
      <c r="B851">
        <v>1</v>
      </c>
      <c r="C851">
        <f t="shared" si="228"/>
        <v>5</v>
      </c>
      <c r="D851">
        <f t="shared" si="229"/>
        <v>3</v>
      </c>
      <c r="E851">
        <f t="shared" si="230"/>
        <v>2</v>
      </c>
      <c r="F851" s="100">
        <f t="shared" ca="1" si="231"/>
        <v>3.4264999999999997E-2</v>
      </c>
      <c r="G851">
        <v>1</v>
      </c>
      <c r="H851">
        <v>0</v>
      </c>
      <c r="I851">
        <v>3</v>
      </c>
      <c r="J851" s="1">
        <f t="shared" ca="1" si="232"/>
        <v>9.2178405000000081E-3</v>
      </c>
      <c r="K851" s="1">
        <f t="shared" ca="1" si="233"/>
        <v>3.1584930473250024E-4</v>
      </c>
      <c r="L851" s="13">
        <f t="shared" ca="1" si="234"/>
        <v>104</v>
      </c>
      <c r="M851" s="7">
        <f t="shared" ca="1" si="235"/>
        <v>896</v>
      </c>
      <c r="N851" s="44">
        <f t="shared" ca="1" si="236"/>
        <v>11</v>
      </c>
      <c r="O851" s="94">
        <f t="shared" ca="1" si="237"/>
        <v>2.8265749241644089</v>
      </c>
      <c r="P851" s="94">
        <f t="shared" ca="1" si="238"/>
        <v>27.071674518692554</v>
      </c>
      <c r="Q851" s="94">
        <f t="shared" ca="1" si="239"/>
        <v>25.877599795741034</v>
      </c>
      <c r="R851" s="94">
        <f t="shared" ca="1" si="240"/>
        <v>2.6474637157216794</v>
      </c>
      <c r="S851" s="94">
        <f t="shared" ca="1" si="241"/>
        <v>2.8265749241644089</v>
      </c>
      <c r="T851" s="4">
        <f t="shared" ca="1" si="242"/>
        <v>8.9277172457164812E-4</v>
      </c>
      <c r="U851" s="46">
        <f t="shared" ca="1" si="243"/>
        <v>1466.7163216869442</v>
      </c>
      <c r="V851" s="4">
        <f t="shared" ca="1" si="244"/>
        <v>0.46326133044463147</v>
      </c>
      <c r="W851" s="13">
        <f t="shared" ca="1" si="245"/>
        <v>13310.035426928947</v>
      </c>
      <c r="X851" s="4">
        <f t="shared" ca="1" si="246"/>
        <v>4.2039654355604554</v>
      </c>
    </row>
    <row r="852" spans="1:24">
      <c r="A852">
        <v>2</v>
      </c>
      <c r="B852">
        <v>1</v>
      </c>
      <c r="C852">
        <f t="shared" si="228"/>
        <v>5</v>
      </c>
      <c r="D852">
        <f t="shared" si="229"/>
        <v>3</v>
      </c>
      <c r="E852">
        <f t="shared" si="230"/>
        <v>2</v>
      </c>
      <c r="F852" s="100">
        <f t="shared" ca="1" si="231"/>
        <v>3.4264999999999997E-2</v>
      </c>
      <c r="G852">
        <v>1</v>
      </c>
      <c r="H852">
        <v>0</v>
      </c>
      <c r="I852">
        <v>2</v>
      </c>
      <c r="J852" s="1">
        <f t="shared" ca="1" si="232"/>
        <v>2.7932850000000046E-4</v>
      </c>
      <c r="K852" s="1">
        <f t="shared" ca="1" si="233"/>
        <v>9.5711910525000147E-6</v>
      </c>
      <c r="L852" s="13">
        <f t="shared" ca="1" si="234"/>
        <v>91</v>
      </c>
      <c r="M852" s="7">
        <f t="shared" ca="1" si="235"/>
        <v>909</v>
      </c>
      <c r="N852" s="44">
        <f t="shared" ca="1" si="236"/>
        <v>11</v>
      </c>
      <c r="O852" s="94">
        <f t="shared" ca="1" si="237"/>
        <v>2.8265749241644089</v>
      </c>
      <c r="P852" s="94">
        <f t="shared" ca="1" si="238"/>
        <v>28.265749241644084</v>
      </c>
      <c r="Q852" s="94">
        <f t="shared" ca="1" si="239"/>
        <v>27.788119352463475</v>
      </c>
      <c r="R852" s="94">
        <f t="shared" ca="1" si="240"/>
        <v>2.8026934297053776</v>
      </c>
      <c r="S852" s="94">
        <f t="shared" ca="1" si="241"/>
        <v>2.8265749241644089</v>
      </c>
      <c r="T852" s="4">
        <f t="shared" ca="1" si="242"/>
        <v>2.7053688623383298E-5</v>
      </c>
      <c r="U852" s="46">
        <f t="shared" ca="1" si="243"/>
        <v>1453.7163216869442</v>
      </c>
      <c r="V852" s="4">
        <f t="shared" ca="1" si="244"/>
        <v>1.3913796651003313E-2</v>
      </c>
      <c r="W852" s="13">
        <f t="shared" ca="1" si="245"/>
        <v>12644.365131457063</v>
      </c>
      <c r="X852" s="4">
        <f t="shared" ca="1" si="246"/>
        <v>0.12102163441074501</v>
      </c>
    </row>
    <row r="853" spans="1:24">
      <c r="A853">
        <v>2</v>
      </c>
      <c r="B853">
        <v>1</v>
      </c>
      <c r="C853">
        <f t="shared" si="228"/>
        <v>5</v>
      </c>
      <c r="D853">
        <f t="shared" si="229"/>
        <v>3</v>
      </c>
      <c r="E853">
        <f t="shared" si="230"/>
        <v>2</v>
      </c>
      <c r="F853" s="100">
        <f t="shared" ca="1" si="231"/>
        <v>3.4264999999999997E-2</v>
      </c>
      <c r="G853">
        <v>1</v>
      </c>
      <c r="H853">
        <v>0</v>
      </c>
      <c r="I853">
        <v>1</v>
      </c>
      <c r="J853" s="1">
        <f t="shared" ca="1" si="232"/>
        <v>2.8215000000000076E-6</v>
      </c>
      <c r="K853" s="1">
        <f t="shared" ca="1" si="233"/>
        <v>9.6678697500000254E-8</v>
      </c>
      <c r="L853" s="13">
        <f t="shared" ca="1" si="234"/>
        <v>78</v>
      </c>
      <c r="M853" s="7">
        <f t="shared" ca="1" si="235"/>
        <v>922</v>
      </c>
      <c r="N853" s="44">
        <f t="shared" ca="1" si="236"/>
        <v>11</v>
      </c>
      <c r="O853" s="94">
        <f t="shared" ca="1" si="237"/>
        <v>2.8265749241644089</v>
      </c>
      <c r="P853" s="94">
        <f t="shared" ca="1" si="238"/>
        <v>28.265749241644084</v>
      </c>
      <c r="Q853" s="94">
        <f t="shared" ca="1" si="239"/>
        <v>28.265749241644084</v>
      </c>
      <c r="R853" s="94">
        <f t="shared" ca="1" si="240"/>
        <v>2.8265749241644085</v>
      </c>
      <c r="S853" s="94">
        <f t="shared" ca="1" si="241"/>
        <v>2.8265749241644089</v>
      </c>
      <c r="T853" s="4">
        <f t="shared" ca="1" si="242"/>
        <v>2.7326958205437706E-7</v>
      </c>
      <c r="U853" s="46">
        <f t="shared" ca="1" si="243"/>
        <v>1440.7163216869442</v>
      </c>
      <c r="V853" s="4">
        <f t="shared" ca="1" si="244"/>
        <v>1.3928657744768512E-4</v>
      </c>
      <c r="W853" s="13">
        <f t="shared" ca="1" si="245"/>
        <v>11978.694835985181</v>
      </c>
      <c r="X853" s="4">
        <f t="shared" ca="1" si="246"/>
        <v>1.1580846144930265E-3</v>
      </c>
    </row>
    <row r="854" spans="1:24">
      <c r="A854">
        <v>2</v>
      </c>
      <c r="B854">
        <v>1</v>
      </c>
      <c r="C854">
        <f t="shared" si="228"/>
        <v>5</v>
      </c>
      <c r="D854">
        <f t="shared" si="229"/>
        <v>3</v>
      </c>
      <c r="E854">
        <f t="shared" si="230"/>
        <v>2</v>
      </c>
      <c r="F854" s="100">
        <f t="shared" ca="1" si="231"/>
        <v>3.4264999999999997E-2</v>
      </c>
      <c r="G854">
        <v>1</v>
      </c>
      <c r="H854">
        <v>0</v>
      </c>
      <c r="I854">
        <v>0</v>
      </c>
      <c r="J854" s="1">
        <f t="shared" ca="1" si="232"/>
        <v>9.5000000000000338E-9</v>
      </c>
      <c r="K854" s="1">
        <f t="shared" ca="1" si="233"/>
        <v>3.2551750000000115E-10</v>
      </c>
      <c r="L854" s="13">
        <f t="shared" ca="1" si="234"/>
        <v>65</v>
      </c>
      <c r="M854" s="7">
        <f t="shared" ca="1" si="235"/>
        <v>935</v>
      </c>
      <c r="N854" s="44">
        <f t="shared" ca="1" si="236"/>
        <v>11</v>
      </c>
      <c r="O854" s="94">
        <f t="shared" ca="1" si="237"/>
        <v>2.8265749241644089</v>
      </c>
      <c r="P854" s="94">
        <f t="shared" ca="1" si="238"/>
        <v>28.265749241644084</v>
      </c>
      <c r="Q854" s="94">
        <f t="shared" ca="1" si="239"/>
        <v>28.265749241644084</v>
      </c>
      <c r="R854" s="94">
        <f t="shared" ca="1" si="240"/>
        <v>2.8265749241644085</v>
      </c>
      <c r="S854" s="94">
        <f t="shared" ca="1" si="241"/>
        <v>2.8265749241644089</v>
      </c>
      <c r="T854" s="4">
        <f t="shared" ca="1" si="242"/>
        <v>9.2009960287669122E-10</v>
      </c>
      <c r="U854" s="46">
        <f t="shared" ca="1" si="243"/>
        <v>1427.7163216869442</v>
      </c>
      <c r="V854" s="4">
        <f t="shared" ca="1" si="244"/>
        <v>4.6474664774473147E-7</v>
      </c>
      <c r="W854" s="13">
        <f t="shared" ca="1" si="245"/>
        <v>11313.024540513297</v>
      </c>
      <c r="X854" s="4">
        <f t="shared" ca="1" si="246"/>
        <v>3.6825874658665501E-6</v>
      </c>
    </row>
    <row r="855" spans="1:24">
      <c r="A855">
        <v>2</v>
      </c>
      <c r="B855">
        <v>1</v>
      </c>
      <c r="C855">
        <f t="shared" si="228"/>
        <v>5</v>
      </c>
      <c r="D855">
        <f t="shared" si="229"/>
        <v>3</v>
      </c>
      <c r="E855">
        <f t="shared" si="230"/>
        <v>2</v>
      </c>
      <c r="F855" s="100">
        <f t="shared" ca="1" si="231"/>
        <v>3.4264999999999997E-2</v>
      </c>
      <c r="G855">
        <v>0</v>
      </c>
      <c r="H855">
        <v>1</v>
      </c>
      <c r="I855">
        <v>7</v>
      </c>
      <c r="J855" s="1">
        <f t="shared" ca="1" si="232"/>
        <v>0</v>
      </c>
      <c r="K855" s="1">
        <f t="shared" ca="1" si="233"/>
        <v>0</v>
      </c>
      <c r="L855" s="13">
        <f t="shared" ca="1" si="234"/>
        <v>156</v>
      </c>
      <c r="M855" s="7">
        <f t="shared" ca="1" si="235"/>
        <v>844</v>
      </c>
      <c r="N855" s="44">
        <f t="shared" ca="1" si="236"/>
        <v>10</v>
      </c>
      <c r="O855" s="94">
        <f t="shared" ca="1" si="237"/>
        <v>2.5877599795741038</v>
      </c>
      <c r="P855" s="94">
        <f t="shared" ca="1" si="238"/>
        <v>25.877599795741034</v>
      </c>
      <c r="Q855" s="94">
        <f t="shared" ca="1" si="239"/>
        <v>25.877599795741034</v>
      </c>
      <c r="R855" s="94">
        <f t="shared" ca="1" si="240"/>
        <v>2.5877599795741033</v>
      </c>
      <c r="S855" s="94">
        <f t="shared" ca="1" si="241"/>
        <v>2.5877599795741038</v>
      </c>
      <c r="T855" s="4">
        <f t="shared" ca="1" si="242"/>
        <v>0</v>
      </c>
      <c r="U855" s="46">
        <f t="shared" ca="1" si="243"/>
        <v>1420.8868633777442</v>
      </c>
      <c r="V855" s="4">
        <f t="shared" ca="1" si="244"/>
        <v>0</v>
      </c>
      <c r="W855" s="13">
        <f t="shared" ca="1" si="245"/>
        <v>5125.2361347438955</v>
      </c>
      <c r="X855" s="4">
        <f t="shared" ca="1" si="246"/>
        <v>0</v>
      </c>
    </row>
    <row r="856" spans="1:24">
      <c r="A856">
        <v>2</v>
      </c>
      <c r="B856">
        <v>1</v>
      </c>
      <c r="C856">
        <f t="shared" si="228"/>
        <v>5</v>
      </c>
      <c r="D856">
        <f t="shared" si="229"/>
        <v>3</v>
      </c>
      <c r="E856">
        <f t="shared" si="230"/>
        <v>2</v>
      </c>
      <c r="F856" s="100">
        <f t="shared" ca="1" si="231"/>
        <v>3.4264999999999997E-2</v>
      </c>
      <c r="G856">
        <v>0</v>
      </c>
      <c r="H856">
        <v>1</v>
      </c>
      <c r="I856">
        <v>6</v>
      </c>
      <c r="J856" s="1">
        <f t="shared" ca="1" si="232"/>
        <v>0</v>
      </c>
      <c r="K856" s="1">
        <f t="shared" ca="1" si="233"/>
        <v>0</v>
      </c>
      <c r="L856" s="13">
        <f t="shared" ca="1" si="234"/>
        <v>143</v>
      </c>
      <c r="M856" s="7">
        <f t="shared" ca="1" si="235"/>
        <v>857</v>
      </c>
      <c r="N856" s="44">
        <f t="shared" ca="1" si="236"/>
        <v>10</v>
      </c>
      <c r="O856" s="94">
        <f t="shared" ca="1" si="237"/>
        <v>2.5877599795741038</v>
      </c>
      <c r="P856" s="94">
        <f t="shared" ca="1" si="238"/>
        <v>25.877599795741034</v>
      </c>
      <c r="Q856" s="94">
        <f t="shared" ca="1" si="239"/>
        <v>25.877599795741034</v>
      </c>
      <c r="R856" s="94">
        <f t="shared" ca="1" si="240"/>
        <v>2.5877599795741033</v>
      </c>
      <c r="S856" s="94">
        <f t="shared" ca="1" si="241"/>
        <v>2.5877599795741038</v>
      </c>
      <c r="T856" s="4">
        <f t="shared" ca="1" si="242"/>
        <v>0</v>
      </c>
      <c r="U856" s="46">
        <f t="shared" ca="1" si="243"/>
        <v>1407.8868633777442</v>
      </c>
      <c r="V856" s="4">
        <f t="shared" ca="1" si="244"/>
        <v>0</v>
      </c>
      <c r="W856" s="13">
        <f t="shared" ca="1" si="245"/>
        <v>4459.5658392720125</v>
      </c>
      <c r="X856" s="4">
        <f t="shared" ca="1" si="246"/>
        <v>0</v>
      </c>
    </row>
    <row r="857" spans="1:24">
      <c r="A857">
        <v>2</v>
      </c>
      <c r="B857">
        <v>1</v>
      </c>
      <c r="C857">
        <f t="shared" si="228"/>
        <v>5</v>
      </c>
      <c r="D857">
        <f t="shared" si="229"/>
        <v>3</v>
      </c>
      <c r="E857">
        <f t="shared" si="230"/>
        <v>2</v>
      </c>
      <c r="F857" s="100">
        <f t="shared" ca="1" si="231"/>
        <v>3.4264999999999997E-2</v>
      </c>
      <c r="G857">
        <v>0</v>
      </c>
      <c r="H857">
        <v>1</v>
      </c>
      <c r="I857">
        <v>5</v>
      </c>
      <c r="J857" s="1">
        <f t="shared" ca="1" si="232"/>
        <v>0</v>
      </c>
      <c r="K857" s="1">
        <f t="shared" ca="1" si="233"/>
        <v>0</v>
      </c>
      <c r="L857" s="13">
        <f t="shared" ca="1" si="234"/>
        <v>130</v>
      </c>
      <c r="M857" s="7">
        <f t="shared" ca="1" si="235"/>
        <v>870</v>
      </c>
      <c r="N857" s="44">
        <f t="shared" ca="1" si="236"/>
        <v>10</v>
      </c>
      <c r="O857" s="94">
        <f t="shared" ca="1" si="237"/>
        <v>2.5877599795741038</v>
      </c>
      <c r="P857" s="94">
        <f t="shared" ca="1" si="238"/>
        <v>25.877599795741034</v>
      </c>
      <c r="Q857" s="94">
        <f t="shared" ca="1" si="239"/>
        <v>25.877599795741034</v>
      </c>
      <c r="R857" s="94">
        <f t="shared" ca="1" si="240"/>
        <v>2.5877599795741033</v>
      </c>
      <c r="S857" s="94">
        <f t="shared" ca="1" si="241"/>
        <v>2.5877599795741038</v>
      </c>
      <c r="T857" s="4">
        <f t="shared" ca="1" si="242"/>
        <v>0</v>
      </c>
      <c r="U857" s="46">
        <f t="shared" ca="1" si="243"/>
        <v>1394.8868633777442</v>
      </c>
      <c r="V857" s="4">
        <f t="shared" ca="1" si="244"/>
        <v>0</v>
      </c>
      <c r="W857" s="13">
        <f t="shared" ca="1" si="245"/>
        <v>3793.895543800129</v>
      </c>
      <c r="X857" s="4">
        <f t="shared" ca="1" si="246"/>
        <v>0</v>
      </c>
    </row>
    <row r="858" spans="1:24">
      <c r="A858">
        <v>2</v>
      </c>
      <c r="B858">
        <v>1</v>
      </c>
      <c r="C858">
        <f t="shared" si="228"/>
        <v>5</v>
      </c>
      <c r="D858">
        <f t="shared" si="229"/>
        <v>3</v>
      </c>
      <c r="E858">
        <f t="shared" si="230"/>
        <v>2</v>
      </c>
      <c r="F858" s="100">
        <f t="shared" ca="1" si="231"/>
        <v>3.4264999999999997E-2</v>
      </c>
      <c r="G858">
        <v>0</v>
      </c>
      <c r="H858">
        <v>1</v>
      </c>
      <c r="I858">
        <v>4</v>
      </c>
      <c r="J858" s="1">
        <f t="shared" ca="1" si="232"/>
        <v>0</v>
      </c>
      <c r="K858" s="1">
        <f t="shared" ca="1" si="233"/>
        <v>0</v>
      </c>
      <c r="L858" s="13">
        <f t="shared" ca="1" si="234"/>
        <v>117</v>
      </c>
      <c r="M858" s="7">
        <f t="shared" ca="1" si="235"/>
        <v>883</v>
      </c>
      <c r="N858" s="44">
        <f t="shared" ca="1" si="236"/>
        <v>10</v>
      </c>
      <c r="O858" s="94">
        <f t="shared" ca="1" si="237"/>
        <v>2.5877599795741038</v>
      </c>
      <c r="P858" s="94">
        <f t="shared" ca="1" si="238"/>
        <v>25.877599795741034</v>
      </c>
      <c r="Q858" s="94">
        <f t="shared" ca="1" si="239"/>
        <v>25.877599795741034</v>
      </c>
      <c r="R858" s="94">
        <f t="shared" ca="1" si="240"/>
        <v>2.5877599795741033</v>
      </c>
      <c r="S858" s="94">
        <f t="shared" ca="1" si="241"/>
        <v>2.5877599795741038</v>
      </c>
      <c r="T858" s="4">
        <f t="shared" ca="1" si="242"/>
        <v>0</v>
      </c>
      <c r="U858" s="46">
        <f t="shared" ca="1" si="243"/>
        <v>1381.8868633777442</v>
      </c>
      <c r="V858" s="4">
        <f t="shared" ca="1" si="244"/>
        <v>0</v>
      </c>
      <c r="W858" s="13">
        <f t="shared" ca="1" si="245"/>
        <v>3128.2252483282455</v>
      </c>
      <c r="X858" s="4">
        <f t="shared" ca="1" si="246"/>
        <v>0</v>
      </c>
    </row>
    <row r="859" spans="1:24">
      <c r="A859">
        <v>2</v>
      </c>
      <c r="B859">
        <v>1</v>
      </c>
      <c r="C859">
        <f t="shared" si="228"/>
        <v>5</v>
      </c>
      <c r="D859">
        <f t="shared" si="229"/>
        <v>3</v>
      </c>
      <c r="E859">
        <f t="shared" si="230"/>
        <v>2</v>
      </c>
      <c r="F859" s="100">
        <f t="shared" ca="1" si="231"/>
        <v>3.4264999999999997E-2</v>
      </c>
      <c r="G859">
        <v>0</v>
      </c>
      <c r="H859">
        <v>1</v>
      </c>
      <c r="I859">
        <v>3</v>
      </c>
      <c r="J859" s="1">
        <f t="shared" ca="1" si="232"/>
        <v>4.8029800499999997E-2</v>
      </c>
      <c r="K859" s="1">
        <f t="shared" ca="1" si="233"/>
        <v>1.6457411141324997E-3</v>
      </c>
      <c r="L859" s="13">
        <f t="shared" ca="1" si="234"/>
        <v>104</v>
      </c>
      <c r="M859" s="7">
        <f t="shared" ca="1" si="235"/>
        <v>896</v>
      </c>
      <c r="N859" s="44">
        <f t="shared" ca="1" si="236"/>
        <v>11</v>
      </c>
      <c r="O859" s="94">
        <f t="shared" ca="1" si="237"/>
        <v>2.8265749241644089</v>
      </c>
      <c r="P859" s="94">
        <f t="shared" ca="1" si="238"/>
        <v>27.071674518692554</v>
      </c>
      <c r="Q859" s="94">
        <f t="shared" ca="1" si="239"/>
        <v>25.877599795741034</v>
      </c>
      <c r="R859" s="94">
        <f t="shared" ca="1" si="240"/>
        <v>2.6474637157216794</v>
      </c>
      <c r="S859" s="94">
        <f t="shared" ca="1" si="241"/>
        <v>2.8265749241644089</v>
      </c>
      <c r="T859" s="4">
        <f t="shared" ca="1" si="242"/>
        <v>4.6518105648733201E-3</v>
      </c>
      <c r="U859" s="46">
        <f t="shared" ca="1" si="243"/>
        <v>1466.7163216869442</v>
      </c>
      <c r="V859" s="4">
        <f t="shared" ca="1" si="244"/>
        <v>2.4138353533693935</v>
      </c>
      <c r="W859" s="13">
        <f t="shared" ca="1" si="245"/>
        <v>2462.5549528563624</v>
      </c>
      <c r="X859" s="4">
        <f t="shared" ca="1" si="246"/>
        <v>4.0527279317263352</v>
      </c>
    </row>
    <row r="860" spans="1:24">
      <c r="A860">
        <v>2</v>
      </c>
      <c r="B860">
        <v>1</v>
      </c>
      <c r="C860">
        <f t="shared" si="228"/>
        <v>5</v>
      </c>
      <c r="D860">
        <f t="shared" si="229"/>
        <v>3</v>
      </c>
      <c r="E860">
        <f t="shared" si="230"/>
        <v>2</v>
      </c>
      <c r="F860" s="100">
        <f t="shared" ca="1" si="231"/>
        <v>3.4264999999999997E-2</v>
      </c>
      <c r="G860">
        <v>0</v>
      </c>
      <c r="H860">
        <v>1</v>
      </c>
      <c r="I860">
        <v>2</v>
      </c>
      <c r="J860" s="1">
        <f t="shared" ca="1" si="232"/>
        <v>1.4554485000000013E-3</v>
      </c>
      <c r="K860" s="1">
        <f t="shared" ca="1" si="233"/>
        <v>4.9870942852500042E-5</v>
      </c>
      <c r="L860" s="13">
        <f t="shared" ca="1" si="234"/>
        <v>91</v>
      </c>
      <c r="M860" s="7">
        <f t="shared" ca="1" si="235"/>
        <v>909</v>
      </c>
      <c r="N860" s="44">
        <f t="shared" ca="1" si="236"/>
        <v>11</v>
      </c>
      <c r="O860" s="94">
        <f t="shared" ca="1" si="237"/>
        <v>2.8265749241644089</v>
      </c>
      <c r="P860" s="94">
        <f t="shared" ca="1" si="238"/>
        <v>28.265749241644084</v>
      </c>
      <c r="Q860" s="94">
        <f t="shared" ca="1" si="239"/>
        <v>27.788119352463475</v>
      </c>
      <c r="R860" s="94">
        <f t="shared" ca="1" si="240"/>
        <v>2.8026934297053776</v>
      </c>
      <c r="S860" s="94">
        <f t="shared" ca="1" si="241"/>
        <v>2.8265749241644089</v>
      </c>
      <c r="T860" s="4">
        <f t="shared" ca="1" si="242"/>
        <v>1.4096395651131289E-4</v>
      </c>
      <c r="U860" s="46">
        <f t="shared" ca="1" si="243"/>
        <v>1453.7163216869442</v>
      </c>
      <c r="V860" s="4">
        <f t="shared" ca="1" si="244"/>
        <v>7.2498203602596165E-2</v>
      </c>
      <c r="W860" s="13">
        <f t="shared" ca="1" si="245"/>
        <v>1796.8846573844794</v>
      </c>
      <c r="X860" s="4">
        <f t="shared" ca="1" si="246"/>
        <v>8.9612332060955494E-2</v>
      </c>
    </row>
    <row r="861" spans="1:24">
      <c r="A861">
        <v>2</v>
      </c>
      <c r="B861">
        <v>1</v>
      </c>
      <c r="C861">
        <f t="shared" si="228"/>
        <v>5</v>
      </c>
      <c r="D861">
        <f t="shared" si="229"/>
        <v>3</v>
      </c>
      <c r="E861">
        <f t="shared" si="230"/>
        <v>2</v>
      </c>
      <c r="F861" s="100">
        <f t="shared" ca="1" si="231"/>
        <v>3.4264999999999997E-2</v>
      </c>
      <c r="G861">
        <v>0</v>
      </c>
      <c r="H861">
        <v>1</v>
      </c>
      <c r="I861">
        <v>1</v>
      </c>
      <c r="J861" s="1">
        <f t="shared" ca="1" si="232"/>
        <v>1.4701500000000029E-5</v>
      </c>
      <c r="K861" s="1">
        <f t="shared" ca="1" si="233"/>
        <v>5.0374689750000092E-7</v>
      </c>
      <c r="L861" s="13">
        <f t="shared" ca="1" si="234"/>
        <v>78</v>
      </c>
      <c r="M861" s="7">
        <f t="shared" ca="1" si="235"/>
        <v>922</v>
      </c>
      <c r="N861" s="44">
        <f t="shared" ca="1" si="236"/>
        <v>11</v>
      </c>
      <c r="O861" s="94">
        <f t="shared" ca="1" si="237"/>
        <v>2.8265749241644089</v>
      </c>
      <c r="P861" s="94">
        <f t="shared" ca="1" si="238"/>
        <v>28.265749241644084</v>
      </c>
      <c r="Q861" s="94">
        <f t="shared" ca="1" si="239"/>
        <v>28.265749241644084</v>
      </c>
      <c r="R861" s="94">
        <f t="shared" ca="1" si="240"/>
        <v>2.8265749241644085</v>
      </c>
      <c r="S861" s="94">
        <f t="shared" ca="1" si="241"/>
        <v>2.8265749241644089</v>
      </c>
      <c r="T861" s="4">
        <f t="shared" ca="1" si="242"/>
        <v>1.4238783485991213E-6</v>
      </c>
      <c r="U861" s="46">
        <f t="shared" ca="1" si="243"/>
        <v>1440.7163216869442</v>
      </c>
      <c r="V861" s="4">
        <f t="shared" ca="1" si="244"/>
        <v>7.2575637722741145E-4</v>
      </c>
      <c r="W861" s="13">
        <f t="shared" ca="1" si="245"/>
        <v>1131.2143619125961</v>
      </c>
      <c r="X861" s="4">
        <f t="shared" ca="1" si="246"/>
        <v>5.6984572522091352E-4</v>
      </c>
    </row>
    <row r="862" spans="1:24">
      <c r="A862">
        <v>2</v>
      </c>
      <c r="B862">
        <v>1</v>
      </c>
      <c r="C862">
        <f t="shared" si="228"/>
        <v>5</v>
      </c>
      <c r="D862">
        <f t="shared" si="229"/>
        <v>3</v>
      </c>
      <c r="E862">
        <f t="shared" si="230"/>
        <v>2</v>
      </c>
      <c r="F862" s="100">
        <f t="shared" ca="1" si="231"/>
        <v>3.4264999999999997E-2</v>
      </c>
      <c r="G862">
        <v>0</v>
      </c>
      <c r="H862">
        <v>1</v>
      </c>
      <c r="I862">
        <v>0</v>
      </c>
      <c r="J862" s="1">
        <f t="shared" ca="1" si="232"/>
        <v>4.9500000000000139E-8</v>
      </c>
      <c r="K862" s="1">
        <f t="shared" ca="1" si="233"/>
        <v>1.6961175000000045E-9</v>
      </c>
      <c r="L862" s="13">
        <f t="shared" ca="1" si="234"/>
        <v>65</v>
      </c>
      <c r="M862" s="7">
        <f t="shared" ca="1" si="235"/>
        <v>935</v>
      </c>
      <c r="N862" s="44">
        <f t="shared" ca="1" si="236"/>
        <v>11</v>
      </c>
      <c r="O862" s="94">
        <f t="shared" ca="1" si="237"/>
        <v>2.8265749241644089</v>
      </c>
      <c r="P862" s="94">
        <f t="shared" ca="1" si="238"/>
        <v>28.265749241644084</v>
      </c>
      <c r="Q862" s="94">
        <f t="shared" ca="1" si="239"/>
        <v>28.265749241644084</v>
      </c>
      <c r="R862" s="94">
        <f t="shared" ca="1" si="240"/>
        <v>2.8265749241644085</v>
      </c>
      <c r="S862" s="94">
        <f t="shared" ca="1" si="241"/>
        <v>2.8265749241644089</v>
      </c>
      <c r="T862" s="4">
        <f t="shared" ca="1" si="242"/>
        <v>4.7942031939364394E-9</v>
      </c>
      <c r="U862" s="46">
        <f t="shared" ca="1" si="243"/>
        <v>1427.7163216869442</v>
      </c>
      <c r="V862" s="4">
        <f t="shared" ca="1" si="244"/>
        <v>2.421574638248862E-6</v>
      </c>
      <c r="W862" s="13">
        <f t="shared" ca="1" si="245"/>
        <v>465.54406644071304</v>
      </c>
      <c r="X862" s="4">
        <f t="shared" ca="1" si="246"/>
        <v>7.8961743811125817E-7</v>
      </c>
    </row>
    <row r="863" spans="1:24">
      <c r="A863">
        <v>2</v>
      </c>
      <c r="B863">
        <v>1</v>
      </c>
      <c r="C863">
        <f t="shared" si="228"/>
        <v>5</v>
      </c>
      <c r="D863">
        <f t="shared" si="229"/>
        <v>3</v>
      </c>
      <c r="E863">
        <f t="shared" si="230"/>
        <v>2</v>
      </c>
      <c r="F863" s="100">
        <f t="shared" ca="1" si="231"/>
        <v>3.4264999999999997E-2</v>
      </c>
      <c r="G863">
        <v>0</v>
      </c>
      <c r="H863">
        <v>0</v>
      </c>
      <c r="I863">
        <v>7</v>
      </c>
      <c r="J863" s="1">
        <f t="shared" ca="1" si="232"/>
        <v>0</v>
      </c>
      <c r="K863" s="1">
        <f t="shared" ca="1" si="233"/>
        <v>0</v>
      </c>
      <c r="L863" s="13">
        <f t="shared" ca="1" si="234"/>
        <v>91</v>
      </c>
      <c r="M863" s="7">
        <f t="shared" ca="1" si="235"/>
        <v>909</v>
      </c>
      <c r="N863" s="44">
        <f t="shared" ca="1" si="236"/>
        <v>11</v>
      </c>
      <c r="O863" s="94">
        <f t="shared" ca="1" si="237"/>
        <v>2.8265749241644089</v>
      </c>
      <c r="P863" s="94">
        <f t="shared" ca="1" si="238"/>
        <v>28.265749241644084</v>
      </c>
      <c r="Q863" s="94">
        <f t="shared" ca="1" si="239"/>
        <v>27.788119352463475</v>
      </c>
      <c r="R863" s="94">
        <f t="shared" ca="1" si="240"/>
        <v>2.8026934297053776</v>
      </c>
      <c r="S863" s="94">
        <f t="shared" ca="1" si="241"/>
        <v>2.8265749241644089</v>
      </c>
      <c r="T863" s="4">
        <f t="shared" ca="1" si="242"/>
        <v>0</v>
      </c>
      <c r="U863" s="46">
        <f t="shared" ca="1" si="243"/>
        <v>1453.7163216869442</v>
      </c>
      <c r="V863" s="4">
        <f t="shared" ca="1" si="244"/>
        <v>0</v>
      </c>
      <c r="W863" s="13">
        <f t="shared" ca="1" si="245"/>
        <v>4659.6920683031822</v>
      </c>
      <c r="X863" s="4">
        <f t="shared" ca="1" si="246"/>
        <v>0</v>
      </c>
    </row>
    <row r="864" spans="1:24">
      <c r="A864">
        <v>2</v>
      </c>
      <c r="B864">
        <v>1</v>
      </c>
      <c r="C864">
        <f t="shared" si="228"/>
        <v>5</v>
      </c>
      <c r="D864">
        <f t="shared" si="229"/>
        <v>3</v>
      </c>
      <c r="E864">
        <f t="shared" si="230"/>
        <v>2</v>
      </c>
      <c r="F864" s="100">
        <f t="shared" ca="1" si="231"/>
        <v>3.4264999999999997E-2</v>
      </c>
      <c r="G864">
        <v>0</v>
      </c>
      <c r="H864">
        <v>0</v>
      </c>
      <c r="I864">
        <v>6</v>
      </c>
      <c r="J864" s="1">
        <f t="shared" ca="1" si="232"/>
        <v>0</v>
      </c>
      <c r="K864" s="1">
        <f t="shared" ca="1" si="233"/>
        <v>0</v>
      </c>
      <c r="L864" s="13">
        <f t="shared" ca="1" si="234"/>
        <v>78</v>
      </c>
      <c r="M864" s="7">
        <f t="shared" ca="1" si="235"/>
        <v>922</v>
      </c>
      <c r="N864" s="44">
        <f t="shared" ca="1" si="236"/>
        <v>11</v>
      </c>
      <c r="O864" s="94">
        <f t="shared" ca="1" si="237"/>
        <v>2.8265749241644089</v>
      </c>
      <c r="P864" s="94">
        <f t="shared" ca="1" si="238"/>
        <v>28.265749241644084</v>
      </c>
      <c r="Q864" s="94">
        <f t="shared" ca="1" si="239"/>
        <v>28.265749241644084</v>
      </c>
      <c r="R864" s="94">
        <f t="shared" ca="1" si="240"/>
        <v>2.8265749241644085</v>
      </c>
      <c r="S864" s="94">
        <f t="shared" ca="1" si="241"/>
        <v>2.8265749241644089</v>
      </c>
      <c r="T864" s="4">
        <f t="shared" ca="1" si="242"/>
        <v>0</v>
      </c>
      <c r="U864" s="46">
        <f t="shared" ca="1" si="243"/>
        <v>1440.7163216869442</v>
      </c>
      <c r="V864" s="4">
        <f t="shared" ca="1" si="244"/>
        <v>0</v>
      </c>
      <c r="W864" s="13">
        <f t="shared" ca="1" si="245"/>
        <v>3994.0217728312991</v>
      </c>
      <c r="X864" s="4">
        <f t="shared" ca="1" si="246"/>
        <v>0</v>
      </c>
    </row>
    <row r="865" spans="1:24">
      <c r="A865">
        <v>2</v>
      </c>
      <c r="B865">
        <v>1</v>
      </c>
      <c r="C865">
        <f t="shared" si="228"/>
        <v>5</v>
      </c>
      <c r="D865">
        <f t="shared" si="229"/>
        <v>3</v>
      </c>
      <c r="E865">
        <f t="shared" si="230"/>
        <v>2</v>
      </c>
      <c r="F865" s="100">
        <f t="shared" ca="1" si="231"/>
        <v>3.4264999999999997E-2</v>
      </c>
      <c r="G865">
        <v>0</v>
      </c>
      <c r="H865">
        <v>0</v>
      </c>
      <c r="I865">
        <v>5</v>
      </c>
      <c r="J865" s="1">
        <f t="shared" ca="1" si="232"/>
        <v>0</v>
      </c>
      <c r="K865" s="1">
        <f t="shared" ca="1" si="233"/>
        <v>0</v>
      </c>
      <c r="L865" s="13">
        <f t="shared" ca="1" si="234"/>
        <v>65</v>
      </c>
      <c r="M865" s="7">
        <f t="shared" ca="1" si="235"/>
        <v>935</v>
      </c>
      <c r="N865" s="44">
        <f t="shared" ca="1" si="236"/>
        <v>11</v>
      </c>
      <c r="O865" s="94">
        <f t="shared" ca="1" si="237"/>
        <v>2.8265749241644089</v>
      </c>
      <c r="P865" s="94">
        <f t="shared" ca="1" si="238"/>
        <v>28.265749241644084</v>
      </c>
      <c r="Q865" s="94">
        <f t="shared" ca="1" si="239"/>
        <v>28.265749241644084</v>
      </c>
      <c r="R865" s="94">
        <f t="shared" ca="1" si="240"/>
        <v>2.8265749241644085</v>
      </c>
      <c r="S865" s="94">
        <f t="shared" ca="1" si="241"/>
        <v>2.8265749241644089</v>
      </c>
      <c r="T865" s="4">
        <f t="shared" ca="1" si="242"/>
        <v>0</v>
      </c>
      <c r="U865" s="46">
        <f t="shared" ca="1" si="243"/>
        <v>1427.7163216869442</v>
      </c>
      <c r="V865" s="4">
        <f t="shared" ca="1" si="244"/>
        <v>0</v>
      </c>
      <c r="W865" s="13">
        <f t="shared" ca="1" si="245"/>
        <v>3328.3514773594161</v>
      </c>
      <c r="X865" s="4">
        <f t="shared" ca="1" si="246"/>
        <v>0</v>
      </c>
    </row>
    <row r="866" spans="1:24">
      <c r="A866">
        <v>2</v>
      </c>
      <c r="B866">
        <v>1</v>
      </c>
      <c r="C866">
        <f t="shared" si="228"/>
        <v>5</v>
      </c>
      <c r="D866">
        <f t="shared" si="229"/>
        <v>3</v>
      </c>
      <c r="E866">
        <f t="shared" si="230"/>
        <v>2</v>
      </c>
      <c r="F866" s="100">
        <f t="shared" ca="1" si="231"/>
        <v>3.4264999999999997E-2</v>
      </c>
      <c r="G866">
        <v>0</v>
      </c>
      <c r="H866">
        <v>0</v>
      </c>
      <c r="I866">
        <v>4</v>
      </c>
      <c r="J866" s="1">
        <f t="shared" ca="1" si="232"/>
        <v>0</v>
      </c>
      <c r="K866" s="1">
        <f t="shared" ca="1" si="233"/>
        <v>0</v>
      </c>
      <c r="L866" s="13">
        <f t="shared" ca="1" si="234"/>
        <v>52</v>
      </c>
      <c r="M866" s="7">
        <f t="shared" ca="1" si="235"/>
        <v>948</v>
      </c>
      <c r="N866" s="44">
        <f t="shared" ca="1" si="236"/>
        <v>11</v>
      </c>
      <c r="O866" s="94">
        <f t="shared" ca="1" si="237"/>
        <v>2.8265749241644089</v>
      </c>
      <c r="P866" s="94">
        <f t="shared" ca="1" si="238"/>
        <v>28.265749241644084</v>
      </c>
      <c r="Q866" s="94">
        <f t="shared" ca="1" si="239"/>
        <v>28.265749241644084</v>
      </c>
      <c r="R866" s="94">
        <f t="shared" ca="1" si="240"/>
        <v>2.8265749241644085</v>
      </c>
      <c r="S866" s="94">
        <f t="shared" ca="1" si="241"/>
        <v>2.8265749241644089</v>
      </c>
      <c r="T866" s="4">
        <f t="shared" ca="1" si="242"/>
        <v>0</v>
      </c>
      <c r="U866" s="46">
        <f t="shared" ca="1" si="243"/>
        <v>1414.7163216869442</v>
      </c>
      <c r="V866" s="4">
        <f t="shared" ca="1" si="244"/>
        <v>0</v>
      </c>
      <c r="W866" s="13">
        <f t="shared" ca="1" si="245"/>
        <v>2662.6811818875326</v>
      </c>
      <c r="X866" s="4">
        <f t="shared" ca="1" si="246"/>
        <v>0</v>
      </c>
    </row>
    <row r="867" spans="1:24">
      <c r="A867">
        <v>2</v>
      </c>
      <c r="B867">
        <v>1</v>
      </c>
      <c r="C867">
        <f t="shared" si="228"/>
        <v>5</v>
      </c>
      <c r="D867">
        <f t="shared" si="229"/>
        <v>3</v>
      </c>
      <c r="E867">
        <f t="shared" si="230"/>
        <v>2</v>
      </c>
      <c r="F867" s="100">
        <f t="shared" ca="1" si="231"/>
        <v>3.4264999999999997E-2</v>
      </c>
      <c r="G867">
        <v>0</v>
      </c>
      <c r="H867">
        <v>0</v>
      </c>
      <c r="I867">
        <v>3</v>
      </c>
      <c r="J867" s="1">
        <f t="shared" ca="1" si="232"/>
        <v>4.8514950000000037E-4</v>
      </c>
      <c r="K867" s="1">
        <f t="shared" ca="1" si="233"/>
        <v>1.6623647617500012E-5</v>
      </c>
      <c r="L867" s="13">
        <f t="shared" ca="1" si="234"/>
        <v>39</v>
      </c>
      <c r="M867" s="7">
        <f t="shared" ca="1" si="235"/>
        <v>961</v>
      </c>
      <c r="N867" s="44">
        <f t="shared" ca="1" si="236"/>
        <v>11</v>
      </c>
      <c r="O867" s="94">
        <f t="shared" ca="1" si="237"/>
        <v>2.8265749241644089</v>
      </c>
      <c r="P867" s="94">
        <f t="shared" ca="1" si="238"/>
        <v>28.265749241644084</v>
      </c>
      <c r="Q867" s="94">
        <f t="shared" ca="1" si="239"/>
        <v>28.265749241644084</v>
      </c>
      <c r="R867" s="94">
        <f t="shared" ca="1" si="240"/>
        <v>2.8265749241644085</v>
      </c>
      <c r="S867" s="94">
        <f t="shared" ca="1" si="241"/>
        <v>2.8265749241644089</v>
      </c>
      <c r="T867" s="4">
        <f t="shared" ca="1" si="242"/>
        <v>4.6987985503770952E-5</v>
      </c>
      <c r="U867" s="46">
        <f t="shared" ca="1" si="243"/>
        <v>1401.7163216869442</v>
      </c>
      <c r="V867" s="4">
        <f t="shared" ca="1" si="244"/>
        <v>2.3301638191422051E-2</v>
      </c>
      <c r="W867" s="13">
        <f t="shared" ca="1" si="245"/>
        <v>1997.0108864156496</v>
      </c>
      <c r="X867" s="4">
        <f t="shared" ca="1" si="246"/>
        <v>3.3197605264085099E-2</v>
      </c>
    </row>
    <row r="868" spans="1:24">
      <c r="A868">
        <v>2</v>
      </c>
      <c r="B868">
        <v>1</v>
      </c>
      <c r="C868">
        <f t="shared" si="228"/>
        <v>5</v>
      </c>
      <c r="D868">
        <f t="shared" si="229"/>
        <v>3</v>
      </c>
      <c r="E868">
        <f t="shared" si="230"/>
        <v>2</v>
      </c>
      <c r="F868" s="100">
        <f t="shared" ca="1" si="231"/>
        <v>3.4264999999999997E-2</v>
      </c>
      <c r="G868">
        <v>0</v>
      </c>
      <c r="H868">
        <v>0</v>
      </c>
      <c r="I868">
        <v>2</v>
      </c>
      <c r="J868" s="1">
        <f t="shared" ca="1" si="232"/>
        <v>1.4701500000000025E-5</v>
      </c>
      <c r="K868" s="1">
        <f t="shared" ca="1" si="233"/>
        <v>5.0374689750000081E-7</v>
      </c>
      <c r="L868" s="13">
        <f t="shared" ca="1" si="234"/>
        <v>26</v>
      </c>
      <c r="M868" s="7">
        <f t="shared" ca="1" si="235"/>
        <v>974</v>
      </c>
      <c r="N868" s="44">
        <f t="shared" ca="1" si="236"/>
        <v>11</v>
      </c>
      <c r="O868" s="94">
        <f t="shared" ca="1" si="237"/>
        <v>2.8265749241644089</v>
      </c>
      <c r="P868" s="94">
        <f t="shared" ca="1" si="238"/>
        <v>28.265749241644084</v>
      </c>
      <c r="Q868" s="94">
        <f t="shared" ca="1" si="239"/>
        <v>28.265749241644084</v>
      </c>
      <c r="R868" s="94">
        <f t="shared" ca="1" si="240"/>
        <v>2.8265749241644085</v>
      </c>
      <c r="S868" s="94">
        <f t="shared" ca="1" si="241"/>
        <v>2.8265749241644089</v>
      </c>
      <c r="T868" s="4">
        <f t="shared" ca="1" si="242"/>
        <v>1.4238783485991211E-6</v>
      </c>
      <c r="U868" s="46">
        <f t="shared" ca="1" si="243"/>
        <v>1388.7163216869442</v>
      </c>
      <c r="V868" s="4">
        <f t="shared" ca="1" si="244"/>
        <v>6.9956153855741125E-4</v>
      </c>
      <c r="W868" s="13">
        <f t="shared" ca="1" si="245"/>
        <v>1331.3405909437663</v>
      </c>
      <c r="X868" s="4">
        <f t="shared" ca="1" si="246"/>
        <v>6.7065869220373994E-4</v>
      </c>
    </row>
    <row r="869" spans="1:24">
      <c r="A869">
        <v>2</v>
      </c>
      <c r="B869">
        <v>1</v>
      </c>
      <c r="C869">
        <f t="shared" si="228"/>
        <v>5</v>
      </c>
      <c r="D869">
        <f t="shared" si="229"/>
        <v>3</v>
      </c>
      <c r="E869">
        <f t="shared" si="230"/>
        <v>2</v>
      </c>
      <c r="F869" s="100">
        <f t="shared" ca="1" si="231"/>
        <v>3.4264999999999997E-2</v>
      </c>
      <c r="G869">
        <v>0</v>
      </c>
      <c r="H869">
        <v>0</v>
      </c>
      <c r="I869">
        <v>1</v>
      </c>
      <c r="J869" s="1">
        <f t="shared" ca="1" si="232"/>
        <v>1.4850000000000041E-7</v>
      </c>
      <c r="K869" s="1">
        <f t="shared" ca="1" si="233"/>
        <v>5.0883525000000137E-9</v>
      </c>
      <c r="L869" s="13">
        <f t="shared" ca="1" si="234"/>
        <v>13</v>
      </c>
      <c r="M869" s="7">
        <f t="shared" ca="1" si="235"/>
        <v>987</v>
      </c>
      <c r="N869" s="44">
        <f t="shared" ca="1" si="236"/>
        <v>12</v>
      </c>
      <c r="O869" s="94">
        <f t="shared" ca="1" si="237"/>
        <v>3.049271339469791</v>
      </c>
      <c r="P869" s="94">
        <f t="shared" ca="1" si="238"/>
        <v>29.824624148781758</v>
      </c>
      <c r="Q869" s="94">
        <f t="shared" ca="1" si="239"/>
        <v>28.265749241644084</v>
      </c>
      <c r="R869" s="94">
        <f t="shared" ca="1" si="240"/>
        <v>2.9045186695212921</v>
      </c>
      <c r="S869" s="94">
        <f t="shared" ca="1" si="241"/>
        <v>3.049271339469791</v>
      </c>
      <c r="T869" s="4">
        <f t="shared" ca="1" si="242"/>
        <v>1.5515767443369503E-8</v>
      </c>
      <c r="U869" s="46">
        <f t="shared" ca="1" si="243"/>
        <v>1466.9428976204611</v>
      </c>
      <c r="V869" s="4">
        <f t="shared" ca="1" si="244"/>
        <v>7.464322560464337E-6</v>
      </c>
      <c r="W869" s="13">
        <f t="shared" ca="1" si="245"/>
        <v>665.67029547188315</v>
      </c>
      <c r="X869" s="4">
        <f t="shared" ca="1" si="246"/>
        <v>3.3871651121401044E-6</v>
      </c>
    </row>
    <row r="870" spans="1:24">
      <c r="A870">
        <v>2</v>
      </c>
      <c r="B870">
        <v>1</v>
      </c>
      <c r="C870">
        <f t="shared" si="228"/>
        <v>5</v>
      </c>
      <c r="D870">
        <f t="shared" si="229"/>
        <v>3</v>
      </c>
      <c r="E870">
        <f t="shared" si="230"/>
        <v>2</v>
      </c>
      <c r="F870" s="100">
        <f t="shared" ca="1" si="231"/>
        <v>3.4264999999999997E-2</v>
      </c>
      <c r="G870">
        <v>0</v>
      </c>
      <c r="H870">
        <v>0</v>
      </c>
      <c r="I870">
        <v>0</v>
      </c>
      <c r="J870" s="1">
        <f t="shared" ca="1" si="232"/>
        <v>5.0000000000000179E-10</v>
      </c>
      <c r="K870" s="1">
        <f t="shared" ca="1" si="233"/>
        <v>1.713250000000006E-11</v>
      </c>
      <c r="L870" s="13">
        <f t="shared" ca="1" si="234"/>
        <v>0</v>
      </c>
      <c r="M870" s="7">
        <f t="shared" ca="1" si="235"/>
        <v>1000</v>
      </c>
      <c r="N870" s="44">
        <f t="shared" ca="1" si="236"/>
        <v>12</v>
      </c>
      <c r="O870" s="94">
        <f t="shared" ca="1" si="237"/>
        <v>3.049271339469791</v>
      </c>
      <c r="P870" s="94">
        <f t="shared" ca="1" si="238"/>
        <v>30.492713394697905</v>
      </c>
      <c r="Q870" s="94">
        <f t="shared" ca="1" si="239"/>
        <v>30.492713394697905</v>
      </c>
      <c r="R870" s="94">
        <f t="shared" ca="1" si="240"/>
        <v>3.0492713394697906</v>
      </c>
      <c r="S870" s="94">
        <f t="shared" ca="1" si="241"/>
        <v>3.049271339469791</v>
      </c>
      <c r="T870" s="4">
        <f t="shared" ca="1" si="242"/>
        <v>5.224164122346638E-11</v>
      </c>
      <c r="U870" s="46">
        <f t="shared" ca="1" si="243"/>
        <v>1453.9428976204611</v>
      </c>
      <c r="V870" s="4">
        <f t="shared" ca="1" si="244"/>
        <v>2.4909676693482638E-8</v>
      </c>
      <c r="W870" s="13">
        <f t="shared" ca="1" si="245"/>
        <v>0</v>
      </c>
      <c r="X870" s="4">
        <f t="shared" ca="1" si="246"/>
        <v>0</v>
      </c>
    </row>
    <row r="871" spans="1:24">
      <c r="A871">
        <v>2</v>
      </c>
      <c r="B871">
        <v>2</v>
      </c>
      <c r="C871">
        <f t="shared" ref="C871:C934" si="247">MIN(8, 1+$B$543+$B$542+A871+B871)</f>
        <v>6</v>
      </c>
      <c r="D871">
        <f t="shared" ref="D871:D934" si="248">C871-(1+$B$543)</f>
        <v>4</v>
      </c>
      <c r="E871">
        <f t="shared" ref="E871:E934" si="249">MIN(A871, C871-(1+$B$543+$B$542))</f>
        <v>2</v>
      </c>
      <c r="F871" s="100">
        <f t="shared" ref="F871:F934" ca="1" si="250">IF(A871=3, Set2QA, IF(A871=2, (1-Set2QA)*Set2TA + (1-Set2QA)*(1-Set2TA)*(1-Set2DA)*Set2AM3*Set2AM33, IF(A871=1, (1-Set2QA)*(1-Set2TA)*Set2DA + (1-Set2QA)*(1-Set2TA)*(1-Set2DA)*Set2AM3*Set2AM32, (1-Set2QA)*(1-Set2TA)*(1-Set2DA)*(1-Set2AM3)))) * IF($B$542+$B$543&gt;0, IF(B871=3, Set2QA, IF(B871=2, (1-Set2QA)*Set2TA, IF(B871=1, (1-Set2QA)*(1-Set2TA)*Set2DA, (1-Set2QA)*(1-Set2TA)*(1-Set2DA)))), IF(B871=0, 1, 0))</f>
        <v>1.21E-2</v>
      </c>
      <c r="G871">
        <v>1</v>
      </c>
      <c r="H871">
        <v>1</v>
      </c>
      <c r="I871">
        <v>7</v>
      </c>
      <c r="J871" s="1">
        <f t="shared" ref="J871:J934" ca="1" si="251">POWER(95%,G871)*POWER(5%, 1-G871) * IF($B$543=0, IF(H871=0, 1, 0), POWER(Set2WSHitRate,H871)*POWER(1-Set2WSHitRate, 1-H871)) * IF(I871&lt;=D871, POWER(Set2WSHitRate, I871)*POWER(1-Set2WSHitRate, D871-I871)*COMBIN(D871,I871), 0)</f>
        <v>0</v>
      </c>
      <c r="K871" s="1">
        <f t="shared" ref="K871:K934" ca="1" si="252">F871*J871</f>
        <v>0</v>
      </c>
      <c r="L871" s="13">
        <f t="shared" ref="L871:L934" ca="1" si="253">MAX((G871+H871)*Set2WSTP + I871*$B$539, Set2SaveTP)</f>
        <v>221</v>
      </c>
      <c r="M871" s="7">
        <f t="shared" ref="M871:M934" ca="1" si="254">MAX(Set2MinTP-(L871+Set2Regain), 0)</f>
        <v>779</v>
      </c>
      <c r="N871" s="44">
        <f t="shared" ref="N871:N934" ca="1" si="255">CEILING(M871/Set2MeleeTP, 1)</f>
        <v>9</v>
      </c>
      <c r="O871" s="94">
        <f t="shared" ref="O871:O934" ca="1" si="256">VLOOKUP(N871, AvgRoundsSet2, 2)</f>
        <v>2.3639647217884514</v>
      </c>
      <c r="P871" s="94">
        <f t="shared" ref="P871:P934" ca="1" si="257">VLOOKUP(CEILING(MAX(M871-1, 0)/Set2MeleeTP, 1), AvgRoundsSet2, 2) + VLOOKUP(CEILING(MAX(M871-2, 0)/Set2MeleeTP, 1), AvgRoundsSet2, 2) + VLOOKUP(CEILING(MAX(M871-3, 0)/Set2MeleeTP, 1), AvgRoundsSet2, 2) + VLOOKUP(CEILING(MAX(M871-4, 0)/Set2MeleeTP, 1), AvgRoundsSet2, 2) + VLOOKUP(CEILING(MAX(M871-5, 0)/Set2MeleeTP, 1), AvgRoundsSet2, 2) + VLOOKUP(CEILING(MAX(M871-6, 0)/Set2MeleeTP, 1), AvgRoundsSet2, 2) + VLOOKUP(CEILING(MAX(M871-7, 0)/Set2MeleeTP, 1), AvgRoundsSet2, 2) + VLOOKUP(CEILING(MAX(M871-8, 0)/Set2MeleeTP, 1), AvgRoundsSet2, 2) + VLOOKUP(CEILING(MAX(M871-9, 0)/Set2MeleeTP, 1), AvgRoundsSet2, 2) + VLOOKUP(CEILING(MAX(M871-10, 0)/Set2MeleeTP, 1), AvgRoundsSet2, 2)</f>
        <v>23.639647217884519</v>
      </c>
      <c r="Q871" s="94">
        <f t="shared" ref="Q871:Q934" ca="1" si="258">VLOOKUP(CEILING(MAX(M871-11, 0)/Set2MeleeTP, 1), AvgRoundsSet2, 2) + VLOOKUP(CEILING(MAX(M871-12, 0)/Set2MeleeTP, 1), AvgRoundsSet2, 2) + VLOOKUP(CEILING(MAX(M871-13, 0)/Set2MeleeTP, 1), AvgRoundsSet2, 2) + VLOOKUP(CEILING(MAX(M871-14, 0)/Set2MeleeTP, 1), AvgRoundsSet2, 2) + VLOOKUP(CEILING(MAX(M871-15, 0)/Set2MeleeTP, 1), AvgRoundsSet2, 2) + VLOOKUP(CEILING(MAX(M871-16, 0)/Set2MeleeTP, 1), AvgRoundsSet2, 2) + VLOOKUP(CEILING(MAX(M871-17, 0)/Set2MeleeTP, 1), AvgRoundsSet2, 2) + VLOOKUP(CEILING(MAX(M871-18, 0)/Set2MeleeTP, 1), AvgRoundsSet2, 2) + VLOOKUP(CEILING(MAX(M871-19, 0)/Set2MeleeTP, 1), AvgRoundsSet2, 2) + VLOOKUP(CEILING(MAX(M871-20, 0)/Set2MeleeTP, 1), AvgRoundsSet2, 2)</f>
        <v>23.639647217884519</v>
      </c>
      <c r="R871" s="94">
        <f t="shared" ref="R871:R934" ca="1" si="259">(P871+Q871)/20</f>
        <v>2.3639647217884519</v>
      </c>
      <c r="S871" s="94">
        <f t="shared" ref="S871:S934" ca="1" si="260">R871*Set2ConserveTP + O871*(1-Set2ConserveTP)</f>
        <v>2.3639647217884514</v>
      </c>
      <c r="T871" s="4">
        <f t="shared" ref="T871:T934" ca="1" si="261">K871*S871</f>
        <v>0</v>
      </c>
      <c r="U871" s="46">
        <f t="shared" ref="U871:U934" ca="1" si="262">MIN(L871+(S871+Set2OverTP)*AvgHitsPerRound2*Set2MeleeTP + Set2Regain + 10.5*Set2ConserveTP, 3000)</f>
        <v>1394.2101516087316</v>
      </c>
      <c r="V871" s="4">
        <f t="shared" ref="V871:V934" ca="1" si="263">U871*K871</f>
        <v>0</v>
      </c>
      <c r="W871" s="13">
        <f t="shared" ref="W871:W934" ca="1" si="264">G871*$K$543*((1-$L$543)*$L$547 + $L$543*$M$547*$M$543)*Set2WSDmg + H871*$K$546*((1-$L$546)*$L$548 + $L$546*$M$548*$M$544) + I871*$K$544*((1-$L$544)*$L$547 + $L$544*$M$547*$M$544) + E871*$K$545*$L$545*$M$543</f>
        <v>16438.260675257192</v>
      </c>
      <c r="X871" s="4">
        <f t="shared" ref="X871:X934" ca="1" si="265">K871*W871</f>
        <v>0</v>
      </c>
    </row>
    <row r="872" spans="1:24">
      <c r="A872">
        <v>2</v>
      </c>
      <c r="B872">
        <v>2</v>
      </c>
      <c r="C872">
        <f t="shared" si="247"/>
        <v>6</v>
      </c>
      <c r="D872">
        <f t="shared" si="248"/>
        <v>4</v>
      </c>
      <c r="E872">
        <f t="shared" si="249"/>
        <v>2</v>
      </c>
      <c r="F872" s="100">
        <f t="shared" ca="1" si="250"/>
        <v>1.21E-2</v>
      </c>
      <c r="G872">
        <v>1</v>
      </c>
      <c r="H872">
        <v>1</v>
      </c>
      <c r="I872">
        <v>6</v>
      </c>
      <c r="J872" s="1">
        <f t="shared" ca="1" si="251"/>
        <v>0</v>
      </c>
      <c r="K872" s="1">
        <f t="shared" ca="1" si="252"/>
        <v>0</v>
      </c>
      <c r="L872" s="13">
        <f t="shared" ca="1" si="253"/>
        <v>208</v>
      </c>
      <c r="M872" s="7">
        <f t="shared" ca="1" si="254"/>
        <v>792</v>
      </c>
      <c r="N872" s="44">
        <f t="shared" ca="1" si="255"/>
        <v>9</v>
      </c>
      <c r="O872" s="94">
        <f t="shared" ca="1" si="256"/>
        <v>2.3639647217884514</v>
      </c>
      <c r="P872" s="94">
        <f t="shared" ca="1" si="257"/>
        <v>23.639647217884519</v>
      </c>
      <c r="Q872" s="94">
        <f t="shared" ca="1" si="258"/>
        <v>23.639647217884519</v>
      </c>
      <c r="R872" s="94">
        <f t="shared" ca="1" si="259"/>
        <v>2.3639647217884519</v>
      </c>
      <c r="S872" s="94">
        <f t="shared" ca="1" si="260"/>
        <v>2.3639647217884514</v>
      </c>
      <c r="T872" s="4">
        <f t="shared" ca="1" si="261"/>
        <v>0</v>
      </c>
      <c r="U872" s="46">
        <f t="shared" ca="1" si="262"/>
        <v>1381.2101516087316</v>
      </c>
      <c r="V872" s="4">
        <f t="shared" ca="1" si="263"/>
        <v>0</v>
      </c>
      <c r="W872" s="13">
        <f t="shared" ca="1" si="264"/>
        <v>15772.59037978531</v>
      </c>
      <c r="X872" s="4">
        <f t="shared" ca="1" si="265"/>
        <v>0</v>
      </c>
    </row>
    <row r="873" spans="1:24">
      <c r="A873">
        <v>2</v>
      </c>
      <c r="B873">
        <v>2</v>
      </c>
      <c r="C873">
        <f t="shared" si="247"/>
        <v>6</v>
      </c>
      <c r="D873">
        <f t="shared" si="248"/>
        <v>4</v>
      </c>
      <c r="E873">
        <f t="shared" si="249"/>
        <v>2</v>
      </c>
      <c r="F873" s="100">
        <f t="shared" ca="1" si="250"/>
        <v>1.21E-2</v>
      </c>
      <c r="G873">
        <v>1</v>
      </c>
      <c r="H873">
        <v>1</v>
      </c>
      <c r="I873">
        <v>5</v>
      </c>
      <c r="J873" s="1">
        <f t="shared" ca="1" si="251"/>
        <v>0</v>
      </c>
      <c r="K873" s="1">
        <f t="shared" ca="1" si="252"/>
        <v>0</v>
      </c>
      <c r="L873" s="13">
        <f t="shared" ca="1" si="253"/>
        <v>195</v>
      </c>
      <c r="M873" s="7">
        <f t="shared" ca="1" si="254"/>
        <v>805</v>
      </c>
      <c r="N873" s="44">
        <f t="shared" ca="1" si="255"/>
        <v>10</v>
      </c>
      <c r="O873" s="94">
        <f t="shared" ca="1" si="256"/>
        <v>2.5877599795741038</v>
      </c>
      <c r="P873" s="94">
        <f t="shared" ca="1" si="257"/>
        <v>24.311032991241476</v>
      </c>
      <c r="Q873" s="94">
        <f t="shared" ca="1" si="258"/>
        <v>23.639647217884519</v>
      </c>
      <c r="R873" s="94">
        <f t="shared" ca="1" si="259"/>
        <v>2.3975340104562997</v>
      </c>
      <c r="S873" s="94">
        <f t="shared" ca="1" si="260"/>
        <v>2.5877599795741038</v>
      </c>
      <c r="T873" s="4">
        <f t="shared" ca="1" si="261"/>
        <v>0</v>
      </c>
      <c r="U873" s="46">
        <f t="shared" ca="1" si="262"/>
        <v>1459.8868633777442</v>
      </c>
      <c r="V873" s="4">
        <f t="shared" ca="1" si="263"/>
        <v>0</v>
      </c>
      <c r="W873" s="13">
        <f t="shared" ca="1" si="264"/>
        <v>15106.920084313426</v>
      </c>
      <c r="X873" s="4">
        <f t="shared" ca="1" si="265"/>
        <v>0</v>
      </c>
    </row>
    <row r="874" spans="1:24">
      <c r="A874">
        <v>2</v>
      </c>
      <c r="B874">
        <v>2</v>
      </c>
      <c r="C874">
        <f t="shared" si="247"/>
        <v>6</v>
      </c>
      <c r="D874">
        <f t="shared" si="248"/>
        <v>4</v>
      </c>
      <c r="E874">
        <f t="shared" si="249"/>
        <v>2</v>
      </c>
      <c r="F874" s="100">
        <f t="shared" ca="1" si="250"/>
        <v>1.21E-2</v>
      </c>
      <c r="G874">
        <v>1</v>
      </c>
      <c r="H874">
        <v>1</v>
      </c>
      <c r="I874">
        <v>4</v>
      </c>
      <c r="J874" s="1">
        <f t="shared" ca="1" si="251"/>
        <v>0.90344054740499991</v>
      </c>
      <c r="K874" s="1">
        <f t="shared" ca="1" si="252"/>
        <v>1.0931630623600499E-2</v>
      </c>
      <c r="L874" s="13">
        <f t="shared" ca="1" si="253"/>
        <v>182</v>
      </c>
      <c r="M874" s="7">
        <f t="shared" ca="1" si="254"/>
        <v>818</v>
      </c>
      <c r="N874" s="44">
        <f t="shared" ca="1" si="255"/>
        <v>10</v>
      </c>
      <c r="O874" s="94">
        <f t="shared" ca="1" si="256"/>
        <v>2.5877599795741038</v>
      </c>
      <c r="P874" s="94">
        <f t="shared" ca="1" si="257"/>
        <v>25.877599795741034</v>
      </c>
      <c r="Q874" s="94">
        <f t="shared" ca="1" si="258"/>
        <v>24.982418764598432</v>
      </c>
      <c r="R874" s="94">
        <f t="shared" ca="1" si="259"/>
        <v>2.5430009280169736</v>
      </c>
      <c r="S874" s="94">
        <f t="shared" ca="1" si="260"/>
        <v>2.5877599795741038</v>
      </c>
      <c r="T874" s="4">
        <f t="shared" ca="1" si="261"/>
        <v>2.8288436239240072E-2</v>
      </c>
      <c r="U874" s="46">
        <f t="shared" ca="1" si="262"/>
        <v>1446.8868633777442</v>
      </c>
      <c r="V874" s="4">
        <f t="shared" ca="1" si="263"/>
        <v>15.816832744585421</v>
      </c>
      <c r="W874" s="13">
        <f t="shared" ca="1" si="264"/>
        <v>14441.249788841542</v>
      </c>
      <c r="X874" s="4">
        <f t="shared" ca="1" si="265"/>
        <v>157.86640843476442</v>
      </c>
    </row>
    <row r="875" spans="1:24">
      <c r="A875">
        <v>2</v>
      </c>
      <c r="B875">
        <v>2</v>
      </c>
      <c r="C875">
        <f t="shared" si="247"/>
        <v>6</v>
      </c>
      <c r="D875">
        <f t="shared" si="248"/>
        <v>4</v>
      </c>
      <c r="E875">
        <f t="shared" si="249"/>
        <v>2</v>
      </c>
      <c r="F875" s="100">
        <f t="shared" ca="1" si="250"/>
        <v>1.21E-2</v>
      </c>
      <c r="G875">
        <v>1</v>
      </c>
      <c r="H875">
        <v>1</v>
      </c>
      <c r="I875">
        <v>3</v>
      </c>
      <c r="J875" s="1">
        <f t="shared" ca="1" si="251"/>
        <v>3.650264838000003E-2</v>
      </c>
      <c r="K875" s="1">
        <f t="shared" ca="1" si="252"/>
        <v>4.4168204539800035E-4</v>
      </c>
      <c r="L875" s="13">
        <f t="shared" ca="1" si="253"/>
        <v>169</v>
      </c>
      <c r="M875" s="7">
        <f t="shared" ca="1" si="254"/>
        <v>831</v>
      </c>
      <c r="N875" s="44">
        <f t="shared" ca="1" si="255"/>
        <v>10</v>
      </c>
      <c r="O875" s="94">
        <f t="shared" ca="1" si="256"/>
        <v>2.5877599795741038</v>
      </c>
      <c r="P875" s="94">
        <f t="shared" ca="1" si="257"/>
        <v>25.877599795741034</v>
      </c>
      <c r="Q875" s="94">
        <f t="shared" ca="1" si="258"/>
        <v>25.877599795741034</v>
      </c>
      <c r="R875" s="94">
        <f t="shared" ca="1" si="259"/>
        <v>2.5877599795741033</v>
      </c>
      <c r="S875" s="94">
        <f t="shared" ca="1" si="260"/>
        <v>2.5877599795741038</v>
      </c>
      <c r="T875" s="4">
        <f t="shared" ca="1" si="261"/>
        <v>1.1429671207773778E-3</v>
      </c>
      <c r="U875" s="46">
        <f t="shared" ca="1" si="262"/>
        <v>1433.8868633777442</v>
      </c>
      <c r="V875" s="4">
        <f t="shared" ca="1" si="263"/>
        <v>0.63332208268600521</v>
      </c>
      <c r="W875" s="13">
        <f t="shared" ca="1" si="264"/>
        <v>13775.57949336966</v>
      </c>
      <c r="X875" s="4">
        <f t="shared" ca="1" si="265"/>
        <v>6.084426127174261</v>
      </c>
    </row>
    <row r="876" spans="1:24">
      <c r="A876">
        <v>2</v>
      </c>
      <c r="B876">
        <v>2</v>
      </c>
      <c r="C876">
        <f t="shared" si="247"/>
        <v>6</v>
      </c>
      <c r="D876">
        <f t="shared" si="248"/>
        <v>4</v>
      </c>
      <c r="E876">
        <f t="shared" si="249"/>
        <v>2</v>
      </c>
      <c r="F876" s="100">
        <f t="shared" ca="1" si="250"/>
        <v>1.21E-2</v>
      </c>
      <c r="G876">
        <v>1</v>
      </c>
      <c r="H876">
        <v>1</v>
      </c>
      <c r="I876">
        <v>2</v>
      </c>
      <c r="J876" s="1">
        <f t="shared" ca="1" si="251"/>
        <v>5.5307043000000101E-4</v>
      </c>
      <c r="K876" s="1">
        <f t="shared" ca="1" si="252"/>
        <v>6.6921522030000123E-6</v>
      </c>
      <c r="L876" s="13">
        <f t="shared" ca="1" si="253"/>
        <v>156</v>
      </c>
      <c r="M876" s="7">
        <f t="shared" ca="1" si="254"/>
        <v>844</v>
      </c>
      <c r="N876" s="44">
        <f t="shared" ca="1" si="255"/>
        <v>10</v>
      </c>
      <c r="O876" s="94">
        <f t="shared" ca="1" si="256"/>
        <v>2.5877599795741038</v>
      </c>
      <c r="P876" s="94">
        <f t="shared" ca="1" si="257"/>
        <v>25.877599795741034</v>
      </c>
      <c r="Q876" s="94">
        <f t="shared" ca="1" si="258"/>
        <v>25.877599795741034</v>
      </c>
      <c r="R876" s="94">
        <f t="shared" ca="1" si="259"/>
        <v>2.5877599795741033</v>
      </c>
      <c r="S876" s="94">
        <f t="shared" ca="1" si="260"/>
        <v>2.5877599795741038</v>
      </c>
      <c r="T876" s="4">
        <f t="shared" ca="1" si="261"/>
        <v>1.7317683648142105E-5</v>
      </c>
      <c r="U876" s="46">
        <f t="shared" ca="1" si="262"/>
        <v>1420.8868633777442</v>
      </c>
      <c r="V876" s="4">
        <f t="shared" ca="1" si="263"/>
        <v>9.5087911529671484E-3</v>
      </c>
      <c r="W876" s="13">
        <f t="shared" ca="1" si="264"/>
        <v>13109.909197897776</v>
      </c>
      <c r="X876" s="4">
        <f t="shared" ca="1" si="265"/>
        <v>8.773350771984173E-2</v>
      </c>
    </row>
    <row r="877" spans="1:24">
      <c r="A877">
        <v>2</v>
      </c>
      <c r="B877">
        <v>2</v>
      </c>
      <c r="C877">
        <f t="shared" si="247"/>
        <v>6</v>
      </c>
      <c r="D877">
        <f t="shared" si="248"/>
        <v>4</v>
      </c>
      <c r="E877">
        <f t="shared" si="249"/>
        <v>2</v>
      </c>
      <c r="F877" s="100">
        <f t="shared" ca="1" si="250"/>
        <v>1.21E-2</v>
      </c>
      <c r="G877">
        <v>1</v>
      </c>
      <c r="H877">
        <v>1</v>
      </c>
      <c r="I877">
        <v>1</v>
      </c>
      <c r="J877" s="1">
        <f t="shared" ca="1" si="251"/>
        <v>3.7243800000000099E-6</v>
      </c>
      <c r="K877" s="1">
        <f t="shared" ca="1" si="252"/>
        <v>4.5064998000000119E-8</v>
      </c>
      <c r="L877" s="13">
        <f t="shared" ca="1" si="253"/>
        <v>143</v>
      </c>
      <c r="M877" s="7">
        <f t="shared" ca="1" si="254"/>
        <v>857</v>
      </c>
      <c r="N877" s="44">
        <f t="shared" ca="1" si="255"/>
        <v>10</v>
      </c>
      <c r="O877" s="94">
        <f t="shared" ca="1" si="256"/>
        <v>2.5877599795741038</v>
      </c>
      <c r="P877" s="94">
        <f t="shared" ca="1" si="257"/>
        <v>25.877599795741034</v>
      </c>
      <c r="Q877" s="94">
        <f t="shared" ca="1" si="258"/>
        <v>25.877599795741034</v>
      </c>
      <c r="R877" s="94">
        <f t="shared" ca="1" si="259"/>
        <v>2.5877599795741033</v>
      </c>
      <c r="S877" s="94">
        <f t="shared" ca="1" si="260"/>
        <v>2.5877599795741038</v>
      </c>
      <c r="T877" s="4">
        <f t="shared" ca="1" si="261"/>
        <v>1.1661739830398733E-7</v>
      </c>
      <c r="U877" s="46">
        <f t="shared" ca="1" si="262"/>
        <v>1407.8868633777442</v>
      </c>
      <c r="V877" s="4">
        <f t="shared" ca="1" si="263"/>
        <v>6.3446418682344479E-5</v>
      </c>
      <c r="W877" s="13">
        <f t="shared" ca="1" si="264"/>
        <v>12444.238902425894</v>
      </c>
      <c r="X877" s="4">
        <f t="shared" ca="1" si="265"/>
        <v>5.607996012493466E-4</v>
      </c>
    </row>
    <row r="878" spans="1:24">
      <c r="A878">
        <v>2</v>
      </c>
      <c r="B878">
        <v>2</v>
      </c>
      <c r="C878">
        <f t="shared" si="247"/>
        <v>6</v>
      </c>
      <c r="D878">
        <f t="shared" si="248"/>
        <v>4</v>
      </c>
      <c r="E878">
        <f t="shared" si="249"/>
        <v>2</v>
      </c>
      <c r="F878" s="100">
        <f t="shared" ca="1" si="250"/>
        <v>1.21E-2</v>
      </c>
      <c r="G878">
        <v>1</v>
      </c>
      <c r="H878">
        <v>1</v>
      </c>
      <c r="I878">
        <v>0</v>
      </c>
      <c r="J878" s="1">
        <f t="shared" ca="1" si="251"/>
        <v>9.4050000000000352E-9</v>
      </c>
      <c r="K878" s="1">
        <f t="shared" ca="1" si="252"/>
        <v>1.1380050000000043E-10</v>
      </c>
      <c r="L878" s="13">
        <f t="shared" ca="1" si="253"/>
        <v>130</v>
      </c>
      <c r="M878" s="7">
        <f t="shared" ca="1" si="254"/>
        <v>870</v>
      </c>
      <c r="N878" s="44">
        <f t="shared" ca="1" si="255"/>
        <v>10</v>
      </c>
      <c r="O878" s="94">
        <f t="shared" ca="1" si="256"/>
        <v>2.5877599795741038</v>
      </c>
      <c r="P878" s="94">
        <f t="shared" ca="1" si="257"/>
        <v>25.877599795741034</v>
      </c>
      <c r="Q878" s="94">
        <f t="shared" ca="1" si="258"/>
        <v>25.877599795741034</v>
      </c>
      <c r="R878" s="94">
        <f t="shared" ca="1" si="259"/>
        <v>2.5877599795741033</v>
      </c>
      <c r="S878" s="94">
        <f t="shared" ca="1" si="260"/>
        <v>2.5877599795741038</v>
      </c>
      <c r="T878" s="4">
        <f t="shared" ca="1" si="261"/>
        <v>2.9448837955552391E-10</v>
      </c>
      <c r="U878" s="46">
        <f t="shared" ca="1" si="262"/>
        <v>1394.8868633777442</v>
      </c>
      <c r="V878" s="4">
        <f t="shared" ca="1" si="263"/>
        <v>1.5873882249581957E-7</v>
      </c>
      <c r="W878" s="13">
        <f t="shared" ca="1" si="264"/>
        <v>11778.56860695401</v>
      </c>
      <c r="X878" s="4">
        <f t="shared" ca="1" si="265"/>
        <v>1.3404069967556748E-6</v>
      </c>
    </row>
    <row r="879" spans="1:24">
      <c r="A879">
        <v>2</v>
      </c>
      <c r="B879">
        <v>2</v>
      </c>
      <c r="C879">
        <f t="shared" si="247"/>
        <v>6</v>
      </c>
      <c r="D879">
        <f t="shared" si="248"/>
        <v>4</v>
      </c>
      <c r="E879">
        <f t="shared" si="249"/>
        <v>2</v>
      </c>
      <c r="F879" s="100">
        <f t="shared" ca="1" si="250"/>
        <v>1.21E-2</v>
      </c>
      <c r="G879">
        <v>1</v>
      </c>
      <c r="H879">
        <v>0</v>
      </c>
      <c r="I879">
        <v>7</v>
      </c>
      <c r="J879" s="1">
        <f t="shared" ca="1" si="251"/>
        <v>0</v>
      </c>
      <c r="K879" s="1">
        <f t="shared" ca="1" si="252"/>
        <v>0</v>
      </c>
      <c r="L879" s="13">
        <f t="shared" ca="1" si="253"/>
        <v>156</v>
      </c>
      <c r="M879" s="7">
        <f t="shared" ca="1" si="254"/>
        <v>844</v>
      </c>
      <c r="N879" s="44">
        <f t="shared" ca="1" si="255"/>
        <v>10</v>
      </c>
      <c r="O879" s="94">
        <f t="shared" ca="1" si="256"/>
        <v>2.5877599795741038</v>
      </c>
      <c r="P879" s="94">
        <f t="shared" ca="1" si="257"/>
        <v>25.877599795741034</v>
      </c>
      <c r="Q879" s="94">
        <f t="shared" ca="1" si="258"/>
        <v>25.877599795741034</v>
      </c>
      <c r="R879" s="94">
        <f t="shared" ca="1" si="259"/>
        <v>2.5877599795741033</v>
      </c>
      <c r="S879" s="94">
        <f t="shared" ca="1" si="260"/>
        <v>2.5877599795741038</v>
      </c>
      <c r="T879" s="4">
        <f t="shared" ca="1" si="261"/>
        <v>0</v>
      </c>
      <c r="U879" s="46">
        <f t="shared" ca="1" si="262"/>
        <v>1420.8868633777442</v>
      </c>
      <c r="V879" s="4">
        <f t="shared" ca="1" si="263"/>
        <v>0</v>
      </c>
      <c r="W879" s="13">
        <f t="shared" ca="1" si="264"/>
        <v>15972.716608816479</v>
      </c>
      <c r="X879" s="4">
        <f t="shared" ca="1" si="265"/>
        <v>0</v>
      </c>
    </row>
    <row r="880" spans="1:24">
      <c r="A880">
        <v>2</v>
      </c>
      <c r="B880">
        <v>2</v>
      </c>
      <c r="C880">
        <f t="shared" si="247"/>
        <v>6</v>
      </c>
      <c r="D880">
        <f t="shared" si="248"/>
        <v>4</v>
      </c>
      <c r="E880">
        <f t="shared" si="249"/>
        <v>2</v>
      </c>
      <c r="F880" s="100">
        <f t="shared" ca="1" si="250"/>
        <v>1.21E-2</v>
      </c>
      <c r="G880">
        <v>1</v>
      </c>
      <c r="H880">
        <v>0</v>
      </c>
      <c r="I880">
        <v>6</v>
      </c>
      <c r="J880" s="1">
        <f t="shared" ca="1" si="251"/>
        <v>0</v>
      </c>
      <c r="K880" s="1">
        <f t="shared" ca="1" si="252"/>
        <v>0</v>
      </c>
      <c r="L880" s="13">
        <f t="shared" ca="1" si="253"/>
        <v>143</v>
      </c>
      <c r="M880" s="7">
        <f t="shared" ca="1" si="254"/>
        <v>857</v>
      </c>
      <c r="N880" s="44">
        <f t="shared" ca="1" si="255"/>
        <v>10</v>
      </c>
      <c r="O880" s="94">
        <f t="shared" ca="1" si="256"/>
        <v>2.5877599795741038</v>
      </c>
      <c r="P880" s="94">
        <f t="shared" ca="1" si="257"/>
        <v>25.877599795741034</v>
      </c>
      <c r="Q880" s="94">
        <f t="shared" ca="1" si="258"/>
        <v>25.877599795741034</v>
      </c>
      <c r="R880" s="94">
        <f t="shared" ca="1" si="259"/>
        <v>2.5877599795741033</v>
      </c>
      <c r="S880" s="94">
        <f t="shared" ca="1" si="260"/>
        <v>2.5877599795741038</v>
      </c>
      <c r="T880" s="4">
        <f t="shared" ca="1" si="261"/>
        <v>0</v>
      </c>
      <c r="U880" s="46">
        <f t="shared" ca="1" si="262"/>
        <v>1407.8868633777442</v>
      </c>
      <c r="V880" s="4">
        <f t="shared" ca="1" si="263"/>
        <v>0</v>
      </c>
      <c r="W880" s="13">
        <f t="shared" ca="1" si="264"/>
        <v>15307.046313344596</v>
      </c>
      <c r="X880" s="4">
        <f t="shared" ca="1" si="265"/>
        <v>0</v>
      </c>
    </row>
    <row r="881" spans="1:24">
      <c r="A881">
        <v>2</v>
      </c>
      <c r="B881">
        <v>2</v>
      </c>
      <c r="C881">
        <f t="shared" si="247"/>
        <v>6</v>
      </c>
      <c r="D881">
        <f t="shared" si="248"/>
        <v>4</v>
      </c>
      <c r="E881">
        <f t="shared" si="249"/>
        <v>2</v>
      </c>
      <c r="F881" s="100">
        <f t="shared" ca="1" si="250"/>
        <v>1.21E-2</v>
      </c>
      <c r="G881">
        <v>1</v>
      </c>
      <c r="H881">
        <v>0</v>
      </c>
      <c r="I881">
        <v>5</v>
      </c>
      <c r="J881" s="1">
        <f t="shared" ca="1" si="251"/>
        <v>0</v>
      </c>
      <c r="K881" s="1">
        <f t="shared" ca="1" si="252"/>
        <v>0</v>
      </c>
      <c r="L881" s="13">
        <f t="shared" ca="1" si="253"/>
        <v>130</v>
      </c>
      <c r="M881" s="7">
        <f t="shared" ca="1" si="254"/>
        <v>870</v>
      </c>
      <c r="N881" s="44">
        <f t="shared" ca="1" si="255"/>
        <v>10</v>
      </c>
      <c r="O881" s="94">
        <f t="shared" ca="1" si="256"/>
        <v>2.5877599795741038</v>
      </c>
      <c r="P881" s="94">
        <f t="shared" ca="1" si="257"/>
        <v>25.877599795741034</v>
      </c>
      <c r="Q881" s="94">
        <f t="shared" ca="1" si="258"/>
        <v>25.877599795741034</v>
      </c>
      <c r="R881" s="94">
        <f t="shared" ca="1" si="259"/>
        <v>2.5877599795741033</v>
      </c>
      <c r="S881" s="94">
        <f t="shared" ca="1" si="260"/>
        <v>2.5877599795741038</v>
      </c>
      <c r="T881" s="4">
        <f t="shared" ca="1" si="261"/>
        <v>0</v>
      </c>
      <c r="U881" s="46">
        <f t="shared" ca="1" si="262"/>
        <v>1394.8868633777442</v>
      </c>
      <c r="V881" s="4">
        <f t="shared" ca="1" si="263"/>
        <v>0</v>
      </c>
      <c r="W881" s="13">
        <f t="shared" ca="1" si="264"/>
        <v>14641.376017872713</v>
      </c>
      <c r="X881" s="4">
        <f t="shared" ca="1" si="265"/>
        <v>0</v>
      </c>
    </row>
    <row r="882" spans="1:24">
      <c r="A882">
        <v>2</v>
      </c>
      <c r="B882">
        <v>2</v>
      </c>
      <c r="C882">
        <f t="shared" si="247"/>
        <v>6</v>
      </c>
      <c r="D882">
        <f t="shared" si="248"/>
        <v>4</v>
      </c>
      <c r="E882">
        <f t="shared" si="249"/>
        <v>2</v>
      </c>
      <c r="F882" s="100">
        <f t="shared" ca="1" si="250"/>
        <v>1.21E-2</v>
      </c>
      <c r="G882">
        <v>1</v>
      </c>
      <c r="H882">
        <v>0</v>
      </c>
      <c r="I882">
        <v>4</v>
      </c>
      <c r="J882" s="1">
        <f t="shared" ca="1" si="251"/>
        <v>9.1256620950000075E-3</v>
      </c>
      <c r="K882" s="1">
        <f t="shared" ca="1" si="252"/>
        <v>1.1042051134950009E-4</v>
      </c>
      <c r="L882" s="13">
        <f t="shared" ca="1" si="253"/>
        <v>117</v>
      </c>
      <c r="M882" s="7">
        <f t="shared" ca="1" si="254"/>
        <v>883</v>
      </c>
      <c r="N882" s="44">
        <f t="shared" ca="1" si="255"/>
        <v>10</v>
      </c>
      <c r="O882" s="94">
        <f t="shared" ca="1" si="256"/>
        <v>2.5877599795741038</v>
      </c>
      <c r="P882" s="94">
        <f t="shared" ca="1" si="257"/>
        <v>25.877599795741034</v>
      </c>
      <c r="Q882" s="94">
        <f t="shared" ca="1" si="258"/>
        <v>25.877599795741034</v>
      </c>
      <c r="R882" s="94">
        <f t="shared" ca="1" si="259"/>
        <v>2.5877599795741033</v>
      </c>
      <c r="S882" s="94">
        <f t="shared" ca="1" si="260"/>
        <v>2.5877599795741038</v>
      </c>
      <c r="T882" s="4">
        <f t="shared" ca="1" si="261"/>
        <v>2.8574178019434446E-4</v>
      </c>
      <c r="U882" s="46">
        <f t="shared" ca="1" si="262"/>
        <v>1381.8868633777442</v>
      </c>
      <c r="V882" s="4">
        <f t="shared" ca="1" si="263"/>
        <v>0.1525886540813273</v>
      </c>
      <c r="W882" s="13">
        <f t="shared" ca="1" si="264"/>
        <v>13975.705722400829</v>
      </c>
      <c r="X882" s="4">
        <f t="shared" ca="1" si="265"/>
        <v>1.5432045723376342</v>
      </c>
    </row>
    <row r="883" spans="1:24">
      <c r="A883">
        <v>2</v>
      </c>
      <c r="B883">
        <v>2</v>
      </c>
      <c r="C883">
        <f t="shared" si="247"/>
        <v>6</v>
      </c>
      <c r="D883">
        <f t="shared" si="248"/>
        <v>4</v>
      </c>
      <c r="E883">
        <f t="shared" si="249"/>
        <v>2</v>
      </c>
      <c r="F883" s="100">
        <f t="shared" ca="1" si="250"/>
        <v>1.21E-2</v>
      </c>
      <c r="G883">
        <v>1</v>
      </c>
      <c r="H883">
        <v>0</v>
      </c>
      <c r="I883">
        <v>3</v>
      </c>
      <c r="J883" s="1">
        <f t="shared" ca="1" si="251"/>
        <v>3.6871362000000067E-4</v>
      </c>
      <c r="K883" s="1">
        <f t="shared" ca="1" si="252"/>
        <v>4.4614348020000076E-6</v>
      </c>
      <c r="L883" s="13">
        <f t="shared" ca="1" si="253"/>
        <v>104</v>
      </c>
      <c r="M883" s="7">
        <f t="shared" ca="1" si="254"/>
        <v>896</v>
      </c>
      <c r="N883" s="44">
        <f t="shared" ca="1" si="255"/>
        <v>11</v>
      </c>
      <c r="O883" s="94">
        <f t="shared" ca="1" si="256"/>
        <v>2.8265749241644089</v>
      </c>
      <c r="P883" s="94">
        <f t="shared" ca="1" si="257"/>
        <v>27.071674518692554</v>
      </c>
      <c r="Q883" s="94">
        <f t="shared" ca="1" si="258"/>
        <v>25.877599795741034</v>
      </c>
      <c r="R883" s="94">
        <f t="shared" ca="1" si="259"/>
        <v>2.6474637157216794</v>
      </c>
      <c r="S883" s="94">
        <f t="shared" ca="1" si="260"/>
        <v>2.8265749241644089</v>
      </c>
      <c r="T883" s="4">
        <f t="shared" ca="1" si="261"/>
        <v>1.2610579737127626E-5</v>
      </c>
      <c r="U883" s="46">
        <f t="shared" ca="1" si="262"/>
        <v>1466.7163216869442</v>
      </c>
      <c r="V883" s="4">
        <f t="shared" ca="1" si="263"/>
        <v>6.5436592422355713E-3</v>
      </c>
      <c r="W883" s="13">
        <f t="shared" ca="1" si="264"/>
        <v>13310.035426928947</v>
      </c>
      <c r="X883" s="4">
        <f t="shared" ca="1" si="265"/>
        <v>5.9381855269553835E-2</v>
      </c>
    </row>
    <row r="884" spans="1:24">
      <c r="A884">
        <v>2</v>
      </c>
      <c r="B884">
        <v>2</v>
      </c>
      <c r="C884">
        <f t="shared" si="247"/>
        <v>6</v>
      </c>
      <c r="D884">
        <f t="shared" si="248"/>
        <v>4</v>
      </c>
      <c r="E884">
        <f t="shared" si="249"/>
        <v>2</v>
      </c>
      <c r="F884" s="100">
        <f t="shared" ca="1" si="250"/>
        <v>1.21E-2</v>
      </c>
      <c r="G884">
        <v>1</v>
      </c>
      <c r="H884">
        <v>0</v>
      </c>
      <c r="I884">
        <v>2</v>
      </c>
      <c r="J884" s="1">
        <f t="shared" ca="1" si="251"/>
        <v>5.5865700000000149E-6</v>
      </c>
      <c r="K884" s="1">
        <f t="shared" ca="1" si="252"/>
        <v>6.7597497000000181E-8</v>
      </c>
      <c r="L884" s="13">
        <f t="shared" ca="1" si="253"/>
        <v>91</v>
      </c>
      <c r="M884" s="7">
        <f t="shared" ca="1" si="254"/>
        <v>909</v>
      </c>
      <c r="N884" s="44">
        <f t="shared" ca="1" si="255"/>
        <v>11</v>
      </c>
      <c r="O884" s="94">
        <f t="shared" ca="1" si="256"/>
        <v>2.8265749241644089</v>
      </c>
      <c r="P884" s="94">
        <f t="shared" ca="1" si="257"/>
        <v>28.265749241644084</v>
      </c>
      <c r="Q884" s="94">
        <f t="shared" ca="1" si="258"/>
        <v>27.788119352463475</v>
      </c>
      <c r="R884" s="94">
        <f t="shared" ca="1" si="259"/>
        <v>2.8026934297053776</v>
      </c>
      <c r="S884" s="94">
        <f t="shared" ca="1" si="260"/>
        <v>2.8265749241644089</v>
      </c>
      <c r="T884" s="4">
        <f t="shared" ca="1" si="261"/>
        <v>1.9106938995647938E-7</v>
      </c>
      <c r="U884" s="46">
        <f t="shared" ca="1" si="262"/>
        <v>1453.7163216869442</v>
      </c>
      <c r="V884" s="4">
        <f t="shared" ca="1" si="263"/>
        <v>9.8267584694084503E-5</v>
      </c>
      <c r="W884" s="13">
        <f t="shared" ca="1" si="264"/>
        <v>12644.365131457063</v>
      </c>
      <c r="X884" s="4">
        <f t="shared" ca="1" si="265"/>
        <v>8.5472743404057573E-4</v>
      </c>
    </row>
    <row r="885" spans="1:24">
      <c r="A885">
        <v>2</v>
      </c>
      <c r="B885">
        <v>2</v>
      </c>
      <c r="C885">
        <f t="shared" si="247"/>
        <v>6</v>
      </c>
      <c r="D885">
        <f t="shared" si="248"/>
        <v>4</v>
      </c>
      <c r="E885">
        <f t="shared" si="249"/>
        <v>2</v>
      </c>
      <c r="F885" s="100">
        <f t="shared" ca="1" si="250"/>
        <v>1.21E-2</v>
      </c>
      <c r="G885">
        <v>1</v>
      </c>
      <c r="H885">
        <v>0</v>
      </c>
      <c r="I885">
        <v>1</v>
      </c>
      <c r="J885" s="1">
        <f t="shared" ca="1" si="251"/>
        <v>3.7620000000000134E-8</v>
      </c>
      <c r="K885" s="1">
        <f t="shared" ca="1" si="252"/>
        <v>4.5520200000000161E-10</v>
      </c>
      <c r="L885" s="13">
        <f t="shared" ca="1" si="253"/>
        <v>78</v>
      </c>
      <c r="M885" s="7">
        <f t="shared" ca="1" si="254"/>
        <v>922</v>
      </c>
      <c r="N885" s="44">
        <f t="shared" ca="1" si="255"/>
        <v>11</v>
      </c>
      <c r="O885" s="94">
        <f t="shared" ca="1" si="256"/>
        <v>2.8265749241644089</v>
      </c>
      <c r="P885" s="94">
        <f t="shared" ca="1" si="257"/>
        <v>28.265749241644084</v>
      </c>
      <c r="Q885" s="94">
        <f t="shared" ca="1" si="258"/>
        <v>28.265749241644084</v>
      </c>
      <c r="R885" s="94">
        <f t="shared" ca="1" si="259"/>
        <v>2.8265749241644085</v>
      </c>
      <c r="S885" s="94">
        <f t="shared" ca="1" si="260"/>
        <v>2.8265749241644089</v>
      </c>
      <c r="T885" s="4">
        <f t="shared" ca="1" si="261"/>
        <v>1.2866625586294918E-9</v>
      </c>
      <c r="U885" s="46">
        <f t="shared" ca="1" si="262"/>
        <v>1440.7163216869442</v>
      </c>
      <c r="V885" s="4">
        <f t="shared" ca="1" si="263"/>
        <v>6.5581695106454265E-7</v>
      </c>
      <c r="W885" s="13">
        <f t="shared" ca="1" si="264"/>
        <v>11978.694835985181</v>
      </c>
      <c r="X885" s="4">
        <f t="shared" ca="1" si="265"/>
        <v>5.4527258467301461E-6</v>
      </c>
    </row>
    <row r="886" spans="1:24">
      <c r="A886">
        <v>2</v>
      </c>
      <c r="B886">
        <v>2</v>
      </c>
      <c r="C886">
        <f t="shared" si="247"/>
        <v>6</v>
      </c>
      <c r="D886">
        <f t="shared" si="248"/>
        <v>4</v>
      </c>
      <c r="E886">
        <f t="shared" si="249"/>
        <v>2</v>
      </c>
      <c r="F886" s="100">
        <f t="shared" ca="1" si="250"/>
        <v>1.21E-2</v>
      </c>
      <c r="G886">
        <v>1</v>
      </c>
      <c r="H886">
        <v>0</v>
      </c>
      <c r="I886">
        <v>0</v>
      </c>
      <c r="J886" s="1">
        <f t="shared" ca="1" si="251"/>
        <v>9.5000000000000434E-11</v>
      </c>
      <c r="K886" s="1">
        <f t="shared" ca="1" si="252"/>
        <v>1.1495000000000051E-12</v>
      </c>
      <c r="L886" s="13">
        <f t="shared" ca="1" si="253"/>
        <v>65</v>
      </c>
      <c r="M886" s="7">
        <f t="shared" ca="1" si="254"/>
        <v>935</v>
      </c>
      <c r="N886" s="44">
        <f t="shared" ca="1" si="255"/>
        <v>11</v>
      </c>
      <c r="O886" s="94">
        <f t="shared" ca="1" si="256"/>
        <v>2.8265749241644089</v>
      </c>
      <c r="P886" s="94">
        <f t="shared" ca="1" si="257"/>
        <v>28.265749241644084</v>
      </c>
      <c r="Q886" s="94">
        <f t="shared" ca="1" si="258"/>
        <v>28.265749241644084</v>
      </c>
      <c r="R886" s="94">
        <f t="shared" ca="1" si="259"/>
        <v>2.8265749241644085</v>
      </c>
      <c r="S886" s="94">
        <f t="shared" ca="1" si="260"/>
        <v>2.8265749241644089</v>
      </c>
      <c r="T886" s="4">
        <f t="shared" ca="1" si="261"/>
        <v>3.2491478753270026E-12</v>
      </c>
      <c r="U886" s="46">
        <f t="shared" ca="1" si="262"/>
        <v>1427.7163216869442</v>
      </c>
      <c r="V886" s="4">
        <f t="shared" ca="1" si="263"/>
        <v>1.6411599117791497E-9</v>
      </c>
      <c r="W886" s="13">
        <f t="shared" ca="1" si="264"/>
        <v>11313.024540513297</v>
      </c>
      <c r="X886" s="4">
        <f t="shared" ca="1" si="265"/>
        <v>1.3004321709320094E-8</v>
      </c>
    </row>
    <row r="887" spans="1:24">
      <c r="A887">
        <v>2</v>
      </c>
      <c r="B887">
        <v>2</v>
      </c>
      <c r="C887">
        <f t="shared" si="247"/>
        <v>6</v>
      </c>
      <c r="D887">
        <f t="shared" si="248"/>
        <v>4</v>
      </c>
      <c r="E887">
        <f t="shared" si="249"/>
        <v>2</v>
      </c>
      <c r="F887" s="100">
        <f t="shared" ca="1" si="250"/>
        <v>1.21E-2</v>
      </c>
      <c r="G887">
        <v>0</v>
      </c>
      <c r="H887">
        <v>1</v>
      </c>
      <c r="I887">
        <v>7</v>
      </c>
      <c r="J887" s="1">
        <f t="shared" ca="1" si="251"/>
        <v>0</v>
      </c>
      <c r="K887" s="1">
        <f t="shared" ca="1" si="252"/>
        <v>0</v>
      </c>
      <c r="L887" s="13">
        <f t="shared" ca="1" si="253"/>
        <v>156</v>
      </c>
      <c r="M887" s="7">
        <f t="shared" ca="1" si="254"/>
        <v>844</v>
      </c>
      <c r="N887" s="44">
        <f t="shared" ca="1" si="255"/>
        <v>10</v>
      </c>
      <c r="O887" s="94">
        <f t="shared" ca="1" si="256"/>
        <v>2.5877599795741038</v>
      </c>
      <c r="P887" s="94">
        <f t="shared" ca="1" si="257"/>
        <v>25.877599795741034</v>
      </c>
      <c r="Q887" s="94">
        <f t="shared" ca="1" si="258"/>
        <v>25.877599795741034</v>
      </c>
      <c r="R887" s="94">
        <f t="shared" ca="1" si="259"/>
        <v>2.5877599795741033</v>
      </c>
      <c r="S887" s="94">
        <f t="shared" ca="1" si="260"/>
        <v>2.5877599795741038</v>
      </c>
      <c r="T887" s="4">
        <f t="shared" ca="1" si="261"/>
        <v>0</v>
      </c>
      <c r="U887" s="46">
        <f t="shared" ca="1" si="262"/>
        <v>1420.8868633777442</v>
      </c>
      <c r="V887" s="4">
        <f t="shared" ca="1" si="263"/>
        <v>0</v>
      </c>
      <c r="W887" s="13">
        <f t="shared" ca="1" si="264"/>
        <v>5125.2361347438955</v>
      </c>
      <c r="X887" s="4">
        <f t="shared" ca="1" si="265"/>
        <v>0</v>
      </c>
    </row>
    <row r="888" spans="1:24">
      <c r="A888">
        <v>2</v>
      </c>
      <c r="B888">
        <v>2</v>
      </c>
      <c r="C888">
        <f t="shared" si="247"/>
        <v>6</v>
      </c>
      <c r="D888">
        <f t="shared" si="248"/>
        <v>4</v>
      </c>
      <c r="E888">
        <f t="shared" si="249"/>
        <v>2</v>
      </c>
      <c r="F888" s="100">
        <f t="shared" ca="1" si="250"/>
        <v>1.21E-2</v>
      </c>
      <c r="G888">
        <v>0</v>
      </c>
      <c r="H888">
        <v>1</v>
      </c>
      <c r="I888">
        <v>6</v>
      </c>
      <c r="J888" s="1">
        <f t="shared" ca="1" si="251"/>
        <v>0</v>
      </c>
      <c r="K888" s="1">
        <f t="shared" ca="1" si="252"/>
        <v>0</v>
      </c>
      <c r="L888" s="13">
        <f t="shared" ca="1" si="253"/>
        <v>143</v>
      </c>
      <c r="M888" s="7">
        <f t="shared" ca="1" si="254"/>
        <v>857</v>
      </c>
      <c r="N888" s="44">
        <f t="shared" ca="1" si="255"/>
        <v>10</v>
      </c>
      <c r="O888" s="94">
        <f t="shared" ca="1" si="256"/>
        <v>2.5877599795741038</v>
      </c>
      <c r="P888" s="94">
        <f t="shared" ca="1" si="257"/>
        <v>25.877599795741034</v>
      </c>
      <c r="Q888" s="94">
        <f t="shared" ca="1" si="258"/>
        <v>25.877599795741034</v>
      </c>
      <c r="R888" s="94">
        <f t="shared" ca="1" si="259"/>
        <v>2.5877599795741033</v>
      </c>
      <c r="S888" s="94">
        <f t="shared" ca="1" si="260"/>
        <v>2.5877599795741038</v>
      </c>
      <c r="T888" s="4">
        <f t="shared" ca="1" si="261"/>
        <v>0</v>
      </c>
      <c r="U888" s="46">
        <f t="shared" ca="1" si="262"/>
        <v>1407.8868633777442</v>
      </c>
      <c r="V888" s="4">
        <f t="shared" ca="1" si="263"/>
        <v>0</v>
      </c>
      <c r="W888" s="13">
        <f t="shared" ca="1" si="264"/>
        <v>4459.5658392720125</v>
      </c>
      <c r="X888" s="4">
        <f t="shared" ca="1" si="265"/>
        <v>0</v>
      </c>
    </row>
    <row r="889" spans="1:24">
      <c r="A889">
        <v>2</v>
      </c>
      <c r="B889">
        <v>2</v>
      </c>
      <c r="C889">
        <f t="shared" si="247"/>
        <v>6</v>
      </c>
      <c r="D889">
        <f t="shared" si="248"/>
        <v>4</v>
      </c>
      <c r="E889">
        <f t="shared" si="249"/>
        <v>2</v>
      </c>
      <c r="F889" s="100">
        <f t="shared" ca="1" si="250"/>
        <v>1.21E-2</v>
      </c>
      <c r="G889">
        <v>0</v>
      </c>
      <c r="H889">
        <v>1</v>
      </c>
      <c r="I889">
        <v>5</v>
      </c>
      <c r="J889" s="1">
        <f t="shared" ca="1" si="251"/>
        <v>0</v>
      </c>
      <c r="K889" s="1">
        <f t="shared" ca="1" si="252"/>
        <v>0</v>
      </c>
      <c r="L889" s="13">
        <f t="shared" ca="1" si="253"/>
        <v>130</v>
      </c>
      <c r="M889" s="7">
        <f t="shared" ca="1" si="254"/>
        <v>870</v>
      </c>
      <c r="N889" s="44">
        <f t="shared" ca="1" si="255"/>
        <v>10</v>
      </c>
      <c r="O889" s="94">
        <f t="shared" ca="1" si="256"/>
        <v>2.5877599795741038</v>
      </c>
      <c r="P889" s="94">
        <f t="shared" ca="1" si="257"/>
        <v>25.877599795741034</v>
      </c>
      <c r="Q889" s="94">
        <f t="shared" ca="1" si="258"/>
        <v>25.877599795741034</v>
      </c>
      <c r="R889" s="94">
        <f t="shared" ca="1" si="259"/>
        <v>2.5877599795741033</v>
      </c>
      <c r="S889" s="94">
        <f t="shared" ca="1" si="260"/>
        <v>2.5877599795741038</v>
      </c>
      <c r="T889" s="4">
        <f t="shared" ca="1" si="261"/>
        <v>0</v>
      </c>
      <c r="U889" s="46">
        <f t="shared" ca="1" si="262"/>
        <v>1394.8868633777442</v>
      </c>
      <c r="V889" s="4">
        <f t="shared" ca="1" si="263"/>
        <v>0</v>
      </c>
      <c r="W889" s="13">
        <f t="shared" ca="1" si="264"/>
        <v>3793.895543800129</v>
      </c>
      <c r="X889" s="4">
        <f t="shared" ca="1" si="265"/>
        <v>0</v>
      </c>
    </row>
    <row r="890" spans="1:24">
      <c r="A890">
        <v>2</v>
      </c>
      <c r="B890">
        <v>2</v>
      </c>
      <c r="C890">
        <f t="shared" si="247"/>
        <v>6</v>
      </c>
      <c r="D890">
        <f t="shared" si="248"/>
        <v>4</v>
      </c>
      <c r="E890">
        <f t="shared" si="249"/>
        <v>2</v>
      </c>
      <c r="F890" s="100">
        <f t="shared" ca="1" si="250"/>
        <v>1.21E-2</v>
      </c>
      <c r="G890">
        <v>0</v>
      </c>
      <c r="H890">
        <v>1</v>
      </c>
      <c r="I890">
        <v>4</v>
      </c>
      <c r="J890" s="1">
        <f t="shared" ca="1" si="251"/>
        <v>4.7549502495E-2</v>
      </c>
      <c r="K890" s="1">
        <f t="shared" ca="1" si="252"/>
        <v>5.7534898018949993E-4</v>
      </c>
      <c r="L890" s="13">
        <f t="shared" ca="1" si="253"/>
        <v>117</v>
      </c>
      <c r="M890" s="7">
        <f t="shared" ca="1" si="254"/>
        <v>883</v>
      </c>
      <c r="N890" s="44">
        <f t="shared" ca="1" si="255"/>
        <v>10</v>
      </c>
      <c r="O890" s="94">
        <f t="shared" ca="1" si="256"/>
        <v>2.5877599795741038</v>
      </c>
      <c r="P890" s="94">
        <f t="shared" ca="1" si="257"/>
        <v>25.877599795741034</v>
      </c>
      <c r="Q890" s="94">
        <f t="shared" ca="1" si="258"/>
        <v>25.877599795741034</v>
      </c>
      <c r="R890" s="94">
        <f t="shared" ca="1" si="259"/>
        <v>2.5877599795741033</v>
      </c>
      <c r="S890" s="94">
        <f t="shared" ca="1" si="260"/>
        <v>2.5877599795741038</v>
      </c>
      <c r="T890" s="4">
        <f t="shared" ca="1" si="261"/>
        <v>1.4888650652231617E-3</v>
      </c>
      <c r="U890" s="46">
        <f t="shared" ca="1" si="262"/>
        <v>1381.8868633777442</v>
      </c>
      <c r="V890" s="4">
        <f t="shared" ca="1" si="263"/>
        <v>0.79506719758165201</v>
      </c>
      <c r="W890" s="13">
        <f t="shared" ca="1" si="264"/>
        <v>3128.2252483282455</v>
      </c>
      <c r="X890" s="4">
        <f t="shared" ca="1" si="265"/>
        <v>1.7998212064287011</v>
      </c>
    </row>
    <row r="891" spans="1:24">
      <c r="A891">
        <v>2</v>
      </c>
      <c r="B891">
        <v>2</v>
      </c>
      <c r="C891">
        <f t="shared" si="247"/>
        <v>6</v>
      </c>
      <c r="D891">
        <f t="shared" si="248"/>
        <v>4</v>
      </c>
      <c r="E891">
        <f t="shared" si="249"/>
        <v>2</v>
      </c>
      <c r="F891" s="100">
        <f t="shared" ca="1" si="250"/>
        <v>1.21E-2</v>
      </c>
      <c r="G891">
        <v>0</v>
      </c>
      <c r="H891">
        <v>1</v>
      </c>
      <c r="I891">
        <v>3</v>
      </c>
      <c r="J891" s="1">
        <f t="shared" ca="1" si="251"/>
        <v>1.9211920200000018E-3</v>
      </c>
      <c r="K891" s="1">
        <f t="shared" ca="1" si="252"/>
        <v>2.3246423442000021E-5</v>
      </c>
      <c r="L891" s="13">
        <f t="shared" ca="1" si="253"/>
        <v>104</v>
      </c>
      <c r="M891" s="7">
        <f t="shared" ca="1" si="254"/>
        <v>896</v>
      </c>
      <c r="N891" s="44">
        <f t="shared" ca="1" si="255"/>
        <v>11</v>
      </c>
      <c r="O891" s="94">
        <f t="shared" ca="1" si="256"/>
        <v>2.8265749241644089</v>
      </c>
      <c r="P891" s="94">
        <f t="shared" ca="1" si="257"/>
        <v>27.071674518692554</v>
      </c>
      <c r="Q891" s="94">
        <f t="shared" ca="1" si="258"/>
        <v>25.877599795741034</v>
      </c>
      <c r="R891" s="94">
        <f t="shared" ca="1" si="259"/>
        <v>2.6474637157216794</v>
      </c>
      <c r="S891" s="94">
        <f t="shared" ca="1" si="260"/>
        <v>2.8265749241644089</v>
      </c>
      <c r="T891" s="4">
        <f t="shared" ca="1" si="261"/>
        <v>6.5707757577664947E-5</v>
      </c>
      <c r="U891" s="46">
        <f t="shared" ca="1" si="262"/>
        <v>1466.7163216869442</v>
      </c>
      <c r="V891" s="4">
        <f t="shared" ca="1" si="263"/>
        <v>3.409590868322742E-2</v>
      </c>
      <c r="W891" s="13">
        <f t="shared" ca="1" si="264"/>
        <v>2462.5549528563624</v>
      </c>
      <c r="X891" s="4">
        <f t="shared" ca="1" si="265"/>
        <v>5.7245595183293398E-2</v>
      </c>
    </row>
    <row r="892" spans="1:24">
      <c r="A892">
        <v>2</v>
      </c>
      <c r="B892">
        <v>2</v>
      </c>
      <c r="C892">
        <f t="shared" si="247"/>
        <v>6</v>
      </c>
      <c r="D892">
        <f t="shared" si="248"/>
        <v>4</v>
      </c>
      <c r="E892">
        <f t="shared" si="249"/>
        <v>2</v>
      </c>
      <c r="F892" s="100">
        <f t="shared" ca="1" si="250"/>
        <v>1.21E-2</v>
      </c>
      <c r="G892">
        <v>0</v>
      </c>
      <c r="H892">
        <v>1</v>
      </c>
      <c r="I892">
        <v>2</v>
      </c>
      <c r="J892" s="1">
        <f t="shared" ca="1" si="251"/>
        <v>2.9108970000000054E-5</v>
      </c>
      <c r="K892" s="1">
        <f t="shared" ca="1" si="252"/>
        <v>3.5221853700000064E-7</v>
      </c>
      <c r="L892" s="13">
        <f t="shared" ca="1" si="253"/>
        <v>91</v>
      </c>
      <c r="M892" s="7">
        <f t="shared" ca="1" si="254"/>
        <v>909</v>
      </c>
      <c r="N892" s="44">
        <f t="shared" ca="1" si="255"/>
        <v>11</v>
      </c>
      <c r="O892" s="94">
        <f t="shared" ca="1" si="256"/>
        <v>2.8265749241644089</v>
      </c>
      <c r="P892" s="94">
        <f t="shared" ca="1" si="257"/>
        <v>28.265749241644084</v>
      </c>
      <c r="Q892" s="94">
        <f t="shared" ca="1" si="258"/>
        <v>27.788119352463475</v>
      </c>
      <c r="R892" s="94">
        <f t="shared" ca="1" si="259"/>
        <v>2.8026934297053776</v>
      </c>
      <c r="S892" s="94">
        <f t="shared" ca="1" si="260"/>
        <v>2.8265749241644089</v>
      </c>
      <c r="T892" s="4">
        <f t="shared" ca="1" si="261"/>
        <v>9.9557208451007583E-7</v>
      </c>
      <c r="U892" s="46">
        <f t="shared" ca="1" si="262"/>
        <v>1453.7163216869442</v>
      </c>
      <c r="V892" s="4">
        <f t="shared" ca="1" si="263"/>
        <v>5.1202583603759781E-4</v>
      </c>
      <c r="W892" s="13">
        <f t="shared" ca="1" si="264"/>
        <v>1796.8846573844794</v>
      </c>
      <c r="X892" s="4">
        <f t="shared" ca="1" si="265"/>
        <v>6.3289608518170867E-4</v>
      </c>
    </row>
    <row r="893" spans="1:24">
      <c r="A893">
        <v>2</v>
      </c>
      <c r="B893">
        <v>2</v>
      </c>
      <c r="C893">
        <f t="shared" si="247"/>
        <v>6</v>
      </c>
      <c r="D893">
        <f t="shared" si="248"/>
        <v>4</v>
      </c>
      <c r="E893">
        <f t="shared" si="249"/>
        <v>2</v>
      </c>
      <c r="F893" s="100">
        <f t="shared" ca="1" si="250"/>
        <v>1.21E-2</v>
      </c>
      <c r="G893">
        <v>0</v>
      </c>
      <c r="H893">
        <v>1</v>
      </c>
      <c r="I893">
        <v>1</v>
      </c>
      <c r="J893" s="1">
        <f t="shared" ca="1" si="251"/>
        <v>1.9602000000000053E-7</v>
      </c>
      <c r="K893" s="1">
        <f t="shared" ca="1" si="252"/>
        <v>2.3718420000000064E-9</v>
      </c>
      <c r="L893" s="13">
        <f t="shared" ca="1" si="253"/>
        <v>78</v>
      </c>
      <c r="M893" s="7">
        <f t="shared" ca="1" si="254"/>
        <v>922</v>
      </c>
      <c r="N893" s="44">
        <f t="shared" ca="1" si="255"/>
        <v>11</v>
      </c>
      <c r="O893" s="94">
        <f t="shared" ca="1" si="256"/>
        <v>2.8265749241644089</v>
      </c>
      <c r="P893" s="94">
        <f t="shared" ca="1" si="257"/>
        <v>28.265749241644084</v>
      </c>
      <c r="Q893" s="94">
        <f t="shared" ca="1" si="258"/>
        <v>28.265749241644084</v>
      </c>
      <c r="R893" s="94">
        <f t="shared" ca="1" si="259"/>
        <v>2.8265749241644085</v>
      </c>
      <c r="S893" s="94">
        <f t="shared" ca="1" si="260"/>
        <v>2.8265749241644089</v>
      </c>
      <c r="T893" s="4">
        <f t="shared" ca="1" si="261"/>
        <v>6.704189121279978E-9</v>
      </c>
      <c r="U893" s="46">
        <f t="shared" ca="1" si="262"/>
        <v>1440.7163216869442</v>
      </c>
      <c r="V893" s="4">
        <f t="shared" ca="1" si="263"/>
        <v>3.4171514818626143E-6</v>
      </c>
      <c r="W893" s="13">
        <f t="shared" ca="1" si="264"/>
        <v>1131.2143619125961</v>
      </c>
      <c r="X893" s="4">
        <f t="shared" ca="1" si="265"/>
        <v>2.683061734587503E-6</v>
      </c>
    </row>
    <row r="894" spans="1:24">
      <c r="A894">
        <v>2</v>
      </c>
      <c r="B894">
        <v>2</v>
      </c>
      <c r="C894">
        <f t="shared" si="247"/>
        <v>6</v>
      </c>
      <c r="D894">
        <f t="shared" si="248"/>
        <v>4</v>
      </c>
      <c r="E894">
        <f t="shared" si="249"/>
        <v>2</v>
      </c>
      <c r="F894" s="100">
        <f t="shared" ca="1" si="250"/>
        <v>1.21E-2</v>
      </c>
      <c r="G894">
        <v>0</v>
      </c>
      <c r="H894">
        <v>1</v>
      </c>
      <c r="I894">
        <v>0</v>
      </c>
      <c r="J894" s="1">
        <f t="shared" ca="1" si="251"/>
        <v>4.9500000000000181E-10</v>
      </c>
      <c r="K894" s="1">
        <f t="shared" ca="1" si="252"/>
        <v>5.9895000000000217E-12</v>
      </c>
      <c r="L894" s="13">
        <f t="shared" ca="1" si="253"/>
        <v>65</v>
      </c>
      <c r="M894" s="7">
        <f t="shared" ca="1" si="254"/>
        <v>935</v>
      </c>
      <c r="N894" s="44">
        <f t="shared" ca="1" si="255"/>
        <v>11</v>
      </c>
      <c r="O894" s="94">
        <f t="shared" ca="1" si="256"/>
        <v>2.8265749241644089</v>
      </c>
      <c r="P894" s="94">
        <f t="shared" ca="1" si="257"/>
        <v>28.265749241644084</v>
      </c>
      <c r="Q894" s="94">
        <f t="shared" ca="1" si="258"/>
        <v>28.265749241644084</v>
      </c>
      <c r="R894" s="94">
        <f t="shared" ca="1" si="259"/>
        <v>2.8265749241644085</v>
      </c>
      <c r="S894" s="94">
        <f t="shared" ca="1" si="260"/>
        <v>2.8265749241644089</v>
      </c>
      <c r="T894" s="4">
        <f t="shared" ca="1" si="261"/>
        <v>1.6929770508282789E-11</v>
      </c>
      <c r="U894" s="46">
        <f t="shared" ca="1" si="262"/>
        <v>1427.7163216869442</v>
      </c>
      <c r="V894" s="4">
        <f t="shared" ca="1" si="263"/>
        <v>8.5513069087439825E-9</v>
      </c>
      <c r="W894" s="13">
        <f t="shared" ca="1" si="264"/>
        <v>465.54406644071304</v>
      </c>
      <c r="X894" s="4">
        <f t="shared" ca="1" si="265"/>
        <v>2.7883761859466608E-9</v>
      </c>
    </row>
    <row r="895" spans="1:24">
      <c r="A895">
        <v>2</v>
      </c>
      <c r="B895">
        <v>2</v>
      </c>
      <c r="C895">
        <f t="shared" si="247"/>
        <v>6</v>
      </c>
      <c r="D895">
        <f t="shared" si="248"/>
        <v>4</v>
      </c>
      <c r="E895">
        <f t="shared" si="249"/>
        <v>2</v>
      </c>
      <c r="F895" s="100">
        <f t="shared" ca="1" si="250"/>
        <v>1.21E-2</v>
      </c>
      <c r="G895">
        <v>0</v>
      </c>
      <c r="H895">
        <v>0</v>
      </c>
      <c r="I895">
        <v>7</v>
      </c>
      <c r="J895" s="1">
        <f t="shared" ca="1" si="251"/>
        <v>0</v>
      </c>
      <c r="K895" s="1">
        <f t="shared" ca="1" si="252"/>
        <v>0</v>
      </c>
      <c r="L895" s="13">
        <f t="shared" ca="1" si="253"/>
        <v>91</v>
      </c>
      <c r="M895" s="7">
        <f t="shared" ca="1" si="254"/>
        <v>909</v>
      </c>
      <c r="N895" s="44">
        <f t="shared" ca="1" si="255"/>
        <v>11</v>
      </c>
      <c r="O895" s="94">
        <f t="shared" ca="1" si="256"/>
        <v>2.8265749241644089</v>
      </c>
      <c r="P895" s="94">
        <f t="shared" ca="1" si="257"/>
        <v>28.265749241644084</v>
      </c>
      <c r="Q895" s="94">
        <f t="shared" ca="1" si="258"/>
        <v>27.788119352463475</v>
      </c>
      <c r="R895" s="94">
        <f t="shared" ca="1" si="259"/>
        <v>2.8026934297053776</v>
      </c>
      <c r="S895" s="94">
        <f t="shared" ca="1" si="260"/>
        <v>2.8265749241644089</v>
      </c>
      <c r="T895" s="4">
        <f t="shared" ca="1" si="261"/>
        <v>0</v>
      </c>
      <c r="U895" s="46">
        <f t="shared" ca="1" si="262"/>
        <v>1453.7163216869442</v>
      </c>
      <c r="V895" s="4">
        <f t="shared" ca="1" si="263"/>
        <v>0</v>
      </c>
      <c r="W895" s="13">
        <f t="shared" ca="1" si="264"/>
        <v>4659.6920683031822</v>
      </c>
      <c r="X895" s="4">
        <f t="shared" ca="1" si="265"/>
        <v>0</v>
      </c>
    </row>
    <row r="896" spans="1:24">
      <c r="A896">
        <v>2</v>
      </c>
      <c r="B896">
        <v>2</v>
      </c>
      <c r="C896">
        <f t="shared" si="247"/>
        <v>6</v>
      </c>
      <c r="D896">
        <f t="shared" si="248"/>
        <v>4</v>
      </c>
      <c r="E896">
        <f t="shared" si="249"/>
        <v>2</v>
      </c>
      <c r="F896" s="100">
        <f t="shared" ca="1" si="250"/>
        <v>1.21E-2</v>
      </c>
      <c r="G896">
        <v>0</v>
      </c>
      <c r="H896">
        <v>0</v>
      </c>
      <c r="I896">
        <v>6</v>
      </c>
      <c r="J896" s="1">
        <f t="shared" ca="1" si="251"/>
        <v>0</v>
      </c>
      <c r="K896" s="1">
        <f t="shared" ca="1" si="252"/>
        <v>0</v>
      </c>
      <c r="L896" s="13">
        <f t="shared" ca="1" si="253"/>
        <v>78</v>
      </c>
      <c r="M896" s="7">
        <f t="shared" ca="1" si="254"/>
        <v>922</v>
      </c>
      <c r="N896" s="44">
        <f t="shared" ca="1" si="255"/>
        <v>11</v>
      </c>
      <c r="O896" s="94">
        <f t="shared" ca="1" si="256"/>
        <v>2.8265749241644089</v>
      </c>
      <c r="P896" s="94">
        <f t="shared" ca="1" si="257"/>
        <v>28.265749241644084</v>
      </c>
      <c r="Q896" s="94">
        <f t="shared" ca="1" si="258"/>
        <v>28.265749241644084</v>
      </c>
      <c r="R896" s="94">
        <f t="shared" ca="1" si="259"/>
        <v>2.8265749241644085</v>
      </c>
      <c r="S896" s="94">
        <f t="shared" ca="1" si="260"/>
        <v>2.8265749241644089</v>
      </c>
      <c r="T896" s="4">
        <f t="shared" ca="1" si="261"/>
        <v>0</v>
      </c>
      <c r="U896" s="46">
        <f t="shared" ca="1" si="262"/>
        <v>1440.7163216869442</v>
      </c>
      <c r="V896" s="4">
        <f t="shared" ca="1" si="263"/>
        <v>0</v>
      </c>
      <c r="W896" s="13">
        <f t="shared" ca="1" si="264"/>
        <v>3994.0217728312991</v>
      </c>
      <c r="X896" s="4">
        <f t="shared" ca="1" si="265"/>
        <v>0</v>
      </c>
    </row>
    <row r="897" spans="1:24">
      <c r="A897">
        <v>2</v>
      </c>
      <c r="B897">
        <v>2</v>
      </c>
      <c r="C897">
        <f t="shared" si="247"/>
        <v>6</v>
      </c>
      <c r="D897">
        <f t="shared" si="248"/>
        <v>4</v>
      </c>
      <c r="E897">
        <f t="shared" si="249"/>
        <v>2</v>
      </c>
      <c r="F897" s="100">
        <f t="shared" ca="1" si="250"/>
        <v>1.21E-2</v>
      </c>
      <c r="G897">
        <v>0</v>
      </c>
      <c r="H897">
        <v>0</v>
      </c>
      <c r="I897">
        <v>5</v>
      </c>
      <c r="J897" s="1">
        <f t="shared" ca="1" si="251"/>
        <v>0</v>
      </c>
      <c r="K897" s="1">
        <f t="shared" ca="1" si="252"/>
        <v>0</v>
      </c>
      <c r="L897" s="13">
        <f t="shared" ca="1" si="253"/>
        <v>65</v>
      </c>
      <c r="M897" s="7">
        <f t="shared" ca="1" si="254"/>
        <v>935</v>
      </c>
      <c r="N897" s="44">
        <f t="shared" ca="1" si="255"/>
        <v>11</v>
      </c>
      <c r="O897" s="94">
        <f t="shared" ca="1" si="256"/>
        <v>2.8265749241644089</v>
      </c>
      <c r="P897" s="94">
        <f t="shared" ca="1" si="257"/>
        <v>28.265749241644084</v>
      </c>
      <c r="Q897" s="94">
        <f t="shared" ca="1" si="258"/>
        <v>28.265749241644084</v>
      </c>
      <c r="R897" s="94">
        <f t="shared" ca="1" si="259"/>
        <v>2.8265749241644085</v>
      </c>
      <c r="S897" s="94">
        <f t="shared" ca="1" si="260"/>
        <v>2.8265749241644089</v>
      </c>
      <c r="T897" s="4">
        <f t="shared" ca="1" si="261"/>
        <v>0</v>
      </c>
      <c r="U897" s="46">
        <f t="shared" ca="1" si="262"/>
        <v>1427.7163216869442</v>
      </c>
      <c r="V897" s="4">
        <f t="shared" ca="1" si="263"/>
        <v>0</v>
      </c>
      <c r="W897" s="13">
        <f t="shared" ca="1" si="264"/>
        <v>3328.3514773594161</v>
      </c>
      <c r="X897" s="4">
        <f t="shared" ca="1" si="265"/>
        <v>0</v>
      </c>
    </row>
    <row r="898" spans="1:24">
      <c r="A898">
        <v>2</v>
      </c>
      <c r="B898">
        <v>2</v>
      </c>
      <c r="C898">
        <f t="shared" si="247"/>
        <v>6</v>
      </c>
      <c r="D898">
        <f t="shared" si="248"/>
        <v>4</v>
      </c>
      <c r="E898">
        <f t="shared" si="249"/>
        <v>2</v>
      </c>
      <c r="F898" s="100">
        <f t="shared" ca="1" si="250"/>
        <v>1.21E-2</v>
      </c>
      <c r="G898">
        <v>0</v>
      </c>
      <c r="H898">
        <v>0</v>
      </c>
      <c r="I898">
        <v>4</v>
      </c>
      <c r="J898" s="1">
        <f t="shared" ca="1" si="251"/>
        <v>4.802980050000004E-4</v>
      </c>
      <c r="K898" s="1">
        <f t="shared" ca="1" si="252"/>
        <v>5.8116058605000045E-6</v>
      </c>
      <c r="L898" s="13">
        <f t="shared" ca="1" si="253"/>
        <v>52</v>
      </c>
      <c r="M898" s="7">
        <f t="shared" ca="1" si="254"/>
        <v>948</v>
      </c>
      <c r="N898" s="44">
        <f t="shared" ca="1" si="255"/>
        <v>11</v>
      </c>
      <c r="O898" s="94">
        <f t="shared" ca="1" si="256"/>
        <v>2.8265749241644089</v>
      </c>
      <c r="P898" s="94">
        <f t="shared" ca="1" si="257"/>
        <v>28.265749241644084</v>
      </c>
      <c r="Q898" s="94">
        <f t="shared" ca="1" si="258"/>
        <v>28.265749241644084</v>
      </c>
      <c r="R898" s="94">
        <f t="shared" ca="1" si="259"/>
        <v>2.8265749241644085</v>
      </c>
      <c r="S898" s="94">
        <f t="shared" ca="1" si="260"/>
        <v>2.8265749241644089</v>
      </c>
      <c r="T898" s="4">
        <f t="shared" ca="1" si="261"/>
        <v>1.6426939394416233E-5</v>
      </c>
      <c r="U898" s="46">
        <f t="shared" ca="1" si="262"/>
        <v>1414.7163216869442</v>
      </c>
      <c r="V898" s="4">
        <f t="shared" ca="1" si="263"/>
        <v>8.221773666060854E-3</v>
      </c>
      <c r="W898" s="13">
        <f t="shared" ca="1" si="264"/>
        <v>2662.6811818875326</v>
      </c>
      <c r="X898" s="4">
        <f t="shared" ca="1" si="265"/>
        <v>1.5474453561300663E-2</v>
      </c>
    </row>
    <row r="899" spans="1:24">
      <c r="A899">
        <v>2</v>
      </c>
      <c r="B899">
        <v>2</v>
      </c>
      <c r="C899">
        <f t="shared" si="247"/>
        <v>6</v>
      </c>
      <c r="D899">
        <f t="shared" si="248"/>
        <v>4</v>
      </c>
      <c r="E899">
        <f t="shared" si="249"/>
        <v>2</v>
      </c>
      <c r="F899" s="100">
        <f t="shared" ca="1" si="250"/>
        <v>1.21E-2</v>
      </c>
      <c r="G899">
        <v>0</v>
      </c>
      <c r="H899">
        <v>0</v>
      </c>
      <c r="I899">
        <v>3</v>
      </c>
      <c r="J899" s="1">
        <f t="shared" ca="1" si="251"/>
        <v>1.9405980000000033E-5</v>
      </c>
      <c r="K899" s="1">
        <f t="shared" ca="1" si="252"/>
        <v>2.348123580000004E-7</v>
      </c>
      <c r="L899" s="13">
        <f t="shared" ca="1" si="253"/>
        <v>39</v>
      </c>
      <c r="M899" s="7">
        <f t="shared" ca="1" si="254"/>
        <v>961</v>
      </c>
      <c r="N899" s="44">
        <f t="shared" ca="1" si="255"/>
        <v>11</v>
      </c>
      <c r="O899" s="94">
        <f t="shared" ca="1" si="256"/>
        <v>2.8265749241644089</v>
      </c>
      <c r="P899" s="94">
        <f t="shared" ca="1" si="257"/>
        <v>28.265749241644084</v>
      </c>
      <c r="Q899" s="94">
        <f t="shared" ca="1" si="258"/>
        <v>28.265749241644084</v>
      </c>
      <c r="R899" s="94">
        <f t="shared" ca="1" si="259"/>
        <v>2.8265749241644085</v>
      </c>
      <c r="S899" s="94">
        <f t="shared" ca="1" si="260"/>
        <v>2.8265749241644089</v>
      </c>
      <c r="T899" s="4">
        <f t="shared" ca="1" si="261"/>
        <v>6.6371472300671712E-7</v>
      </c>
      <c r="U899" s="46">
        <f t="shared" ca="1" si="262"/>
        <v>1401.7163216869442</v>
      </c>
      <c r="V899" s="4">
        <f t="shared" ca="1" si="263"/>
        <v>3.2914031474239844E-4</v>
      </c>
      <c r="W899" s="13">
        <f t="shared" ca="1" si="264"/>
        <v>1997.0108864156496</v>
      </c>
      <c r="X899" s="4">
        <f t="shared" ca="1" si="265"/>
        <v>4.6892283519092963E-4</v>
      </c>
    </row>
    <row r="900" spans="1:24">
      <c r="A900">
        <v>2</v>
      </c>
      <c r="B900">
        <v>2</v>
      </c>
      <c r="C900">
        <f t="shared" si="247"/>
        <v>6</v>
      </c>
      <c r="D900">
        <f t="shared" si="248"/>
        <v>4</v>
      </c>
      <c r="E900">
        <f t="shared" si="249"/>
        <v>2</v>
      </c>
      <c r="F900" s="100">
        <f t="shared" ca="1" si="250"/>
        <v>1.21E-2</v>
      </c>
      <c r="G900">
        <v>0</v>
      </c>
      <c r="H900">
        <v>0</v>
      </c>
      <c r="I900">
        <v>2</v>
      </c>
      <c r="J900" s="1">
        <f t="shared" ca="1" si="251"/>
        <v>2.9403000000000079E-7</v>
      </c>
      <c r="K900" s="1">
        <f t="shared" ca="1" si="252"/>
        <v>3.5577630000000096E-9</v>
      </c>
      <c r="L900" s="13">
        <f t="shared" ca="1" si="253"/>
        <v>26</v>
      </c>
      <c r="M900" s="7">
        <f t="shared" ca="1" si="254"/>
        <v>974</v>
      </c>
      <c r="N900" s="44">
        <f t="shared" ca="1" si="255"/>
        <v>11</v>
      </c>
      <c r="O900" s="94">
        <f t="shared" ca="1" si="256"/>
        <v>2.8265749241644089</v>
      </c>
      <c r="P900" s="94">
        <f t="shared" ca="1" si="257"/>
        <v>28.265749241644084</v>
      </c>
      <c r="Q900" s="94">
        <f t="shared" ca="1" si="258"/>
        <v>28.265749241644084</v>
      </c>
      <c r="R900" s="94">
        <f t="shared" ca="1" si="259"/>
        <v>2.8265749241644085</v>
      </c>
      <c r="S900" s="94">
        <f t="shared" ca="1" si="260"/>
        <v>2.8265749241644089</v>
      </c>
      <c r="T900" s="4">
        <f t="shared" ca="1" si="261"/>
        <v>1.0056283681919966E-8</v>
      </c>
      <c r="U900" s="46">
        <f t="shared" ca="1" si="262"/>
        <v>1388.7163216869442</v>
      </c>
      <c r="V900" s="4">
        <f t="shared" ca="1" si="263"/>
        <v>4.9407235467939211E-6</v>
      </c>
      <c r="W900" s="13">
        <f t="shared" ca="1" si="264"/>
        <v>1331.3405909437663</v>
      </c>
      <c r="X900" s="4">
        <f t="shared" ca="1" si="265"/>
        <v>4.7365942948578796E-6</v>
      </c>
    </row>
    <row r="901" spans="1:24">
      <c r="A901">
        <v>2</v>
      </c>
      <c r="B901">
        <v>2</v>
      </c>
      <c r="C901">
        <f t="shared" si="247"/>
        <v>6</v>
      </c>
      <c r="D901">
        <f t="shared" si="248"/>
        <v>4</v>
      </c>
      <c r="E901">
        <f t="shared" si="249"/>
        <v>2</v>
      </c>
      <c r="F901" s="100">
        <f t="shared" ca="1" si="250"/>
        <v>1.21E-2</v>
      </c>
      <c r="G901">
        <v>0</v>
      </c>
      <c r="H901">
        <v>0</v>
      </c>
      <c r="I901">
        <v>1</v>
      </c>
      <c r="J901" s="1">
        <f t="shared" ca="1" si="251"/>
        <v>1.9800000000000068E-9</v>
      </c>
      <c r="K901" s="1">
        <f t="shared" ca="1" si="252"/>
        <v>2.395800000000008E-11</v>
      </c>
      <c r="L901" s="13">
        <f t="shared" ca="1" si="253"/>
        <v>13</v>
      </c>
      <c r="M901" s="7">
        <f t="shared" ca="1" si="254"/>
        <v>987</v>
      </c>
      <c r="N901" s="44">
        <f t="shared" ca="1" si="255"/>
        <v>12</v>
      </c>
      <c r="O901" s="94">
        <f t="shared" ca="1" si="256"/>
        <v>3.049271339469791</v>
      </c>
      <c r="P901" s="94">
        <f t="shared" ca="1" si="257"/>
        <v>29.824624148781758</v>
      </c>
      <c r="Q901" s="94">
        <f t="shared" ca="1" si="258"/>
        <v>28.265749241644084</v>
      </c>
      <c r="R901" s="94">
        <f t="shared" ca="1" si="259"/>
        <v>2.9045186695212921</v>
      </c>
      <c r="S901" s="94">
        <f t="shared" ca="1" si="260"/>
        <v>3.049271339469791</v>
      </c>
      <c r="T901" s="4">
        <f t="shared" ca="1" si="261"/>
        <v>7.3054442751017493E-11</v>
      </c>
      <c r="U901" s="46">
        <f t="shared" ca="1" si="262"/>
        <v>1466.9428976204611</v>
      </c>
      <c r="V901" s="4">
        <f t="shared" ca="1" si="263"/>
        <v>3.5145017941191125E-8</v>
      </c>
      <c r="W901" s="13">
        <f t="shared" ca="1" si="264"/>
        <v>665.67029547188315</v>
      </c>
      <c r="X901" s="4">
        <f t="shared" ca="1" si="265"/>
        <v>1.5948128938915431E-8</v>
      </c>
    </row>
    <row r="902" spans="1:24">
      <c r="A902">
        <v>2</v>
      </c>
      <c r="B902">
        <v>2</v>
      </c>
      <c r="C902">
        <f t="shared" si="247"/>
        <v>6</v>
      </c>
      <c r="D902">
        <f t="shared" si="248"/>
        <v>4</v>
      </c>
      <c r="E902">
        <f t="shared" si="249"/>
        <v>2</v>
      </c>
      <c r="F902" s="100">
        <f t="shared" ca="1" si="250"/>
        <v>1.21E-2</v>
      </c>
      <c r="G902">
        <v>0</v>
      </c>
      <c r="H902">
        <v>0</v>
      </c>
      <c r="I902">
        <v>0</v>
      </c>
      <c r="J902" s="1">
        <f t="shared" ca="1" si="251"/>
        <v>5.0000000000000231E-12</v>
      </c>
      <c r="K902" s="1">
        <f t="shared" ca="1" si="252"/>
        <v>6.0500000000000272E-14</v>
      </c>
      <c r="L902" s="13">
        <f t="shared" ca="1" si="253"/>
        <v>0</v>
      </c>
      <c r="M902" s="7">
        <f t="shared" ca="1" si="254"/>
        <v>1000</v>
      </c>
      <c r="N902" s="44">
        <f t="shared" ca="1" si="255"/>
        <v>12</v>
      </c>
      <c r="O902" s="94">
        <f t="shared" ca="1" si="256"/>
        <v>3.049271339469791</v>
      </c>
      <c r="P902" s="94">
        <f t="shared" ca="1" si="257"/>
        <v>30.492713394697905</v>
      </c>
      <c r="Q902" s="94">
        <f t="shared" ca="1" si="258"/>
        <v>30.492713394697905</v>
      </c>
      <c r="R902" s="94">
        <f t="shared" ca="1" si="259"/>
        <v>3.0492713394697906</v>
      </c>
      <c r="S902" s="94">
        <f t="shared" ca="1" si="260"/>
        <v>3.049271339469791</v>
      </c>
      <c r="T902" s="4">
        <f t="shared" ca="1" si="261"/>
        <v>1.8448091603792318E-13</v>
      </c>
      <c r="U902" s="46">
        <f t="shared" ca="1" si="262"/>
        <v>1453.9428976204611</v>
      </c>
      <c r="V902" s="4">
        <f t="shared" ca="1" si="263"/>
        <v>8.796354530603829E-11</v>
      </c>
      <c r="W902" s="13">
        <f t="shared" ca="1" si="264"/>
        <v>0</v>
      </c>
      <c r="X902" s="4">
        <f t="shared" ca="1" si="265"/>
        <v>0</v>
      </c>
    </row>
    <row r="903" spans="1:24">
      <c r="A903">
        <v>2</v>
      </c>
      <c r="B903">
        <v>3</v>
      </c>
      <c r="C903">
        <f t="shared" si="247"/>
        <v>7</v>
      </c>
      <c r="D903">
        <f t="shared" si="248"/>
        <v>5</v>
      </c>
      <c r="E903">
        <f t="shared" si="249"/>
        <v>2</v>
      </c>
      <c r="F903" s="100">
        <f t="shared" ca="1" si="250"/>
        <v>0</v>
      </c>
      <c r="G903">
        <v>1</v>
      </c>
      <c r="H903">
        <v>1</v>
      </c>
      <c r="I903">
        <v>7</v>
      </c>
      <c r="J903" s="1">
        <f t="shared" ca="1" si="251"/>
        <v>0</v>
      </c>
      <c r="K903" s="1">
        <f t="shared" ca="1" si="252"/>
        <v>0</v>
      </c>
      <c r="L903" s="13">
        <f t="shared" ca="1" si="253"/>
        <v>221</v>
      </c>
      <c r="M903" s="7">
        <f t="shared" ca="1" si="254"/>
        <v>779</v>
      </c>
      <c r="N903" s="44">
        <f t="shared" ca="1" si="255"/>
        <v>9</v>
      </c>
      <c r="O903" s="94">
        <f t="shared" ca="1" si="256"/>
        <v>2.3639647217884514</v>
      </c>
      <c r="P903" s="94">
        <f t="shared" ca="1" si="257"/>
        <v>23.639647217884519</v>
      </c>
      <c r="Q903" s="94">
        <f t="shared" ca="1" si="258"/>
        <v>23.639647217884519</v>
      </c>
      <c r="R903" s="94">
        <f t="shared" ca="1" si="259"/>
        <v>2.3639647217884519</v>
      </c>
      <c r="S903" s="94">
        <f t="shared" ca="1" si="260"/>
        <v>2.3639647217884514</v>
      </c>
      <c r="T903" s="4">
        <f t="shared" ca="1" si="261"/>
        <v>0</v>
      </c>
      <c r="U903" s="46">
        <f t="shared" ca="1" si="262"/>
        <v>1394.2101516087316</v>
      </c>
      <c r="V903" s="4">
        <f t="shared" ca="1" si="263"/>
        <v>0</v>
      </c>
      <c r="W903" s="13">
        <f t="shared" ca="1" si="264"/>
        <v>16438.260675257192</v>
      </c>
      <c r="X903" s="4">
        <f t="shared" ca="1" si="265"/>
        <v>0</v>
      </c>
    </row>
    <row r="904" spans="1:24">
      <c r="A904">
        <v>2</v>
      </c>
      <c r="B904">
        <v>3</v>
      </c>
      <c r="C904">
        <f t="shared" si="247"/>
        <v>7</v>
      </c>
      <c r="D904">
        <f t="shared" si="248"/>
        <v>5</v>
      </c>
      <c r="E904">
        <f t="shared" si="249"/>
        <v>2</v>
      </c>
      <c r="F904" s="100">
        <f t="shared" ca="1" si="250"/>
        <v>0</v>
      </c>
      <c r="G904">
        <v>1</v>
      </c>
      <c r="H904">
        <v>1</v>
      </c>
      <c r="I904">
        <v>6</v>
      </c>
      <c r="J904" s="1">
        <f t="shared" ca="1" si="251"/>
        <v>0</v>
      </c>
      <c r="K904" s="1">
        <f t="shared" ca="1" si="252"/>
        <v>0</v>
      </c>
      <c r="L904" s="13">
        <f t="shared" ca="1" si="253"/>
        <v>208</v>
      </c>
      <c r="M904" s="7">
        <f t="shared" ca="1" si="254"/>
        <v>792</v>
      </c>
      <c r="N904" s="44">
        <f t="shared" ca="1" si="255"/>
        <v>9</v>
      </c>
      <c r="O904" s="94">
        <f t="shared" ca="1" si="256"/>
        <v>2.3639647217884514</v>
      </c>
      <c r="P904" s="94">
        <f t="shared" ca="1" si="257"/>
        <v>23.639647217884519</v>
      </c>
      <c r="Q904" s="94">
        <f t="shared" ca="1" si="258"/>
        <v>23.639647217884519</v>
      </c>
      <c r="R904" s="94">
        <f t="shared" ca="1" si="259"/>
        <v>2.3639647217884519</v>
      </c>
      <c r="S904" s="94">
        <f t="shared" ca="1" si="260"/>
        <v>2.3639647217884514</v>
      </c>
      <c r="T904" s="4">
        <f t="shared" ca="1" si="261"/>
        <v>0</v>
      </c>
      <c r="U904" s="46">
        <f t="shared" ca="1" si="262"/>
        <v>1381.2101516087316</v>
      </c>
      <c r="V904" s="4">
        <f t="shared" ca="1" si="263"/>
        <v>0</v>
      </c>
      <c r="W904" s="13">
        <f t="shared" ca="1" si="264"/>
        <v>15772.59037978531</v>
      </c>
      <c r="X904" s="4">
        <f t="shared" ca="1" si="265"/>
        <v>0</v>
      </c>
    </row>
    <row r="905" spans="1:24">
      <c r="A905">
        <v>2</v>
      </c>
      <c r="B905">
        <v>3</v>
      </c>
      <c r="C905">
        <f t="shared" si="247"/>
        <v>7</v>
      </c>
      <c r="D905">
        <f t="shared" si="248"/>
        <v>5</v>
      </c>
      <c r="E905">
        <f t="shared" si="249"/>
        <v>2</v>
      </c>
      <c r="F905" s="100">
        <f t="shared" ca="1" si="250"/>
        <v>0</v>
      </c>
      <c r="G905">
        <v>1</v>
      </c>
      <c r="H905">
        <v>1</v>
      </c>
      <c r="I905">
        <v>5</v>
      </c>
      <c r="J905" s="1">
        <f t="shared" ca="1" si="251"/>
        <v>0.89440614193094992</v>
      </c>
      <c r="K905" s="1">
        <f t="shared" ca="1" si="252"/>
        <v>0</v>
      </c>
      <c r="L905" s="13">
        <f t="shared" ca="1" si="253"/>
        <v>195</v>
      </c>
      <c r="M905" s="7">
        <f t="shared" ca="1" si="254"/>
        <v>805</v>
      </c>
      <c r="N905" s="44">
        <f t="shared" ca="1" si="255"/>
        <v>10</v>
      </c>
      <c r="O905" s="94">
        <f t="shared" ca="1" si="256"/>
        <v>2.5877599795741038</v>
      </c>
      <c r="P905" s="94">
        <f t="shared" ca="1" si="257"/>
        <v>24.311032991241476</v>
      </c>
      <c r="Q905" s="94">
        <f t="shared" ca="1" si="258"/>
        <v>23.639647217884519</v>
      </c>
      <c r="R905" s="94">
        <f t="shared" ca="1" si="259"/>
        <v>2.3975340104562997</v>
      </c>
      <c r="S905" s="94">
        <f t="shared" ca="1" si="260"/>
        <v>2.5877599795741038</v>
      </c>
      <c r="T905" s="4">
        <f t="shared" ca="1" si="261"/>
        <v>0</v>
      </c>
      <c r="U905" s="46">
        <f t="shared" ca="1" si="262"/>
        <v>1459.8868633777442</v>
      </c>
      <c r="V905" s="4">
        <f t="shared" ca="1" si="263"/>
        <v>0</v>
      </c>
      <c r="W905" s="13">
        <f t="shared" ca="1" si="264"/>
        <v>15106.920084313426</v>
      </c>
      <c r="X905" s="4">
        <f t="shared" ca="1" si="265"/>
        <v>0</v>
      </c>
    </row>
    <row r="906" spans="1:24">
      <c r="A906">
        <v>2</v>
      </c>
      <c r="B906">
        <v>3</v>
      </c>
      <c r="C906">
        <f t="shared" si="247"/>
        <v>7</v>
      </c>
      <c r="D906">
        <f t="shared" si="248"/>
        <v>5</v>
      </c>
      <c r="E906">
        <f t="shared" si="249"/>
        <v>2</v>
      </c>
      <c r="F906" s="100">
        <f t="shared" ca="1" si="250"/>
        <v>0</v>
      </c>
      <c r="G906">
        <v>1</v>
      </c>
      <c r="H906">
        <v>1</v>
      </c>
      <c r="I906">
        <v>4</v>
      </c>
      <c r="J906" s="1">
        <f t="shared" ca="1" si="251"/>
        <v>4.5172027370250036E-2</v>
      </c>
      <c r="K906" s="1">
        <f t="shared" ca="1" si="252"/>
        <v>0</v>
      </c>
      <c r="L906" s="13">
        <f t="shared" ca="1" si="253"/>
        <v>182</v>
      </c>
      <c r="M906" s="7">
        <f t="shared" ca="1" si="254"/>
        <v>818</v>
      </c>
      <c r="N906" s="44">
        <f t="shared" ca="1" si="255"/>
        <v>10</v>
      </c>
      <c r="O906" s="94">
        <f t="shared" ca="1" si="256"/>
        <v>2.5877599795741038</v>
      </c>
      <c r="P906" s="94">
        <f t="shared" ca="1" si="257"/>
        <v>25.877599795741034</v>
      </c>
      <c r="Q906" s="94">
        <f t="shared" ca="1" si="258"/>
        <v>24.982418764598432</v>
      </c>
      <c r="R906" s="94">
        <f t="shared" ca="1" si="259"/>
        <v>2.5430009280169736</v>
      </c>
      <c r="S906" s="94">
        <f t="shared" ca="1" si="260"/>
        <v>2.5877599795741038</v>
      </c>
      <c r="T906" s="4">
        <f t="shared" ca="1" si="261"/>
        <v>0</v>
      </c>
      <c r="U906" s="46">
        <f t="shared" ca="1" si="262"/>
        <v>1446.8868633777442</v>
      </c>
      <c r="V906" s="4">
        <f t="shared" ca="1" si="263"/>
        <v>0</v>
      </c>
      <c r="W906" s="13">
        <f t="shared" ca="1" si="264"/>
        <v>14441.249788841542</v>
      </c>
      <c r="X906" s="4">
        <f t="shared" ca="1" si="265"/>
        <v>0</v>
      </c>
    </row>
    <row r="907" spans="1:24">
      <c r="A907">
        <v>2</v>
      </c>
      <c r="B907">
        <v>3</v>
      </c>
      <c r="C907">
        <f t="shared" si="247"/>
        <v>7</v>
      </c>
      <c r="D907">
        <f t="shared" si="248"/>
        <v>5</v>
      </c>
      <c r="E907">
        <f t="shared" si="249"/>
        <v>2</v>
      </c>
      <c r="F907" s="100">
        <f t="shared" ca="1" si="250"/>
        <v>0</v>
      </c>
      <c r="G907">
        <v>1</v>
      </c>
      <c r="H907">
        <v>1</v>
      </c>
      <c r="I907">
        <v>3</v>
      </c>
      <c r="J907" s="1">
        <f t="shared" ca="1" si="251"/>
        <v>9.1256620950000162E-4</v>
      </c>
      <c r="K907" s="1">
        <f t="shared" ca="1" si="252"/>
        <v>0</v>
      </c>
      <c r="L907" s="13">
        <f t="shared" ca="1" si="253"/>
        <v>169</v>
      </c>
      <c r="M907" s="7">
        <f t="shared" ca="1" si="254"/>
        <v>831</v>
      </c>
      <c r="N907" s="44">
        <f t="shared" ca="1" si="255"/>
        <v>10</v>
      </c>
      <c r="O907" s="94">
        <f t="shared" ca="1" si="256"/>
        <v>2.5877599795741038</v>
      </c>
      <c r="P907" s="94">
        <f t="shared" ca="1" si="257"/>
        <v>25.877599795741034</v>
      </c>
      <c r="Q907" s="94">
        <f t="shared" ca="1" si="258"/>
        <v>25.877599795741034</v>
      </c>
      <c r="R907" s="94">
        <f t="shared" ca="1" si="259"/>
        <v>2.5877599795741033</v>
      </c>
      <c r="S907" s="94">
        <f t="shared" ca="1" si="260"/>
        <v>2.5877599795741038</v>
      </c>
      <c r="T907" s="4">
        <f t="shared" ca="1" si="261"/>
        <v>0</v>
      </c>
      <c r="U907" s="46">
        <f t="shared" ca="1" si="262"/>
        <v>1433.8868633777442</v>
      </c>
      <c r="V907" s="4">
        <f t="shared" ca="1" si="263"/>
        <v>0</v>
      </c>
      <c r="W907" s="13">
        <f t="shared" ca="1" si="264"/>
        <v>13775.57949336966</v>
      </c>
      <c r="X907" s="4">
        <f t="shared" ca="1" si="265"/>
        <v>0</v>
      </c>
    </row>
    <row r="908" spans="1:24">
      <c r="A908">
        <v>2</v>
      </c>
      <c r="B908">
        <v>3</v>
      </c>
      <c r="C908">
        <f t="shared" si="247"/>
        <v>7</v>
      </c>
      <c r="D908">
        <f t="shared" si="248"/>
        <v>5</v>
      </c>
      <c r="E908">
        <f t="shared" si="249"/>
        <v>2</v>
      </c>
      <c r="F908" s="100">
        <f t="shared" ca="1" si="250"/>
        <v>0</v>
      </c>
      <c r="G908">
        <v>1</v>
      </c>
      <c r="H908">
        <v>1</v>
      </c>
      <c r="I908">
        <v>2</v>
      </c>
      <c r="J908" s="1">
        <f t="shared" ca="1" si="251"/>
        <v>9.2178405000000246E-6</v>
      </c>
      <c r="K908" s="1">
        <f t="shared" ca="1" si="252"/>
        <v>0</v>
      </c>
      <c r="L908" s="13">
        <f t="shared" ca="1" si="253"/>
        <v>156</v>
      </c>
      <c r="M908" s="7">
        <f t="shared" ca="1" si="254"/>
        <v>844</v>
      </c>
      <c r="N908" s="44">
        <f t="shared" ca="1" si="255"/>
        <v>10</v>
      </c>
      <c r="O908" s="94">
        <f t="shared" ca="1" si="256"/>
        <v>2.5877599795741038</v>
      </c>
      <c r="P908" s="94">
        <f t="shared" ca="1" si="257"/>
        <v>25.877599795741034</v>
      </c>
      <c r="Q908" s="94">
        <f t="shared" ca="1" si="258"/>
        <v>25.877599795741034</v>
      </c>
      <c r="R908" s="94">
        <f t="shared" ca="1" si="259"/>
        <v>2.5877599795741033</v>
      </c>
      <c r="S908" s="94">
        <f t="shared" ca="1" si="260"/>
        <v>2.5877599795741038</v>
      </c>
      <c r="T908" s="4">
        <f t="shared" ca="1" si="261"/>
        <v>0</v>
      </c>
      <c r="U908" s="46">
        <f t="shared" ca="1" si="262"/>
        <v>1420.8868633777442</v>
      </c>
      <c r="V908" s="4">
        <f t="shared" ca="1" si="263"/>
        <v>0</v>
      </c>
      <c r="W908" s="13">
        <f t="shared" ca="1" si="264"/>
        <v>13109.909197897776</v>
      </c>
      <c r="X908" s="4">
        <f t="shared" ca="1" si="265"/>
        <v>0</v>
      </c>
    </row>
    <row r="909" spans="1:24">
      <c r="A909">
        <v>2</v>
      </c>
      <c r="B909">
        <v>3</v>
      </c>
      <c r="C909">
        <f t="shared" si="247"/>
        <v>7</v>
      </c>
      <c r="D909">
        <f t="shared" si="248"/>
        <v>5</v>
      </c>
      <c r="E909">
        <f t="shared" si="249"/>
        <v>2</v>
      </c>
      <c r="F909" s="100">
        <f t="shared" ca="1" si="250"/>
        <v>0</v>
      </c>
      <c r="G909">
        <v>1</v>
      </c>
      <c r="H909">
        <v>1</v>
      </c>
      <c r="I909">
        <v>1</v>
      </c>
      <c r="J909" s="1">
        <f t="shared" ca="1" si="251"/>
        <v>4.6554750000000167E-8</v>
      </c>
      <c r="K909" s="1">
        <f t="shared" ca="1" si="252"/>
        <v>0</v>
      </c>
      <c r="L909" s="13">
        <f t="shared" ca="1" si="253"/>
        <v>143</v>
      </c>
      <c r="M909" s="7">
        <f t="shared" ca="1" si="254"/>
        <v>857</v>
      </c>
      <c r="N909" s="44">
        <f t="shared" ca="1" si="255"/>
        <v>10</v>
      </c>
      <c r="O909" s="94">
        <f t="shared" ca="1" si="256"/>
        <v>2.5877599795741038</v>
      </c>
      <c r="P909" s="94">
        <f t="shared" ca="1" si="257"/>
        <v>25.877599795741034</v>
      </c>
      <c r="Q909" s="94">
        <f t="shared" ca="1" si="258"/>
        <v>25.877599795741034</v>
      </c>
      <c r="R909" s="94">
        <f t="shared" ca="1" si="259"/>
        <v>2.5877599795741033</v>
      </c>
      <c r="S909" s="94">
        <f t="shared" ca="1" si="260"/>
        <v>2.5877599795741038</v>
      </c>
      <c r="T909" s="4">
        <f t="shared" ca="1" si="261"/>
        <v>0</v>
      </c>
      <c r="U909" s="46">
        <f t="shared" ca="1" si="262"/>
        <v>1407.8868633777442</v>
      </c>
      <c r="V909" s="4">
        <f t="shared" ca="1" si="263"/>
        <v>0</v>
      </c>
      <c r="W909" s="13">
        <f t="shared" ca="1" si="264"/>
        <v>12444.238902425894</v>
      </c>
      <c r="X909" s="4">
        <f t="shared" ca="1" si="265"/>
        <v>0</v>
      </c>
    </row>
    <row r="910" spans="1:24">
      <c r="A910">
        <v>2</v>
      </c>
      <c r="B910">
        <v>3</v>
      </c>
      <c r="C910">
        <f t="shared" si="247"/>
        <v>7</v>
      </c>
      <c r="D910">
        <f t="shared" si="248"/>
        <v>5</v>
      </c>
      <c r="E910">
        <f t="shared" si="249"/>
        <v>2</v>
      </c>
      <c r="F910" s="100">
        <f t="shared" ca="1" si="250"/>
        <v>0</v>
      </c>
      <c r="G910">
        <v>1</v>
      </c>
      <c r="H910">
        <v>1</v>
      </c>
      <c r="I910">
        <v>0</v>
      </c>
      <c r="J910" s="1">
        <f t="shared" ca="1" si="251"/>
        <v>9.4050000000000427E-11</v>
      </c>
      <c r="K910" s="1">
        <f t="shared" ca="1" si="252"/>
        <v>0</v>
      </c>
      <c r="L910" s="13">
        <f t="shared" ca="1" si="253"/>
        <v>130</v>
      </c>
      <c r="M910" s="7">
        <f t="shared" ca="1" si="254"/>
        <v>870</v>
      </c>
      <c r="N910" s="44">
        <f t="shared" ca="1" si="255"/>
        <v>10</v>
      </c>
      <c r="O910" s="94">
        <f t="shared" ca="1" si="256"/>
        <v>2.5877599795741038</v>
      </c>
      <c r="P910" s="94">
        <f t="shared" ca="1" si="257"/>
        <v>25.877599795741034</v>
      </c>
      <c r="Q910" s="94">
        <f t="shared" ca="1" si="258"/>
        <v>25.877599795741034</v>
      </c>
      <c r="R910" s="94">
        <f t="shared" ca="1" si="259"/>
        <v>2.5877599795741033</v>
      </c>
      <c r="S910" s="94">
        <f t="shared" ca="1" si="260"/>
        <v>2.5877599795741038</v>
      </c>
      <c r="T910" s="4">
        <f t="shared" ca="1" si="261"/>
        <v>0</v>
      </c>
      <c r="U910" s="46">
        <f t="shared" ca="1" si="262"/>
        <v>1394.8868633777442</v>
      </c>
      <c r="V910" s="4">
        <f t="shared" ca="1" si="263"/>
        <v>0</v>
      </c>
      <c r="W910" s="13">
        <f t="shared" ca="1" si="264"/>
        <v>11778.56860695401</v>
      </c>
      <c r="X910" s="4">
        <f t="shared" ca="1" si="265"/>
        <v>0</v>
      </c>
    </row>
    <row r="911" spans="1:24">
      <c r="A911">
        <v>2</v>
      </c>
      <c r="B911">
        <v>3</v>
      </c>
      <c r="C911">
        <f t="shared" si="247"/>
        <v>7</v>
      </c>
      <c r="D911">
        <f t="shared" si="248"/>
        <v>5</v>
      </c>
      <c r="E911">
        <f t="shared" si="249"/>
        <v>2</v>
      </c>
      <c r="F911" s="100">
        <f t="shared" ca="1" si="250"/>
        <v>0</v>
      </c>
      <c r="G911">
        <v>1</v>
      </c>
      <c r="H911">
        <v>0</v>
      </c>
      <c r="I911">
        <v>7</v>
      </c>
      <c r="J911" s="1">
        <f t="shared" ca="1" si="251"/>
        <v>0</v>
      </c>
      <c r="K911" s="1">
        <f t="shared" ca="1" si="252"/>
        <v>0</v>
      </c>
      <c r="L911" s="13">
        <f t="shared" ca="1" si="253"/>
        <v>156</v>
      </c>
      <c r="M911" s="7">
        <f t="shared" ca="1" si="254"/>
        <v>844</v>
      </c>
      <c r="N911" s="44">
        <f t="shared" ca="1" si="255"/>
        <v>10</v>
      </c>
      <c r="O911" s="94">
        <f t="shared" ca="1" si="256"/>
        <v>2.5877599795741038</v>
      </c>
      <c r="P911" s="94">
        <f t="shared" ca="1" si="257"/>
        <v>25.877599795741034</v>
      </c>
      <c r="Q911" s="94">
        <f t="shared" ca="1" si="258"/>
        <v>25.877599795741034</v>
      </c>
      <c r="R911" s="94">
        <f t="shared" ca="1" si="259"/>
        <v>2.5877599795741033</v>
      </c>
      <c r="S911" s="94">
        <f t="shared" ca="1" si="260"/>
        <v>2.5877599795741038</v>
      </c>
      <c r="T911" s="4">
        <f t="shared" ca="1" si="261"/>
        <v>0</v>
      </c>
      <c r="U911" s="46">
        <f t="shared" ca="1" si="262"/>
        <v>1420.8868633777442</v>
      </c>
      <c r="V911" s="4">
        <f t="shared" ca="1" si="263"/>
        <v>0</v>
      </c>
      <c r="W911" s="13">
        <f t="shared" ca="1" si="264"/>
        <v>15972.716608816479</v>
      </c>
      <c r="X911" s="4">
        <f t="shared" ca="1" si="265"/>
        <v>0</v>
      </c>
    </row>
    <row r="912" spans="1:24">
      <c r="A912">
        <v>2</v>
      </c>
      <c r="B912">
        <v>3</v>
      </c>
      <c r="C912">
        <f t="shared" si="247"/>
        <v>7</v>
      </c>
      <c r="D912">
        <f t="shared" si="248"/>
        <v>5</v>
      </c>
      <c r="E912">
        <f t="shared" si="249"/>
        <v>2</v>
      </c>
      <c r="F912" s="100">
        <f t="shared" ca="1" si="250"/>
        <v>0</v>
      </c>
      <c r="G912">
        <v>1</v>
      </c>
      <c r="H912">
        <v>0</v>
      </c>
      <c r="I912">
        <v>6</v>
      </c>
      <c r="J912" s="1">
        <f t="shared" ca="1" si="251"/>
        <v>0</v>
      </c>
      <c r="K912" s="1">
        <f t="shared" ca="1" si="252"/>
        <v>0</v>
      </c>
      <c r="L912" s="13">
        <f t="shared" ca="1" si="253"/>
        <v>143</v>
      </c>
      <c r="M912" s="7">
        <f t="shared" ca="1" si="254"/>
        <v>857</v>
      </c>
      <c r="N912" s="44">
        <f t="shared" ca="1" si="255"/>
        <v>10</v>
      </c>
      <c r="O912" s="94">
        <f t="shared" ca="1" si="256"/>
        <v>2.5877599795741038</v>
      </c>
      <c r="P912" s="94">
        <f t="shared" ca="1" si="257"/>
        <v>25.877599795741034</v>
      </c>
      <c r="Q912" s="94">
        <f t="shared" ca="1" si="258"/>
        <v>25.877599795741034</v>
      </c>
      <c r="R912" s="94">
        <f t="shared" ca="1" si="259"/>
        <v>2.5877599795741033</v>
      </c>
      <c r="S912" s="94">
        <f t="shared" ca="1" si="260"/>
        <v>2.5877599795741038</v>
      </c>
      <c r="T912" s="4">
        <f t="shared" ca="1" si="261"/>
        <v>0</v>
      </c>
      <c r="U912" s="46">
        <f t="shared" ca="1" si="262"/>
        <v>1407.8868633777442</v>
      </c>
      <c r="V912" s="4">
        <f t="shared" ca="1" si="263"/>
        <v>0</v>
      </c>
      <c r="W912" s="13">
        <f t="shared" ca="1" si="264"/>
        <v>15307.046313344596</v>
      </c>
      <c r="X912" s="4">
        <f t="shared" ca="1" si="265"/>
        <v>0</v>
      </c>
    </row>
    <row r="913" spans="1:24">
      <c r="A913">
        <v>2</v>
      </c>
      <c r="B913">
        <v>3</v>
      </c>
      <c r="C913">
        <f t="shared" si="247"/>
        <v>7</v>
      </c>
      <c r="D913">
        <f t="shared" si="248"/>
        <v>5</v>
      </c>
      <c r="E913">
        <f t="shared" si="249"/>
        <v>2</v>
      </c>
      <c r="F913" s="100">
        <f t="shared" ca="1" si="250"/>
        <v>0</v>
      </c>
      <c r="G913">
        <v>1</v>
      </c>
      <c r="H913">
        <v>0</v>
      </c>
      <c r="I913">
        <v>5</v>
      </c>
      <c r="J913" s="1">
        <f t="shared" ca="1" si="251"/>
        <v>9.0344054740500064E-3</v>
      </c>
      <c r="K913" s="1">
        <f t="shared" ca="1" si="252"/>
        <v>0</v>
      </c>
      <c r="L913" s="13">
        <f t="shared" ca="1" si="253"/>
        <v>130</v>
      </c>
      <c r="M913" s="7">
        <f t="shared" ca="1" si="254"/>
        <v>870</v>
      </c>
      <c r="N913" s="44">
        <f t="shared" ca="1" si="255"/>
        <v>10</v>
      </c>
      <c r="O913" s="94">
        <f t="shared" ca="1" si="256"/>
        <v>2.5877599795741038</v>
      </c>
      <c r="P913" s="94">
        <f t="shared" ca="1" si="257"/>
        <v>25.877599795741034</v>
      </c>
      <c r="Q913" s="94">
        <f t="shared" ca="1" si="258"/>
        <v>25.877599795741034</v>
      </c>
      <c r="R913" s="94">
        <f t="shared" ca="1" si="259"/>
        <v>2.5877599795741033</v>
      </c>
      <c r="S913" s="94">
        <f t="shared" ca="1" si="260"/>
        <v>2.5877599795741038</v>
      </c>
      <c r="T913" s="4">
        <f t="shared" ca="1" si="261"/>
        <v>0</v>
      </c>
      <c r="U913" s="46">
        <f t="shared" ca="1" si="262"/>
        <v>1394.8868633777442</v>
      </c>
      <c r="V913" s="4">
        <f t="shared" ca="1" si="263"/>
        <v>0</v>
      </c>
      <c r="W913" s="13">
        <f t="shared" ca="1" si="264"/>
        <v>14641.376017872713</v>
      </c>
      <c r="X913" s="4">
        <f t="shared" ca="1" si="265"/>
        <v>0</v>
      </c>
    </row>
    <row r="914" spans="1:24">
      <c r="A914">
        <v>2</v>
      </c>
      <c r="B914">
        <v>3</v>
      </c>
      <c r="C914">
        <f t="shared" si="247"/>
        <v>7</v>
      </c>
      <c r="D914">
        <f t="shared" si="248"/>
        <v>5</v>
      </c>
      <c r="E914">
        <f t="shared" si="249"/>
        <v>2</v>
      </c>
      <c r="F914" s="100">
        <f t="shared" ca="1" si="250"/>
        <v>0</v>
      </c>
      <c r="G914">
        <v>1</v>
      </c>
      <c r="H914">
        <v>0</v>
      </c>
      <c r="I914">
        <v>4</v>
      </c>
      <c r="J914" s="1">
        <f t="shared" ca="1" si="251"/>
        <v>4.5628310475000076E-4</v>
      </c>
      <c r="K914" s="1">
        <f t="shared" ca="1" si="252"/>
        <v>0</v>
      </c>
      <c r="L914" s="13">
        <f t="shared" ca="1" si="253"/>
        <v>117</v>
      </c>
      <c r="M914" s="7">
        <f t="shared" ca="1" si="254"/>
        <v>883</v>
      </c>
      <c r="N914" s="44">
        <f t="shared" ca="1" si="255"/>
        <v>10</v>
      </c>
      <c r="O914" s="94">
        <f t="shared" ca="1" si="256"/>
        <v>2.5877599795741038</v>
      </c>
      <c r="P914" s="94">
        <f t="shared" ca="1" si="257"/>
        <v>25.877599795741034</v>
      </c>
      <c r="Q914" s="94">
        <f t="shared" ca="1" si="258"/>
        <v>25.877599795741034</v>
      </c>
      <c r="R914" s="94">
        <f t="shared" ca="1" si="259"/>
        <v>2.5877599795741033</v>
      </c>
      <c r="S914" s="94">
        <f t="shared" ca="1" si="260"/>
        <v>2.5877599795741038</v>
      </c>
      <c r="T914" s="4">
        <f t="shared" ca="1" si="261"/>
        <v>0</v>
      </c>
      <c r="U914" s="46">
        <f t="shared" ca="1" si="262"/>
        <v>1381.8868633777442</v>
      </c>
      <c r="V914" s="4">
        <f t="shared" ca="1" si="263"/>
        <v>0</v>
      </c>
      <c r="W914" s="13">
        <f t="shared" ca="1" si="264"/>
        <v>13975.705722400829</v>
      </c>
      <c r="X914" s="4">
        <f t="shared" ca="1" si="265"/>
        <v>0</v>
      </c>
    </row>
    <row r="915" spans="1:24">
      <c r="A915">
        <v>2</v>
      </c>
      <c r="B915">
        <v>3</v>
      </c>
      <c r="C915">
        <f t="shared" si="247"/>
        <v>7</v>
      </c>
      <c r="D915">
        <f t="shared" si="248"/>
        <v>5</v>
      </c>
      <c r="E915">
        <f t="shared" si="249"/>
        <v>2</v>
      </c>
      <c r="F915" s="100">
        <f t="shared" ca="1" si="250"/>
        <v>0</v>
      </c>
      <c r="G915">
        <v>1</v>
      </c>
      <c r="H915">
        <v>0</v>
      </c>
      <c r="I915">
        <v>3</v>
      </c>
      <c r="J915" s="1">
        <f t="shared" ca="1" si="251"/>
        <v>9.2178405000000246E-6</v>
      </c>
      <c r="K915" s="1">
        <f t="shared" ca="1" si="252"/>
        <v>0</v>
      </c>
      <c r="L915" s="13">
        <f t="shared" ca="1" si="253"/>
        <v>104</v>
      </c>
      <c r="M915" s="7">
        <f t="shared" ca="1" si="254"/>
        <v>896</v>
      </c>
      <c r="N915" s="44">
        <f t="shared" ca="1" si="255"/>
        <v>11</v>
      </c>
      <c r="O915" s="94">
        <f t="shared" ca="1" si="256"/>
        <v>2.8265749241644089</v>
      </c>
      <c r="P915" s="94">
        <f t="shared" ca="1" si="257"/>
        <v>27.071674518692554</v>
      </c>
      <c r="Q915" s="94">
        <f t="shared" ca="1" si="258"/>
        <v>25.877599795741034</v>
      </c>
      <c r="R915" s="94">
        <f t="shared" ca="1" si="259"/>
        <v>2.6474637157216794</v>
      </c>
      <c r="S915" s="94">
        <f t="shared" ca="1" si="260"/>
        <v>2.8265749241644089</v>
      </c>
      <c r="T915" s="4">
        <f t="shared" ca="1" si="261"/>
        <v>0</v>
      </c>
      <c r="U915" s="46">
        <f t="shared" ca="1" si="262"/>
        <v>1466.7163216869442</v>
      </c>
      <c r="V915" s="4">
        <f t="shared" ca="1" si="263"/>
        <v>0</v>
      </c>
      <c r="W915" s="13">
        <f t="shared" ca="1" si="264"/>
        <v>13310.035426928947</v>
      </c>
      <c r="X915" s="4">
        <f t="shared" ca="1" si="265"/>
        <v>0</v>
      </c>
    </row>
    <row r="916" spans="1:24">
      <c r="A916">
        <v>2</v>
      </c>
      <c r="B916">
        <v>3</v>
      </c>
      <c r="C916">
        <f t="shared" si="247"/>
        <v>7</v>
      </c>
      <c r="D916">
        <f t="shared" si="248"/>
        <v>5</v>
      </c>
      <c r="E916">
        <f t="shared" si="249"/>
        <v>2</v>
      </c>
      <c r="F916" s="100">
        <f t="shared" ca="1" si="250"/>
        <v>0</v>
      </c>
      <c r="G916">
        <v>1</v>
      </c>
      <c r="H916">
        <v>0</v>
      </c>
      <c r="I916">
        <v>2</v>
      </c>
      <c r="J916" s="1">
        <f t="shared" ca="1" si="251"/>
        <v>9.3109500000000335E-8</v>
      </c>
      <c r="K916" s="1">
        <f t="shared" ca="1" si="252"/>
        <v>0</v>
      </c>
      <c r="L916" s="13">
        <f t="shared" ca="1" si="253"/>
        <v>91</v>
      </c>
      <c r="M916" s="7">
        <f t="shared" ca="1" si="254"/>
        <v>909</v>
      </c>
      <c r="N916" s="44">
        <f t="shared" ca="1" si="255"/>
        <v>11</v>
      </c>
      <c r="O916" s="94">
        <f t="shared" ca="1" si="256"/>
        <v>2.8265749241644089</v>
      </c>
      <c r="P916" s="94">
        <f t="shared" ca="1" si="257"/>
        <v>28.265749241644084</v>
      </c>
      <c r="Q916" s="94">
        <f t="shared" ca="1" si="258"/>
        <v>27.788119352463475</v>
      </c>
      <c r="R916" s="94">
        <f t="shared" ca="1" si="259"/>
        <v>2.8026934297053776</v>
      </c>
      <c r="S916" s="94">
        <f t="shared" ca="1" si="260"/>
        <v>2.8265749241644089</v>
      </c>
      <c r="T916" s="4">
        <f t="shared" ca="1" si="261"/>
        <v>0</v>
      </c>
      <c r="U916" s="46">
        <f t="shared" ca="1" si="262"/>
        <v>1453.7163216869442</v>
      </c>
      <c r="V916" s="4">
        <f t="shared" ca="1" si="263"/>
        <v>0</v>
      </c>
      <c r="W916" s="13">
        <f t="shared" ca="1" si="264"/>
        <v>12644.365131457063</v>
      </c>
      <c r="X916" s="4">
        <f t="shared" ca="1" si="265"/>
        <v>0</v>
      </c>
    </row>
    <row r="917" spans="1:24">
      <c r="A917">
        <v>2</v>
      </c>
      <c r="B917">
        <v>3</v>
      </c>
      <c r="C917">
        <f t="shared" si="247"/>
        <v>7</v>
      </c>
      <c r="D917">
        <f t="shared" si="248"/>
        <v>5</v>
      </c>
      <c r="E917">
        <f t="shared" si="249"/>
        <v>2</v>
      </c>
      <c r="F917" s="100">
        <f t="shared" ca="1" si="250"/>
        <v>0</v>
      </c>
      <c r="G917">
        <v>1</v>
      </c>
      <c r="H917">
        <v>0</v>
      </c>
      <c r="I917">
        <v>1</v>
      </c>
      <c r="J917" s="1">
        <f t="shared" ca="1" si="251"/>
        <v>4.7025000000000207E-10</v>
      </c>
      <c r="K917" s="1">
        <f t="shared" ca="1" si="252"/>
        <v>0</v>
      </c>
      <c r="L917" s="13">
        <f t="shared" ca="1" si="253"/>
        <v>78</v>
      </c>
      <c r="M917" s="7">
        <f t="shared" ca="1" si="254"/>
        <v>922</v>
      </c>
      <c r="N917" s="44">
        <f t="shared" ca="1" si="255"/>
        <v>11</v>
      </c>
      <c r="O917" s="94">
        <f t="shared" ca="1" si="256"/>
        <v>2.8265749241644089</v>
      </c>
      <c r="P917" s="94">
        <f t="shared" ca="1" si="257"/>
        <v>28.265749241644084</v>
      </c>
      <c r="Q917" s="94">
        <f t="shared" ca="1" si="258"/>
        <v>28.265749241644084</v>
      </c>
      <c r="R917" s="94">
        <f t="shared" ca="1" si="259"/>
        <v>2.8265749241644085</v>
      </c>
      <c r="S917" s="94">
        <f t="shared" ca="1" si="260"/>
        <v>2.8265749241644089</v>
      </c>
      <c r="T917" s="4">
        <f t="shared" ca="1" si="261"/>
        <v>0</v>
      </c>
      <c r="U917" s="46">
        <f t="shared" ca="1" si="262"/>
        <v>1440.7163216869442</v>
      </c>
      <c r="V917" s="4">
        <f t="shared" ca="1" si="263"/>
        <v>0</v>
      </c>
      <c r="W917" s="13">
        <f t="shared" ca="1" si="264"/>
        <v>11978.694835985181</v>
      </c>
      <c r="X917" s="4">
        <f t="shared" ca="1" si="265"/>
        <v>0</v>
      </c>
    </row>
    <row r="918" spans="1:24">
      <c r="A918">
        <v>2</v>
      </c>
      <c r="B918">
        <v>3</v>
      </c>
      <c r="C918">
        <f t="shared" si="247"/>
        <v>7</v>
      </c>
      <c r="D918">
        <f t="shared" si="248"/>
        <v>5</v>
      </c>
      <c r="E918">
        <f t="shared" si="249"/>
        <v>2</v>
      </c>
      <c r="F918" s="100">
        <f t="shared" ca="1" si="250"/>
        <v>0</v>
      </c>
      <c r="G918">
        <v>1</v>
      </c>
      <c r="H918">
        <v>0</v>
      </c>
      <c r="I918">
        <v>0</v>
      </c>
      <c r="J918" s="1">
        <f t="shared" ca="1" si="251"/>
        <v>9.5000000000000524E-13</v>
      </c>
      <c r="K918" s="1">
        <f t="shared" ca="1" si="252"/>
        <v>0</v>
      </c>
      <c r="L918" s="13">
        <f t="shared" ca="1" si="253"/>
        <v>65</v>
      </c>
      <c r="M918" s="7">
        <f t="shared" ca="1" si="254"/>
        <v>935</v>
      </c>
      <c r="N918" s="44">
        <f t="shared" ca="1" si="255"/>
        <v>11</v>
      </c>
      <c r="O918" s="94">
        <f t="shared" ca="1" si="256"/>
        <v>2.8265749241644089</v>
      </c>
      <c r="P918" s="94">
        <f t="shared" ca="1" si="257"/>
        <v>28.265749241644084</v>
      </c>
      <c r="Q918" s="94">
        <f t="shared" ca="1" si="258"/>
        <v>28.265749241644084</v>
      </c>
      <c r="R918" s="94">
        <f t="shared" ca="1" si="259"/>
        <v>2.8265749241644085</v>
      </c>
      <c r="S918" s="94">
        <f t="shared" ca="1" si="260"/>
        <v>2.8265749241644089</v>
      </c>
      <c r="T918" s="4">
        <f t="shared" ca="1" si="261"/>
        <v>0</v>
      </c>
      <c r="U918" s="46">
        <f t="shared" ca="1" si="262"/>
        <v>1427.7163216869442</v>
      </c>
      <c r="V918" s="4">
        <f t="shared" ca="1" si="263"/>
        <v>0</v>
      </c>
      <c r="W918" s="13">
        <f t="shared" ca="1" si="264"/>
        <v>11313.024540513297</v>
      </c>
      <c r="X918" s="4">
        <f t="shared" ca="1" si="265"/>
        <v>0</v>
      </c>
    </row>
    <row r="919" spans="1:24">
      <c r="A919">
        <v>2</v>
      </c>
      <c r="B919">
        <v>3</v>
      </c>
      <c r="C919">
        <f t="shared" si="247"/>
        <v>7</v>
      </c>
      <c r="D919">
        <f t="shared" si="248"/>
        <v>5</v>
      </c>
      <c r="E919">
        <f t="shared" si="249"/>
        <v>2</v>
      </c>
      <c r="F919" s="100">
        <f t="shared" ca="1" si="250"/>
        <v>0</v>
      </c>
      <c r="G919">
        <v>0</v>
      </c>
      <c r="H919">
        <v>1</v>
      </c>
      <c r="I919">
        <v>7</v>
      </c>
      <c r="J919" s="1">
        <f t="shared" ca="1" si="251"/>
        <v>0</v>
      </c>
      <c r="K919" s="1">
        <f t="shared" ca="1" si="252"/>
        <v>0</v>
      </c>
      <c r="L919" s="13">
        <f t="shared" ca="1" si="253"/>
        <v>156</v>
      </c>
      <c r="M919" s="7">
        <f t="shared" ca="1" si="254"/>
        <v>844</v>
      </c>
      <c r="N919" s="44">
        <f t="shared" ca="1" si="255"/>
        <v>10</v>
      </c>
      <c r="O919" s="94">
        <f t="shared" ca="1" si="256"/>
        <v>2.5877599795741038</v>
      </c>
      <c r="P919" s="94">
        <f t="shared" ca="1" si="257"/>
        <v>25.877599795741034</v>
      </c>
      <c r="Q919" s="94">
        <f t="shared" ca="1" si="258"/>
        <v>25.877599795741034</v>
      </c>
      <c r="R919" s="94">
        <f t="shared" ca="1" si="259"/>
        <v>2.5877599795741033</v>
      </c>
      <c r="S919" s="94">
        <f t="shared" ca="1" si="260"/>
        <v>2.5877599795741038</v>
      </c>
      <c r="T919" s="4">
        <f t="shared" ca="1" si="261"/>
        <v>0</v>
      </c>
      <c r="U919" s="46">
        <f t="shared" ca="1" si="262"/>
        <v>1420.8868633777442</v>
      </c>
      <c r="V919" s="4">
        <f t="shared" ca="1" si="263"/>
        <v>0</v>
      </c>
      <c r="W919" s="13">
        <f t="shared" ca="1" si="264"/>
        <v>5125.2361347438955</v>
      </c>
      <c r="X919" s="4">
        <f t="shared" ca="1" si="265"/>
        <v>0</v>
      </c>
    </row>
    <row r="920" spans="1:24">
      <c r="A920">
        <v>2</v>
      </c>
      <c r="B920">
        <v>3</v>
      </c>
      <c r="C920">
        <f t="shared" si="247"/>
        <v>7</v>
      </c>
      <c r="D920">
        <f t="shared" si="248"/>
        <v>5</v>
      </c>
      <c r="E920">
        <f t="shared" si="249"/>
        <v>2</v>
      </c>
      <c r="F920" s="100">
        <f t="shared" ca="1" si="250"/>
        <v>0</v>
      </c>
      <c r="G920">
        <v>0</v>
      </c>
      <c r="H920">
        <v>1</v>
      </c>
      <c r="I920">
        <v>6</v>
      </c>
      <c r="J920" s="1">
        <f t="shared" ca="1" si="251"/>
        <v>0</v>
      </c>
      <c r="K920" s="1">
        <f t="shared" ca="1" si="252"/>
        <v>0</v>
      </c>
      <c r="L920" s="13">
        <f t="shared" ca="1" si="253"/>
        <v>143</v>
      </c>
      <c r="M920" s="7">
        <f t="shared" ca="1" si="254"/>
        <v>857</v>
      </c>
      <c r="N920" s="44">
        <f t="shared" ca="1" si="255"/>
        <v>10</v>
      </c>
      <c r="O920" s="94">
        <f t="shared" ca="1" si="256"/>
        <v>2.5877599795741038</v>
      </c>
      <c r="P920" s="94">
        <f t="shared" ca="1" si="257"/>
        <v>25.877599795741034</v>
      </c>
      <c r="Q920" s="94">
        <f t="shared" ca="1" si="258"/>
        <v>25.877599795741034</v>
      </c>
      <c r="R920" s="94">
        <f t="shared" ca="1" si="259"/>
        <v>2.5877599795741033</v>
      </c>
      <c r="S920" s="94">
        <f t="shared" ca="1" si="260"/>
        <v>2.5877599795741038</v>
      </c>
      <c r="T920" s="4">
        <f t="shared" ca="1" si="261"/>
        <v>0</v>
      </c>
      <c r="U920" s="46">
        <f t="shared" ca="1" si="262"/>
        <v>1407.8868633777442</v>
      </c>
      <c r="V920" s="4">
        <f t="shared" ca="1" si="263"/>
        <v>0</v>
      </c>
      <c r="W920" s="13">
        <f t="shared" ca="1" si="264"/>
        <v>4459.5658392720125</v>
      </c>
      <c r="X920" s="4">
        <f t="shared" ca="1" si="265"/>
        <v>0</v>
      </c>
    </row>
    <row r="921" spans="1:24">
      <c r="A921">
        <v>2</v>
      </c>
      <c r="B921">
        <v>3</v>
      </c>
      <c r="C921">
        <f t="shared" si="247"/>
        <v>7</v>
      </c>
      <c r="D921">
        <f t="shared" si="248"/>
        <v>5</v>
      </c>
      <c r="E921">
        <f t="shared" si="249"/>
        <v>2</v>
      </c>
      <c r="F921" s="100">
        <f t="shared" ca="1" si="250"/>
        <v>0</v>
      </c>
      <c r="G921">
        <v>0</v>
      </c>
      <c r="H921">
        <v>1</v>
      </c>
      <c r="I921">
        <v>5</v>
      </c>
      <c r="J921" s="1">
        <f t="shared" ca="1" si="251"/>
        <v>4.707400747005E-2</v>
      </c>
      <c r="K921" s="1">
        <f t="shared" ca="1" si="252"/>
        <v>0</v>
      </c>
      <c r="L921" s="13">
        <f t="shared" ca="1" si="253"/>
        <v>130</v>
      </c>
      <c r="M921" s="7">
        <f t="shared" ca="1" si="254"/>
        <v>870</v>
      </c>
      <c r="N921" s="44">
        <f t="shared" ca="1" si="255"/>
        <v>10</v>
      </c>
      <c r="O921" s="94">
        <f t="shared" ca="1" si="256"/>
        <v>2.5877599795741038</v>
      </c>
      <c r="P921" s="94">
        <f t="shared" ca="1" si="257"/>
        <v>25.877599795741034</v>
      </c>
      <c r="Q921" s="94">
        <f t="shared" ca="1" si="258"/>
        <v>25.877599795741034</v>
      </c>
      <c r="R921" s="94">
        <f t="shared" ca="1" si="259"/>
        <v>2.5877599795741033</v>
      </c>
      <c r="S921" s="94">
        <f t="shared" ca="1" si="260"/>
        <v>2.5877599795741038</v>
      </c>
      <c r="T921" s="4">
        <f t="shared" ca="1" si="261"/>
        <v>0</v>
      </c>
      <c r="U921" s="46">
        <f t="shared" ca="1" si="262"/>
        <v>1394.8868633777442</v>
      </c>
      <c r="V921" s="4">
        <f t="shared" ca="1" si="263"/>
        <v>0</v>
      </c>
      <c r="W921" s="13">
        <f t="shared" ca="1" si="264"/>
        <v>3793.895543800129</v>
      </c>
      <c r="X921" s="4">
        <f t="shared" ca="1" si="265"/>
        <v>0</v>
      </c>
    </row>
    <row r="922" spans="1:24">
      <c r="A922">
        <v>2</v>
      </c>
      <c r="B922">
        <v>3</v>
      </c>
      <c r="C922">
        <f t="shared" si="247"/>
        <v>7</v>
      </c>
      <c r="D922">
        <f t="shared" si="248"/>
        <v>5</v>
      </c>
      <c r="E922">
        <f t="shared" si="249"/>
        <v>2</v>
      </c>
      <c r="F922" s="100">
        <f t="shared" ca="1" si="250"/>
        <v>0</v>
      </c>
      <c r="G922">
        <v>0</v>
      </c>
      <c r="H922">
        <v>1</v>
      </c>
      <c r="I922">
        <v>4</v>
      </c>
      <c r="J922" s="1">
        <f t="shared" ca="1" si="251"/>
        <v>2.377475124750002E-3</v>
      </c>
      <c r="K922" s="1">
        <f t="shared" ca="1" si="252"/>
        <v>0</v>
      </c>
      <c r="L922" s="13">
        <f t="shared" ca="1" si="253"/>
        <v>117</v>
      </c>
      <c r="M922" s="7">
        <f t="shared" ca="1" si="254"/>
        <v>883</v>
      </c>
      <c r="N922" s="44">
        <f t="shared" ca="1" si="255"/>
        <v>10</v>
      </c>
      <c r="O922" s="94">
        <f t="shared" ca="1" si="256"/>
        <v>2.5877599795741038</v>
      </c>
      <c r="P922" s="94">
        <f t="shared" ca="1" si="257"/>
        <v>25.877599795741034</v>
      </c>
      <c r="Q922" s="94">
        <f t="shared" ca="1" si="258"/>
        <v>25.877599795741034</v>
      </c>
      <c r="R922" s="94">
        <f t="shared" ca="1" si="259"/>
        <v>2.5877599795741033</v>
      </c>
      <c r="S922" s="94">
        <f t="shared" ca="1" si="260"/>
        <v>2.5877599795741038</v>
      </c>
      <c r="T922" s="4">
        <f t="shared" ca="1" si="261"/>
        <v>0</v>
      </c>
      <c r="U922" s="46">
        <f t="shared" ca="1" si="262"/>
        <v>1381.8868633777442</v>
      </c>
      <c r="V922" s="4">
        <f t="shared" ca="1" si="263"/>
        <v>0</v>
      </c>
      <c r="W922" s="13">
        <f t="shared" ca="1" si="264"/>
        <v>3128.2252483282455</v>
      </c>
      <c r="X922" s="4">
        <f t="shared" ca="1" si="265"/>
        <v>0</v>
      </c>
    </row>
    <row r="923" spans="1:24">
      <c r="A923">
        <v>2</v>
      </c>
      <c r="B923">
        <v>3</v>
      </c>
      <c r="C923">
        <f t="shared" si="247"/>
        <v>7</v>
      </c>
      <c r="D923">
        <f t="shared" si="248"/>
        <v>5</v>
      </c>
      <c r="E923">
        <f t="shared" si="249"/>
        <v>2</v>
      </c>
      <c r="F923" s="100">
        <f t="shared" ca="1" si="250"/>
        <v>0</v>
      </c>
      <c r="G923">
        <v>0</v>
      </c>
      <c r="H923">
        <v>1</v>
      </c>
      <c r="I923">
        <v>3</v>
      </c>
      <c r="J923" s="1">
        <f t="shared" ca="1" si="251"/>
        <v>4.8029800500000085E-5</v>
      </c>
      <c r="K923" s="1">
        <f t="shared" ca="1" si="252"/>
        <v>0</v>
      </c>
      <c r="L923" s="13">
        <f t="shared" ca="1" si="253"/>
        <v>104</v>
      </c>
      <c r="M923" s="7">
        <f t="shared" ca="1" si="254"/>
        <v>896</v>
      </c>
      <c r="N923" s="44">
        <f t="shared" ca="1" si="255"/>
        <v>11</v>
      </c>
      <c r="O923" s="94">
        <f t="shared" ca="1" si="256"/>
        <v>2.8265749241644089</v>
      </c>
      <c r="P923" s="94">
        <f t="shared" ca="1" si="257"/>
        <v>27.071674518692554</v>
      </c>
      <c r="Q923" s="94">
        <f t="shared" ca="1" si="258"/>
        <v>25.877599795741034</v>
      </c>
      <c r="R923" s="94">
        <f t="shared" ca="1" si="259"/>
        <v>2.6474637157216794</v>
      </c>
      <c r="S923" s="94">
        <f t="shared" ca="1" si="260"/>
        <v>2.8265749241644089</v>
      </c>
      <c r="T923" s="4">
        <f t="shared" ca="1" si="261"/>
        <v>0</v>
      </c>
      <c r="U923" s="46">
        <f t="shared" ca="1" si="262"/>
        <v>1466.7163216869442</v>
      </c>
      <c r="V923" s="4">
        <f t="shared" ca="1" si="263"/>
        <v>0</v>
      </c>
      <c r="W923" s="13">
        <f t="shared" ca="1" si="264"/>
        <v>2462.5549528563624</v>
      </c>
      <c r="X923" s="4">
        <f t="shared" ca="1" si="265"/>
        <v>0</v>
      </c>
    </row>
    <row r="924" spans="1:24">
      <c r="A924">
        <v>2</v>
      </c>
      <c r="B924">
        <v>3</v>
      </c>
      <c r="C924">
        <f t="shared" si="247"/>
        <v>7</v>
      </c>
      <c r="D924">
        <f t="shared" si="248"/>
        <v>5</v>
      </c>
      <c r="E924">
        <f t="shared" si="249"/>
        <v>2</v>
      </c>
      <c r="F924" s="100">
        <f t="shared" ca="1" si="250"/>
        <v>0</v>
      </c>
      <c r="G924">
        <v>0</v>
      </c>
      <c r="H924">
        <v>1</v>
      </c>
      <c r="I924">
        <v>2</v>
      </c>
      <c r="J924" s="1">
        <f t="shared" ca="1" si="251"/>
        <v>4.8514950000000139E-7</v>
      </c>
      <c r="K924" s="1">
        <f t="shared" ca="1" si="252"/>
        <v>0</v>
      </c>
      <c r="L924" s="13">
        <f t="shared" ca="1" si="253"/>
        <v>91</v>
      </c>
      <c r="M924" s="7">
        <f t="shared" ca="1" si="254"/>
        <v>909</v>
      </c>
      <c r="N924" s="44">
        <f t="shared" ca="1" si="255"/>
        <v>11</v>
      </c>
      <c r="O924" s="94">
        <f t="shared" ca="1" si="256"/>
        <v>2.8265749241644089</v>
      </c>
      <c r="P924" s="94">
        <f t="shared" ca="1" si="257"/>
        <v>28.265749241644084</v>
      </c>
      <c r="Q924" s="94">
        <f t="shared" ca="1" si="258"/>
        <v>27.788119352463475</v>
      </c>
      <c r="R924" s="94">
        <f t="shared" ca="1" si="259"/>
        <v>2.8026934297053776</v>
      </c>
      <c r="S924" s="94">
        <f t="shared" ca="1" si="260"/>
        <v>2.8265749241644089</v>
      </c>
      <c r="T924" s="4">
        <f t="shared" ca="1" si="261"/>
        <v>0</v>
      </c>
      <c r="U924" s="46">
        <f t="shared" ca="1" si="262"/>
        <v>1453.7163216869442</v>
      </c>
      <c r="V924" s="4">
        <f t="shared" ca="1" si="263"/>
        <v>0</v>
      </c>
      <c r="W924" s="13">
        <f t="shared" ca="1" si="264"/>
        <v>1796.8846573844794</v>
      </c>
      <c r="X924" s="4">
        <f t="shared" ca="1" si="265"/>
        <v>0</v>
      </c>
    </row>
    <row r="925" spans="1:24">
      <c r="A925">
        <v>2</v>
      </c>
      <c r="B925">
        <v>3</v>
      </c>
      <c r="C925">
        <f t="shared" si="247"/>
        <v>7</v>
      </c>
      <c r="D925">
        <f t="shared" si="248"/>
        <v>5</v>
      </c>
      <c r="E925">
        <f t="shared" si="249"/>
        <v>2</v>
      </c>
      <c r="F925" s="100">
        <f t="shared" ca="1" si="250"/>
        <v>0</v>
      </c>
      <c r="G925">
        <v>0</v>
      </c>
      <c r="H925">
        <v>1</v>
      </c>
      <c r="I925">
        <v>1</v>
      </c>
      <c r="J925" s="1">
        <f t="shared" ca="1" si="251"/>
        <v>2.450250000000009E-9</v>
      </c>
      <c r="K925" s="1">
        <f t="shared" ca="1" si="252"/>
        <v>0</v>
      </c>
      <c r="L925" s="13">
        <f t="shared" ca="1" si="253"/>
        <v>78</v>
      </c>
      <c r="M925" s="7">
        <f t="shared" ca="1" si="254"/>
        <v>922</v>
      </c>
      <c r="N925" s="44">
        <f t="shared" ca="1" si="255"/>
        <v>11</v>
      </c>
      <c r="O925" s="94">
        <f t="shared" ca="1" si="256"/>
        <v>2.8265749241644089</v>
      </c>
      <c r="P925" s="94">
        <f t="shared" ca="1" si="257"/>
        <v>28.265749241644084</v>
      </c>
      <c r="Q925" s="94">
        <f t="shared" ca="1" si="258"/>
        <v>28.265749241644084</v>
      </c>
      <c r="R925" s="94">
        <f t="shared" ca="1" si="259"/>
        <v>2.8265749241644085</v>
      </c>
      <c r="S925" s="94">
        <f t="shared" ca="1" si="260"/>
        <v>2.8265749241644089</v>
      </c>
      <c r="T925" s="4">
        <f t="shared" ca="1" si="261"/>
        <v>0</v>
      </c>
      <c r="U925" s="46">
        <f t="shared" ca="1" si="262"/>
        <v>1440.7163216869442</v>
      </c>
      <c r="V925" s="4">
        <f t="shared" ca="1" si="263"/>
        <v>0</v>
      </c>
      <c r="W925" s="13">
        <f t="shared" ca="1" si="264"/>
        <v>1131.2143619125961</v>
      </c>
      <c r="X925" s="4">
        <f t="shared" ca="1" si="265"/>
        <v>0</v>
      </c>
    </row>
    <row r="926" spans="1:24">
      <c r="A926">
        <v>2</v>
      </c>
      <c r="B926">
        <v>3</v>
      </c>
      <c r="C926">
        <f t="shared" si="247"/>
        <v>7</v>
      </c>
      <c r="D926">
        <f t="shared" si="248"/>
        <v>5</v>
      </c>
      <c r="E926">
        <f t="shared" si="249"/>
        <v>2</v>
      </c>
      <c r="F926" s="100">
        <f t="shared" ca="1" si="250"/>
        <v>0</v>
      </c>
      <c r="G926">
        <v>0</v>
      </c>
      <c r="H926">
        <v>1</v>
      </c>
      <c r="I926">
        <v>0</v>
      </c>
      <c r="J926" s="1">
        <f t="shared" ca="1" si="251"/>
        <v>4.9500000000000231E-12</v>
      </c>
      <c r="K926" s="1">
        <f t="shared" ca="1" si="252"/>
        <v>0</v>
      </c>
      <c r="L926" s="13">
        <f t="shared" ca="1" si="253"/>
        <v>65</v>
      </c>
      <c r="M926" s="7">
        <f t="shared" ca="1" si="254"/>
        <v>935</v>
      </c>
      <c r="N926" s="44">
        <f t="shared" ca="1" si="255"/>
        <v>11</v>
      </c>
      <c r="O926" s="94">
        <f t="shared" ca="1" si="256"/>
        <v>2.8265749241644089</v>
      </c>
      <c r="P926" s="94">
        <f t="shared" ca="1" si="257"/>
        <v>28.265749241644084</v>
      </c>
      <c r="Q926" s="94">
        <f t="shared" ca="1" si="258"/>
        <v>28.265749241644084</v>
      </c>
      <c r="R926" s="94">
        <f t="shared" ca="1" si="259"/>
        <v>2.8265749241644085</v>
      </c>
      <c r="S926" s="94">
        <f t="shared" ca="1" si="260"/>
        <v>2.8265749241644089</v>
      </c>
      <c r="T926" s="4">
        <f t="shared" ca="1" si="261"/>
        <v>0</v>
      </c>
      <c r="U926" s="46">
        <f t="shared" ca="1" si="262"/>
        <v>1427.7163216869442</v>
      </c>
      <c r="V926" s="4">
        <f t="shared" ca="1" si="263"/>
        <v>0</v>
      </c>
      <c r="W926" s="13">
        <f t="shared" ca="1" si="264"/>
        <v>465.54406644071304</v>
      </c>
      <c r="X926" s="4">
        <f t="shared" ca="1" si="265"/>
        <v>0</v>
      </c>
    </row>
    <row r="927" spans="1:24">
      <c r="A927">
        <v>2</v>
      </c>
      <c r="B927">
        <v>3</v>
      </c>
      <c r="C927">
        <f t="shared" si="247"/>
        <v>7</v>
      </c>
      <c r="D927">
        <f t="shared" si="248"/>
        <v>5</v>
      </c>
      <c r="E927">
        <f t="shared" si="249"/>
        <v>2</v>
      </c>
      <c r="F927" s="100">
        <f t="shared" ca="1" si="250"/>
        <v>0</v>
      </c>
      <c r="G927">
        <v>0</v>
      </c>
      <c r="H927">
        <v>0</v>
      </c>
      <c r="I927">
        <v>7</v>
      </c>
      <c r="J927" s="1">
        <f t="shared" ca="1" si="251"/>
        <v>0</v>
      </c>
      <c r="K927" s="1">
        <f t="shared" ca="1" si="252"/>
        <v>0</v>
      </c>
      <c r="L927" s="13">
        <f t="shared" ca="1" si="253"/>
        <v>91</v>
      </c>
      <c r="M927" s="7">
        <f t="shared" ca="1" si="254"/>
        <v>909</v>
      </c>
      <c r="N927" s="44">
        <f t="shared" ca="1" si="255"/>
        <v>11</v>
      </c>
      <c r="O927" s="94">
        <f t="shared" ca="1" si="256"/>
        <v>2.8265749241644089</v>
      </c>
      <c r="P927" s="94">
        <f t="shared" ca="1" si="257"/>
        <v>28.265749241644084</v>
      </c>
      <c r="Q927" s="94">
        <f t="shared" ca="1" si="258"/>
        <v>27.788119352463475</v>
      </c>
      <c r="R927" s="94">
        <f t="shared" ca="1" si="259"/>
        <v>2.8026934297053776</v>
      </c>
      <c r="S927" s="94">
        <f t="shared" ca="1" si="260"/>
        <v>2.8265749241644089</v>
      </c>
      <c r="T927" s="4">
        <f t="shared" ca="1" si="261"/>
        <v>0</v>
      </c>
      <c r="U927" s="46">
        <f t="shared" ca="1" si="262"/>
        <v>1453.7163216869442</v>
      </c>
      <c r="V927" s="4">
        <f t="shared" ca="1" si="263"/>
        <v>0</v>
      </c>
      <c r="W927" s="13">
        <f t="shared" ca="1" si="264"/>
        <v>4659.6920683031822</v>
      </c>
      <c r="X927" s="4">
        <f t="shared" ca="1" si="265"/>
        <v>0</v>
      </c>
    </row>
    <row r="928" spans="1:24">
      <c r="A928">
        <v>2</v>
      </c>
      <c r="B928">
        <v>3</v>
      </c>
      <c r="C928">
        <f t="shared" si="247"/>
        <v>7</v>
      </c>
      <c r="D928">
        <f t="shared" si="248"/>
        <v>5</v>
      </c>
      <c r="E928">
        <f t="shared" si="249"/>
        <v>2</v>
      </c>
      <c r="F928" s="100">
        <f t="shared" ca="1" si="250"/>
        <v>0</v>
      </c>
      <c r="G928">
        <v>0</v>
      </c>
      <c r="H928">
        <v>0</v>
      </c>
      <c r="I928">
        <v>6</v>
      </c>
      <c r="J928" s="1">
        <f t="shared" ca="1" si="251"/>
        <v>0</v>
      </c>
      <c r="K928" s="1">
        <f t="shared" ca="1" si="252"/>
        <v>0</v>
      </c>
      <c r="L928" s="13">
        <f t="shared" ca="1" si="253"/>
        <v>78</v>
      </c>
      <c r="M928" s="7">
        <f t="shared" ca="1" si="254"/>
        <v>922</v>
      </c>
      <c r="N928" s="44">
        <f t="shared" ca="1" si="255"/>
        <v>11</v>
      </c>
      <c r="O928" s="94">
        <f t="shared" ca="1" si="256"/>
        <v>2.8265749241644089</v>
      </c>
      <c r="P928" s="94">
        <f t="shared" ca="1" si="257"/>
        <v>28.265749241644084</v>
      </c>
      <c r="Q928" s="94">
        <f t="shared" ca="1" si="258"/>
        <v>28.265749241644084</v>
      </c>
      <c r="R928" s="94">
        <f t="shared" ca="1" si="259"/>
        <v>2.8265749241644085</v>
      </c>
      <c r="S928" s="94">
        <f t="shared" ca="1" si="260"/>
        <v>2.8265749241644089</v>
      </c>
      <c r="T928" s="4">
        <f t="shared" ca="1" si="261"/>
        <v>0</v>
      </c>
      <c r="U928" s="46">
        <f t="shared" ca="1" si="262"/>
        <v>1440.7163216869442</v>
      </c>
      <c r="V928" s="4">
        <f t="shared" ca="1" si="263"/>
        <v>0</v>
      </c>
      <c r="W928" s="13">
        <f t="shared" ca="1" si="264"/>
        <v>3994.0217728312991</v>
      </c>
      <c r="X928" s="4">
        <f t="shared" ca="1" si="265"/>
        <v>0</v>
      </c>
    </row>
    <row r="929" spans="1:24">
      <c r="A929">
        <v>2</v>
      </c>
      <c r="B929">
        <v>3</v>
      </c>
      <c r="C929">
        <f t="shared" si="247"/>
        <v>7</v>
      </c>
      <c r="D929">
        <f t="shared" si="248"/>
        <v>5</v>
      </c>
      <c r="E929">
        <f t="shared" si="249"/>
        <v>2</v>
      </c>
      <c r="F929" s="100">
        <f t="shared" ca="1" si="250"/>
        <v>0</v>
      </c>
      <c r="G929">
        <v>0</v>
      </c>
      <c r="H929">
        <v>0</v>
      </c>
      <c r="I929">
        <v>5</v>
      </c>
      <c r="J929" s="1">
        <f t="shared" ca="1" si="251"/>
        <v>4.7549502495000039E-4</v>
      </c>
      <c r="K929" s="1">
        <f t="shared" ca="1" si="252"/>
        <v>0</v>
      </c>
      <c r="L929" s="13">
        <f t="shared" ca="1" si="253"/>
        <v>65</v>
      </c>
      <c r="M929" s="7">
        <f t="shared" ca="1" si="254"/>
        <v>935</v>
      </c>
      <c r="N929" s="44">
        <f t="shared" ca="1" si="255"/>
        <v>11</v>
      </c>
      <c r="O929" s="94">
        <f t="shared" ca="1" si="256"/>
        <v>2.8265749241644089</v>
      </c>
      <c r="P929" s="94">
        <f t="shared" ca="1" si="257"/>
        <v>28.265749241644084</v>
      </c>
      <c r="Q929" s="94">
        <f t="shared" ca="1" si="258"/>
        <v>28.265749241644084</v>
      </c>
      <c r="R929" s="94">
        <f t="shared" ca="1" si="259"/>
        <v>2.8265749241644085</v>
      </c>
      <c r="S929" s="94">
        <f t="shared" ca="1" si="260"/>
        <v>2.8265749241644089</v>
      </c>
      <c r="T929" s="4">
        <f t="shared" ca="1" si="261"/>
        <v>0</v>
      </c>
      <c r="U929" s="46">
        <f t="shared" ca="1" si="262"/>
        <v>1427.7163216869442</v>
      </c>
      <c r="V929" s="4">
        <f t="shared" ca="1" si="263"/>
        <v>0</v>
      </c>
      <c r="W929" s="13">
        <f t="shared" ca="1" si="264"/>
        <v>3328.3514773594161</v>
      </c>
      <c r="X929" s="4">
        <f t="shared" ca="1" si="265"/>
        <v>0</v>
      </c>
    </row>
    <row r="930" spans="1:24">
      <c r="A930">
        <v>2</v>
      </c>
      <c r="B930">
        <v>3</v>
      </c>
      <c r="C930">
        <f t="shared" si="247"/>
        <v>7</v>
      </c>
      <c r="D930">
        <f t="shared" si="248"/>
        <v>5</v>
      </c>
      <c r="E930">
        <f t="shared" si="249"/>
        <v>2</v>
      </c>
      <c r="F930" s="100">
        <f t="shared" ca="1" si="250"/>
        <v>0</v>
      </c>
      <c r="G930">
        <v>0</v>
      </c>
      <c r="H930">
        <v>0</v>
      </c>
      <c r="I930">
        <v>4</v>
      </c>
      <c r="J930" s="1">
        <f t="shared" ca="1" si="251"/>
        <v>2.4014900250000042E-5</v>
      </c>
      <c r="K930" s="1">
        <f t="shared" ca="1" si="252"/>
        <v>0</v>
      </c>
      <c r="L930" s="13">
        <f t="shared" ca="1" si="253"/>
        <v>52</v>
      </c>
      <c r="M930" s="7">
        <f t="shared" ca="1" si="254"/>
        <v>948</v>
      </c>
      <c r="N930" s="44">
        <f t="shared" ca="1" si="255"/>
        <v>11</v>
      </c>
      <c r="O930" s="94">
        <f t="shared" ca="1" si="256"/>
        <v>2.8265749241644089</v>
      </c>
      <c r="P930" s="94">
        <f t="shared" ca="1" si="257"/>
        <v>28.265749241644084</v>
      </c>
      <c r="Q930" s="94">
        <f t="shared" ca="1" si="258"/>
        <v>28.265749241644084</v>
      </c>
      <c r="R930" s="94">
        <f t="shared" ca="1" si="259"/>
        <v>2.8265749241644085</v>
      </c>
      <c r="S930" s="94">
        <f t="shared" ca="1" si="260"/>
        <v>2.8265749241644089</v>
      </c>
      <c r="T930" s="4">
        <f t="shared" ca="1" si="261"/>
        <v>0</v>
      </c>
      <c r="U930" s="46">
        <f t="shared" ca="1" si="262"/>
        <v>1414.7163216869442</v>
      </c>
      <c r="V930" s="4">
        <f t="shared" ca="1" si="263"/>
        <v>0</v>
      </c>
      <c r="W930" s="13">
        <f t="shared" ca="1" si="264"/>
        <v>2662.6811818875326</v>
      </c>
      <c r="X930" s="4">
        <f t="shared" ca="1" si="265"/>
        <v>0</v>
      </c>
    </row>
    <row r="931" spans="1:24">
      <c r="A931">
        <v>2</v>
      </c>
      <c r="B931">
        <v>3</v>
      </c>
      <c r="C931">
        <f t="shared" si="247"/>
        <v>7</v>
      </c>
      <c r="D931">
        <f t="shared" si="248"/>
        <v>5</v>
      </c>
      <c r="E931">
        <f t="shared" si="249"/>
        <v>2</v>
      </c>
      <c r="F931" s="100">
        <f t="shared" ca="1" si="250"/>
        <v>0</v>
      </c>
      <c r="G931">
        <v>0</v>
      </c>
      <c r="H931">
        <v>0</v>
      </c>
      <c r="I931">
        <v>3</v>
      </c>
      <c r="J931" s="1">
        <f t="shared" ca="1" si="251"/>
        <v>4.8514950000000128E-7</v>
      </c>
      <c r="K931" s="1">
        <f t="shared" ca="1" si="252"/>
        <v>0</v>
      </c>
      <c r="L931" s="13">
        <f t="shared" ca="1" si="253"/>
        <v>39</v>
      </c>
      <c r="M931" s="7">
        <f t="shared" ca="1" si="254"/>
        <v>961</v>
      </c>
      <c r="N931" s="44">
        <f t="shared" ca="1" si="255"/>
        <v>11</v>
      </c>
      <c r="O931" s="94">
        <f t="shared" ca="1" si="256"/>
        <v>2.8265749241644089</v>
      </c>
      <c r="P931" s="94">
        <f t="shared" ca="1" si="257"/>
        <v>28.265749241644084</v>
      </c>
      <c r="Q931" s="94">
        <f t="shared" ca="1" si="258"/>
        <v>28.265749241644084</v>
      </c>
      <c r="R931" s="94">
        <f t="shared" ca="1" si="259"/>
        <v>2.8265749241644085</v>
      </c>
      <c r="S931" s="94">
        <f t="shared" ca="1" si="260"/>
        <v>2.8265749241644089</v>
      </c>
      <c r="T931" s="4">
        <f t="shared" ca="1" si="261"/>
        <v>0</v>
      </c>
      <c r="U931" s="46">
        <f t="shared" ca="1" si="262"/>
        <v>1401.7163216869442</v>
      </c>
      <c r="V931" s="4">
        <f t="shared" ca="1" si="263"/>
        <v>0</v>
      </c>
      <c r="W931" s="13">
        <f t="shared" ca="1" si="264"/>
        <v>1997.0108864156496</v>
      </c>
      <c r="X931" s="4">
        <f t="shared" ca="1" si="265"/>
        <v>0</v>
      </c>
    </row>
    <row r="932" spans="1:24">
      <c r="A932">
        <v>2</v>
      </c>
      <c r="B932">
        <v>3</v>
      </c>
      <c r="C932">
        <f t="shared" si="247"/>
        <v>7</v>
      </c>
      <c r="D932">
        <f t="shared" si="248"/>
        <v>5</v>
      </c>
      <c r="E932">
        <f t="shared" si="249"/>
        <v>2</v>
      </c>
      <c r="F932" s="100">
        <f t="shared" ca="1" si="250"/>
        <v>0</v>
      </c>
      <c r="G932">
        <v>0</v>
      </c>
      <c r="H932">
        <v>0</v>
      </c>
      <c r="I932">
        <v>2</v>
      </c>
      <c r="J932" s="1">
        <f t="shared" ca="1" si="251"/>
        <v>4.900500000000018E-9</v>
      </c>
      <c r="K932" s="1">
        <f t="shared" ca="1" si="252"/>
        <v>0</v>
      </c>
      <c r="L932" s="13">
        <f t="shared" ca="1" si="253"/>
        <v>26</v>
      </c>
      <c r="M932" s="7">
        <f t="shared" ca="1" si="254"/>
        <v>974</v>
      </c>
      <c r="N932" s="44">
        <f t="shared" ca="1" si="255"/>
        <v>11</v>
      </c>
      <c r="O932" s="94">
        <f t="shared" ca="1" si="256"/>
        <v>2.8265749241644089</v>
      </c>
      <c r="P932" s="94">
        <f t="shared" ca="1" si="257"/>
        <v>28.265749241644084</v>
      </c>
      <c r="Q932" s="94">
        <f t="shared" ca="1" si="258"/>
        <v>28.265749241644084</v>
      </c>
      <c r="R932" s="94">
        <f t="shared" ca="1" si="259"/>
        <v>2.8265749241644085</v>
      </c>
      <c r="S932" s="94">
        <f t="shared" ca="1" si="260"/>
        <v>2.8265749241644089</v>
      </c>
      <c r="T932" s="4">
        <f t="shared" ca="1" si="261"/>
        <v>0</v>
      </c>
      <c r="U932" s="46">
        <f t="shared" ca="1" si="262"/>
        <v>1388.7163216869442</v>
      </c>
      <c r="V932" s="4">
        <f t="shared" ca="1" si="263"/>
        <v>0</v>
      </c>
      <c r="W932" s="13">
        <f t="shared" ca="1" si="264"/>
        <v>1331.3405909437663</v>
      </c>
      <c r="X932" s="4">
        <f t="shared" ca="1" si="265"/>
        <v>0</v>
      </c>
    </row>
    <row r="933" spans="1:24">
      <c r="A933">
        <v>2</v>
      </c>
      <c r="B933">
        <v>3</v>
      </c>
      <c r="C933">
        <f t="shared" si="247"/>
        <v>7</v>
      </c>
      <c r="D933">
        <f t="shared" si="248"/>
        <v>5</v>
      </c>
      <c r="E933">
        <f t="shared" si="249"/>
        <v>2</v>
      </c>
      <c r="F933" s="100">
        <f t="shared" ca="1" si="250"/>
        <v>0</v>
      </c>
      <c r="G933">
        <v>0</v>
      </c>
      <c r="H933">
        <v>0</v>
      </c>
      <c r="I933">
        <v>1</v>
      </c>
      <c r="J933" s="1">
        <f t="shared" ca="1" si="251"/>
        <v>2.4750000000000112E-11</v>
      </c>
      <c r="K933" s="1">
        <f t="shared" ca="1" si="252"/>
        <v>0</v>
      </c>
      <c r="L933" s="13">
        <f t="shared" ca="1" si="253"/>
        <v>13</v>
      </c>
      <c r="M933" s="7">
        <f t="shared" ca="1" si="254"/>
        <v>987</v>
      </c>
      <c r="N933" s="44">
        <f t="shared" ca="1" si="255"/>
        <v>12</v>
      </c>
      <c r="O933" s="94">
        <f t="shared" ca="1" si="256"/>
        <v>3.049271339469791</v>
      </c>
      <c r="P933" s="94">
        <f t="shared" ca="1" si="257"/>
        <v>29.824624148781758</v>
      </c>
      <c r="Q933" s="94">
        <f t="shared" ca="1" si="258"/>
        <v>28.265749241644084</v>
      </c>
      <c r="R933" s="94">
        <f t="shared" ca="1" si="259"/>
        <v>2.9045186695212921</v>
      </c>
      <c r="S933" s="94">
        <f t="shared" ca="1" si="260"/>
        <v>3.049271339469791</v>
      </c>
      <c r="T933" s="4">
        <f t="shared" ca="1" si="261"/>
        <v>0</v>
      </c>
      <c r="U933" s="46">
        <f t="shared" ca="1" si="262"/>
        <v>1466.9428976204611</v>
      </c>
      <c r="V933" s="4">
        <f t="shared" ca="1" si="263"/>
        <v>0</v>
      </c>
      <c r="W933" s="13">
        <f t="shared" ca="1" si="264"/>
        <v>665.67029547188315</v>
      </c>
      <c r="X933" s="4">
        <f t="shared" ca="1" si="265"/>
        <v>0</v>
      </c>
    </row>
    <row r="934" spans="1:24">
      <c r="A934">
        <v>2</v>
      </c>
      <c r="B934">
        <v>3</v>
      </c>
      <c r="C934">
        <f t="shared" si="247"/>
        <v>7</v>
      </c>
      <c r="D934">
        <f t="shared" si="248"/>
        <v>5</v>
      </c>
      <c r="E934">
        <f t="shared" si="249"/>
        <v>2</v>
      </c>
      <c r="F934" s="100">
        <f t="shared" ca="1" si="250"/>
        <v>0</v>
      </c>
      <c r="G934">
        <v>0</v>
      </c>
      <c r="H934">
        <v>0</v>
      </c>
      <c r="I934">
        <v>0</v>
      </c>
      <c r="J934" s="1">
        <f t="shared" ca="1" si="251"/>
        <v>5.0000000000000273E-14</v>
      </c>
      <c r="K934" s="1">
        <f t="shared" ca="1" si="252"/>
        <v>0</v>
      </c>
      <c r="L934" s="13">
        <f t="shared" ca="1" si="253"/>
        <v>0</v>
      </c>
      <c r="M934" s="7">
        <f t="shared" ca="1" si="254"/>
        <v>1000</v>
      </c>
      <c r="N934" s="44">
        <f t="shared" ca="1" si="255"/>
        <v>12</v>
      </c>
      <c r="O934" s="94">
        <f t="shared" ca="1" si="256"/>
        <v>3.049271339469791</v>
      </c>
      <c r="P934" s="94">
        <f t="shared" ca="1" si="257"/>
        <v>30.492713394697905</v>
      </c>
      <c r="Q934" s="94">
        <f t="shared" ca="1" si="258"/>
        <v>30.492713394697905</v>
      </c>
      <c r="R934" s="94">
        <f t="shared" ca="1" si="259"/>
        <v>3.0492713394697906</v>
      </c>
      <c r="S934" s="94">
        <f t="shared" ca="1" si="260"/>
        <v>3.049271339469791</v>
      </c>
      <c r="T934" s="4">
        <f t="shared" ca="1" si="261"/>
        <v>0</v>
      </c>
      <c r="U934" s="46">
        <f t="shared" ca="1" si="262"/>
        <v>1453.9428976204611</v>
      </c>
      <c r="V934" s="4">
        <f t="shared" ca="1" si="263"/>
        <v>0</v>
      </c>
      <c r="W934" s="13">
        <f t="shared" ca="1" si="264"/>
        <v>0</v>
      </c>
      <c r="X934" s="4">
        <f t="shared" ca="1" si="265"/>
        <v>0</v>
      </c>
    </row>
    <row r="935" spans="1:24">
      <c r="A935">
        <v>3</v>
      </c>
      <c r="B935">
        <v>0</v>
      </c>
      <c r="C935">
        <f t="shared" ref="C935:C998" si="266">MIN(8, 1+$B$543+$B$542+A935+B935)</f>
        <v>5</v>
      </c>
      <c r="D935">
        <f t="shared" ref="D935:D998" si="267">C935-(1+$B$543)</f>
        <v>3</v>
      </c>
      <c r="E935">
        <f t="shared" ref="E935:E998" si="268">MIN(A935, C935-(1+$B$543+$B$542))</f>
        <v>3</v>
      </c>
      <c r="F935" s="100">
        <f t="shared" ref="F935:F998" ca="1" si="269">IF(A935=3, Set2QA, IF(A935=2, (1-Set2QA)*Set2TA + (1-Set2QA)*(1-Set2TA)*(1-Set2DA)*Set2AM3*Set2AM33, IF(A935=1, (1-Set2QA)*(1-Set2TA)*Set2DA + (1-Set2QA)*(1-Set2TA)*(1-Set2DA)*Set2AM3*Set2AM32, (1-Set2QA)*(1-Set2TA)*(1-Set2DA)*(1-Set2AM3)))) * IF($B$542+$B$543&gt;0, IF(B935=3, Set2QA, IF(B935=2, (1-Set2QA)*Set2TA, IF(B935=1, (1-Set2QA)*(1-Set2TA)*Set2DA, (1-Set2QA)*(1-Set2TA)*(1-Set2DA)))), IF(B935=0, 1, 0))</f>
        <v>0</v>
      </c>
      <c r="G935">
        <v>1</v>
      </c>
      <c r="H935">
        <v>1</v>
      </c>
      <c r="I935">
        <v>7</v>
      </c>
      <c r="J935" s="1">
        <f t="shared" ref="J935:J998" ca="1" si="270">POWER(95%,G935)*POWER(5%, 1-G935) * IF($B$543=0, IF(H935=0, 1, 0), POWER(Set2WSHitRate,H935)*POWER(1-Set2WSHitRate, 1-H935)) * IF(I935&lt;=D935, POWER(Set2WSHitRate, I935)*POWER(1-Set2WSHitRate, D935-I935)*COMBIN(D935,I935), 0)</f>
        <v>0</v>
      </c>
      <c r="K935" s="1">
        <f t="shared" ref="K935:K998" ca="1" si="271">F935*J935</f>
        <v>0</v>
      </c>
      <c r="L935" s="13">
        <f t="shared" ref="L935:L998" ca="1" si="272">MAX((G935+H935)*Set2WSTP + I935*$B$539, Set2SaveTP)</f>
        <v>221</v>
      </c>
      <c r="M935" s="7">
        <f t="shared" ref="M935:M998" ca="1" si="273">MAX(Set2MinTP-(L935+Set2Regain), 0)</f>
        <v>779</v>
      </c>
      <c r="N935" s="44">
        <f t="shared" ref="N935:N998" ca="1" si="274">CEILING(M935/Set2MeleeTP, 1)</f>
        <v>9</v>
      </c>
      <c r="O935" s="94">
        <f t="shared" ref="O935:O998" ca="1" si="275">VLOOKUP(N935, AvgRoundsSet2, 2)</f>
        <v>2.3639647217884514</v>
      </c>
      <c r="P935" s="94">
        <f t="shared" ref="P935:P998" ca="1" si="276">VLOOKUP(CEILING(MAX(M935-1, 0)/Set2MeleeTP, 1), AvgRoundsSet2, 2) + VLOOKUP(CEILING(MAX(M935-2, 0)/Set2MeleeTP, 1), AvgRoundsSet2, 2) + VLOOKUP(CEILING(MAX(M935-3, 0)/Set2MeleeTP, 1), AvgRoundsSet2, 2) + VLOOKUP(CEILING(MAX(M935-4, 0)/Set2MeleeTP, 1), AvgRoundsSet2, 2) + VLOOKUP(CEILING(MAX(M935-5, 0)/Set2MeleeTP, 1), AvgRoundsSet2, 2) + VLOOKUP(CEILING(MAX(M935-6, 0)/Set2MeleeTP, 1), AvgRoundsSet2, 2) + VLOOKUP(CEILING(MAX(M935-7, 0)/Set2MeleeTP, 1), AvgRoundsSet2, 2) + VLOOKUP(CEILING(MAX(M935-8, 0)/Set2MeleeTP, 1), AvgRoundsSet2, 2) + VLOOKUP(CEILING(MAX(M935-9, 0)/Set2MeleeTP, 1), AvgRoundsSet2, 2) + VLOOKUP(CEILING(MAX(M935-10, 0)/Set2MeleeTP, 1), AvgRoundsSet2, 2)</f>
        <v>23.639647217884519</v>
      </c>
      <c r="Q935" s="94">
        <f t="shared" ref="Q935:Q998" ca="1" si="277">VLOOKUP(CEILING(MAX(M935-11, 0)/Set2MeleeTP, 1), AvgRoundsSet2, 2) + VLOOKUP(CEILING(MAX(M935-12, 0)/Set2MeleeTP, 1), AvgRoundsSet2, 2) + VLOOKUP(CEILING(MAX(M935-13, 0)/Set2MeleeTP, 1), AvgRoundsSet2, 2) + VLOOKUP(CEILING(MAX(M935-14, 0)/Set2MeleeTP, 1), AvgRoundsSet2, 2) + VLOOKUP(CEILING(MAX(M935-15, 0)/Set2MeleeTP, 1), AvgRoundsSet2, 2) + VLOOKUP(CEILING(MAX(M935-16, 0)/Set2MeleeTP, 1), AvgRoundsSet2, 2) + VLOOKUP(CEILING(MAX(M935-17, 0)/Set2MeleeTP, 1), AvgRoundsSet2, 2) + VLOOKUP(CEILING(MAX(M935-18, 0)/Set2MeleeTP, 1), AvgRoundsSet2, 2) + VLOOKUP(CEILING(MAX(M935-19, 0)/Set2MeleeTP, 1), AvgRoundsSet2, 2) + VLOOKUP(CEILING(MAX(M935-20, 0)/Set2MeleeTP, 1), AvgRoundsSet2, 2)</f>
        <v>23.639647217884519</v>
      </c>
      <c r="R935" s="94">
        <f t="shared" ref="R935:R998" ca="1" si="278">(P935+Q935)/20</f>
        <v>2.3639647217884519</v>
      </c>
      <c r="S935" s="94">
        <f t="shared" ref="S935:S998" ca="1" si="279">R935*Set2ConserveTP + O935*(1-Set2ConserveTP)</f>
        <v>2.3639647217884514</v>
      </c>
      <c r="T935" s="4">
        <f t="shared" ref="T935:T998" ca="1" si="280">K935*S935</f>
        <v>0</v>
      </c>
      <c r="U935" s="46">
        <f t="shared" ref="U935:U998" ca="1" si="281">MIN(L935+(S935+Set2OverTP)*AvgHitsPerRound2*Set2MeleeTP + Set2Regain + 10.5*Set2ConserveTP, 3000)</f>
        <v>1394.2101516087316</v>
      </c>
      <c r="V935" s="4">
        <f t="shared" ref="V935:V998" ca="1" si="282">U935*K935</f>
        <v>0</v>
      </c>
      <c r="W935" s="13">
        <f t="shared" ref="W935:W998" ca="1" si="283">G935*$K$543*((1-$L$543)*$L$547 + $L$543*$M$547*$M$543)*Set2WSDmg + H935*$K$546*((1-$L$546)*$L$548 + $L$546*$M$548*$M$544) + I935*$K$544*((1-$L$544)*$L$547 + $L$544*$M$547*$M$544) + E935*$K$545*$L$545*$M$543</f>
        <v>16438.260675257192</v>
      </c>
      <c r="X935" s="4">
        <f t="shared" ref="X935:X998" ca="1" si="284">K935*W935</f>
        <v>0</v>
      </c>
    </row>
    <row r="936" spans="1:24">
      <c r="A936">
        <v>3</v>
      </c>
      <c r="B936">
        <v>0</v>
      </c>
      <c r="C936">
        <f t="shared" si="266"/>
        <v>5</v>
      </c>
      <c r="D936">
        <f t="shared" si="267"/>
        <v>3</v>
      </c>
      <c r="E936">
        <f t="shared" si="268"/>
        <v>3</v>
      </c>
      <c r="F936" s="100">
        <f t="shared" ca="1" si="269"/>
        <v>0</v>
      </c>
      <c r="G936">
        <v>1</v>
      </c>
      <c r="H936">
        <v>1</v>
      </c>
      <c r="I936">
        <v>6</v>
      </c>
      <c r="J936" s="1">
        <f t="shared" ca="1" si="270"/>
        <v>0</v>
      </c>
      <c r="K936" s="1">
        <f t="shared" ca="1" si="271"/>
        <v>0</v>
      </c>
      <c r="L936" s="13">
        <f t="shared" ca="1" si="272"/>
        <v>208</v>
      </c>
      <c r="M936" s="7">
        <f t="shared" ca="1" si="273"/>
        <v>792</v>
      </c>
      <c r="N936" s="44">
        <f t="shared" ca="1" si="274"/>
        <v>9</v>
      </c>
      <c r="O936" s="94">
        <f t="shared" ca="1" si="275"/>
        <v>2.3639647217884514</v>
      </c>
      <c r="P936" s="94">
        <f t="shared" ca="1" si="276"/>
        <v>23.639647217884519</v>
      </c>
      <c r="Q936" s="94">
        <f t="shared" ca="1" si="277"/>
        <v>23.639647217884519</v>
      </c>
      <c r="R936" s="94">
        <f t="shared" ca="1" si="278"/>
        <v>2.3639647217884519</v>
      </c>
      <c r="S936" s="94">
        <f t="shared" ca="1" si="279"/>
        <v>2.3639647217884514</v>
      </c>
      <c r="T936" s="4">
        <f t="shared" ca="1" si="280"/>
        <v>0</v>
      </c>
      <c r="U936" s="46">
        <f t="shared" ca="1" si="281"/>
        <v>1381.2101516087316</v>
      </c>
      <c r="V936" s="4">
        <f t="shared" ca="1" si="282"/>
        <v>0</v>
      </c>
      <c r="W936" s="13">
        <f t="shared" ca="1" si="283"/>
        <v>15772.59037978531</v>
      </c>
      <c r="X936" s="4">
        <f t="shared" ca="1" si="284"/>
        <v>0</v>
      </c>
    </row>
    <row r="937" spans="1:24">
      <c r="A937">
        <v>3</v>
      </c>
      <c r="B937">
        <v>0</v>
      </c>
      <c r="C937">
        <f t="shared" si="266"/>
        <v>5</v>
      </c>
      <c r="D937">
        <f t="shared" si="267"/>
        <v>3</v>
      </c>
      <c r="E937">
        <f t="shared" si="268"/>
        <v>3</v>
      </c>
      <c r="F937" s="100">
        <f t="shared" ca="1" si="269"/>
        <v>0</v>
      </c>
      <c r="G937">
        <v>1</v>
      </c>
      <c r="H937">
        <v>1</v>
      </c>
      <c r="I937">
        <v>5</v>
      </c>
      <c r="J937" s="1">
        <f t="shared" ca="1" si="270"/>
        <v>0</v>
      </c>
      <c r="K937" s="1">
        <f t="shared" ca="1" si="271"/>
        <v>0</v>
      </c>
      <c r="L937" s="13">
        <f t="shared" ca="1" si="272"/>
        <v>195</v>
      </c>
      <c r="M937" s="7">
        <f t="shared" ca="1" si="273"/>
        <v>805</v>
      </c>
      <c r="N937" s="44">
        <f t="shared" ca="1" si="274"/>
        <v>10</v>
      </c>
      <c r="O937" s="94">
        <f t="shared" ca="1" si="275"/>
        <v>2.5877599795741038</v>
      </c>
      <c r="P937" s="94">
        <f t="shared" ca="1" si="276"/>
        <v>24.311032991241476</v>
      </c>
      <c r="Q937" s="94">
        <f t="shared" ca="1" si="277"/>
        <v>23.639647217884519</v>
      </c>
      <c r="R937" s="94">
        <f t="shared" ca="1" si="278"/>
        <v>2.3975340104562997</v>
      </c>
      <c r="S937" s="94">
        <f t="shared" ca="1" si="279"/>
        <v>2.5877599795741038</v>
      </c>
      <c r="T937" s="4">
        <f t="shared" ca="1" si="280"/>
        <v>0</v>
      </c>
      <c r="U937" s="46">
        <f t="shared" ca="1" si="281"/>
        <v>1459.8868633777442</v>
      </c>
      <c r="V937" s="4">
        <f t="shared" ca="1" si="282"/>
        <v>0</v>
      </c>
      <c r="W937" s="13">
        <f t="shared" ca="1" si="283"/>
        <v>15106.920084313426</v>
      </c>
      <c r="X937" s="4">
        <f t="shared" ca="1" si="284"/>
        <v>0</v>
      </c>
    </row>
    <row r="938" spans="1:24">
      <c r="A938">
        <v>3</v>
      </c>
      <c r="B938">
        <v>0</v>
      </c>
      <c r="C938">
        <f t="shared" si="266"/>
        <v>5</v>
      </c>
      <c r="D938">
        <f t="shared" si="267"/>
        <v>3</v>
      </c>
      <c r="E938">
        <f t="shared" si="268"/>
        <v>3</v>
      </c>
      <c r="F938" s="100">
        <f t="shared" ca="1" si="269"/>
        <v>0</v>
      </c>
      <c r="G938">
        <v>1</v>
      </c>
      <c r="H938">
        <v>1</v>
      </c>
      <c r="I938">
        <v>4</v>
      </c>
      <c r="J938" s="1">
        <f t="shared" ca="1" si="270"/>
        <v>0</v>
      </c>
      <c r="K938" s="1">
        <f t="shared" ca="1" si="271"/>
        <v>0</v>
      </c>
      <c r="L938" s="13">
        <f t="shared" ca="1" si="272"/>
        <v>182</v>
      </c>
      <c r="M938" s="7">
        <f t="shared" ca="1" si="273"/>
        <v>818</v>
      </c>
      <c r="N938" s="44">
        <f t="shared" ca="1" si="274"/>
        <v>10</v>
      </c>
      <c r="O938" s="94">
        <f t="shared" ca="1" si="275"/>
        <v>2.5877599795741038</v>
      </c>
      <c r="P938" s="94">
        <f t="shared" ca="1" si="276"/>
        <v>25.877599795741034</v>
      </c>
      <c r="Q938" s="94">
        <f t="shared" ca="1" si="277"/>
        <v>24.982418764598432</v>
      </c>
      <c r="R938" s="94">
        <f t="shared" ca="1" si="278"/>
        <v>2.5430009280169736</v>
      </c>
      <c r="S938" s="94">
        <f t="shared" ca="1" si="279"/>
        <v>2.5877599795741038</v>
      </c>
      <c r="T938" s="4">
        <f t="shared" ca="1" si="280"/>
        <v>0</v>
      </c>
      <c r="U938" s="46">
        <f t="shared" ca="1" si="281"/>
        <v>1446.8868633777442</v>
      </c>
      <c r="V938" s="4">
        <f t="shared" ca="1" si="282"/>
        <v>0</v>
      </c>
      <c r="W938" s="13">
        <f t="shared" ca="1" si="283"/>
        <v>14441.249788841542</v>
      </c>
      <c r="X938" s="4">
        <f t="shared" ca="1" si="284"/>
        <v>0</v>
      </c>
    </row>
    <row r="939" spans="1:24">
      <c r="A939">
        <v>3</v>
      </c>
      <c r="B939">
        <v>0</v>
      </c>
      <c r="C939">
        <f t="shared" si="266"/>
        <v>5</v>
      </c>
      <c r="D939">
        <f t="shared" si="267"/>
        <v>3</v>
      </c>
      <c r="E939">
        <f t="shared" si="268"/>
        <v>3</v>
      </c>
      <c r="F939" s="100">
        <f t="shared" ca="1" si="269"/>
        <v>0</v>
      </c>
      <c r="G939">
        <v>1</v>
      </c>
      <c r="H939">
        <v>1</v>
      </c>
      <c r="I939">
        <v>3</v>
      </c>
      <c r="J939" s="1">
        <f t="shared" ca="1" si="270"/>
        <v>0.91256620949999989</v>
      </c>
      <c r="K939" s="1">
        <f t="shared" ca="1" si="271"/>
        <v>0</v>
      </c>
      <c r="L939" s="13">
        <f t="shared" ca="1" si="272"/>
        <v>169</v>
      </c>
      <c r="M939" s="7">
        <f t="shared" ca="1" si="273"/>
        <v>831</v>
      </c>
      <c r="N939" s="44">
        <f t="shared" ca="1" si="274"/>
        <v>10</v>
      </c>
      <c r="O939" s="94">
        <f t="shared" ca="1" si="275"/>
        <v>2.5877599795741038</v>
      </c>
      <c r="P939" s="94">
        <f t="shared" ca="1" si="276"/>
        <v>25.877599795741034</v>
      </c>
      <c r="Q939" s="94">
        <f t="shared" ca="1" si="277"/>
        <v>25.877599795741034</v>
      </c>
      <c r="R939" s="94">
        <f t="shared" ca="1" si="278"/>
        <v>2.5877599795741033</v>
      </c>
      <c r="S939" s="94">
        <f t="shared" ca="1" si="279"/>
        <v>2.5877599795741038</v>
      </c>
      <c r="T939" s="4">
        <f t="shared" ca="1" si="280"/>
        <v>0</v>
      </c>
      <c r="U939" s="46">
        <f t="shared" ca="1" si="281"/>
        <v>1433.8868633777442</v>
      </c>
      <c r="V939" s="4">
        <f t="shared" ca="1" si="282"/>
        <v>0</v>
      </c>
      <c r="W939" s="13">
        <f t="shared" ca="1" si="283"/>
        <v>13775.57949336966</v>
      </c>
      <c r="X939" s="4">
        <f t="shared" ca="1" si="284"/>
        <v>0</v>
      </c>
    </row>
    <row r="940" spans="1:24">
      <c r="A940">
        <v>3</v>
      </c>
      <c r="B940">
        <v>0</v>
      </c>
      <c r="C940">
        <f t="shared" si="266"/>
        <v>5</v>
      </c>
      <c r="D940">
        <f t="shared" si="267"/>
        <v>3</v>
      </c>
      <c r="E940">
        <f t="shared" si="268"/>
        <v>3</v>
      </c>
      <c r="F940" s="100">
        <f t="shared" ca="1" si="269"/>
        <v>0</v>
      </c>
      <c r="G940">
        <v>1</v>
      </c>
      <c r="H940">
        <v>1</v>
      </c>
      <c r="I940">
        <v>2</v>
      </c>
      <c r="J940" s="1">
        <f t="shared" ca="1" si="270"/>
        <v>2.7653521500000021E-2</v>
      </c>
      <c r="K940" s="1">
        <f t="shared" ca="1" si="271"/>
        <v>0</v>
      </c>
      <c r="L940" s="13">
        <f t="shared" ca="1" si="272"/>
        <v>156</v>
      </c>
      <c r="M940" s="7">
        <f t="shared" ca="1" si="273"/>
        <v>844</v>
      </c>
      <c r="N940" s="44">
        <f t="shared" ca="1" si="274"/>
        <v>10</v>
      </c>
      <c r="O940" s="94">
        <f t="shared" ca="1" si="275"/>
        <v>2.5877599795741038</v>
      </c>
      <c r="P940" s="94">
        <f t="shared" ca="1" si="276"/>
        <v>25.877599795741034</v>
      </c>
      <c r="Q940" s="94">
        <f t="shared" ca="1" si="277"/>
        <v>25.877599795741034</v>
      </c>
      <c r="R940" s="94">
        <f t="shared" ca="1" si="278"/>
        <v>2.5877599795741033</v>
      </c>
      <c r="S940" s="94">
        <f t="shared" ca="1" si="279"/>
        <v>2.5877599795741038</v>
      </c>
      <c r="T940" s="4">
        <f t="shared" ca="1" si="280"/>
        <v>0</v>
      </c>
      <c r="U940" s="46">
        <f t="shared" ca="1" si="281"/>
        <v>1420.8868633777442</v>
      </c>
      <c r="V940" s="4">
        <f t="shared" ca="1" si="282"/>
        <v>0</v>
      </c>
      <c r="W940" s="13">
        <f t="shared" ca="1" si="283"/>
        <v>13109.909197897776</v>
      </c>
      <c r="X940" s="4">
        <f t="shared" ca="1" si="284"/>
        <v>0</v>
      </c>
    </row>
    <row r="941" spans="1:24">
      <c r="A941">
        <v>3</v>
      </c>
      <c r="B941">
        <v>0</v>
      </c>
      <c r="C941">
        <f t="shared" si="266"/>
        <v>5</v>
      </c>
      <c r="D941">
        <f t="shared" si="267"/>
        <v>3</v>
      </c>
      <c r="E941">
        <f t="shared" si="268"/>
        <v>3</v>
      </c>
      <c r="F941" s="100">
        <f t="shared" ca="1" si="269"/>
        <v>0</v>
      </c>
      <c r="G941">
        <v>1</v>
      </c>
      <c r="H941">
        <v>1</v>
      </c>
      <c r="I941">
        <v>1</v>
      </c>
      <c r="J941" s="1">
        <f t="shared" ca="1" si="270"/>
        <v>2.7932850000000052E-4</v>
      </c>
      <c r="K941" s="1">
        <f t="shared" ca="1" si="271"/>
        <v>0</v>
      </c>
      <c r="L941" s="13">
        <f t="shared" ca="1" si="272"/>
        <v>143</v>
      </c>
      <c r="M941" s="7">
        <f t="shared" ca="1" si="273"/>
        <v>857</v>
      </c>
      <c r="N941" s="44">
        <f t="shared" ca="1" si="274"/>
        <v>10</v>
      </c>
      <c r="O941" s="94">
        <f t="shared" ca="1" si="275"/>
        <v>2.5877599795741038</v>
      </c>
      <c r="P941" s="94">
        <f t="shared" ca="1" si="276"/>
        <v>25.877599795741034</v>
      </c>
      <c r="Q941" s="94">
        <f t="shared" ca="1" si="277"/>
        <v>25.877599795741034</v>
      </c>
      <c r="R941" s="94">
        <f t="shared" ca="1" si="278"/>
        <v>2.5877599795741033</v>
      </c>
      <c r="S941" s="94">
        <f t="shared" ca="1" si="279"/>
        <v>2.5877599795741038</v>
      </c>
      <c r="T941" s="4">
        <f t="shared" ca="1" si="280"/>
        <v>0</v>
      </c>
      <c r="U941" s="46">
        <f t="shared" ca="1" si="281"/>
        <v>1407.8868633777442</v>
      </c>
      <c r="V941" s="4">
        <f t="shared" ca="1" si="282"/>
        <v>0</v>
      </c>
      <c r="W941" s="13">
        <f t="shared" ca="1" si="283"/>
        <v>12444.238902425894</v>
      </c>
      <c r="X941" s="4">
        <f t="shared" ca="1" si="284"/>
        <v>0</v>
      </c>
    </row>
    <row r="942" spans="1:24">
      <c r="A942">
        <v>3</v>
      </c>
      <c r="B942">
        <v>0</v>
      </c>
      <c r="C942">
        <f t="shared" si="266"/>
        <v>5</v>
      </c>
      <c r="D942">
        <f t="shared" si="267"/>
        <v>3</v>
      </c>
      <c r="E942">
        <f t="shared" si="268"/>
        <v>3</v>
      </c>
      <c r="F942" s="100">
        <f t="shared" ca="1" si="269"/>
        <v>0</v>
      </c>
      <c r="G942">
        <v>1</v>
      </c>
      <c r="H942">
        <v>1</v>
      </c>
      <c r="I942">
        <v>0</v>
      </c>
      <c r="J942" s="1">
        <f t="shared" ca="1" si="270"/>
        <v>9.4050000000000258E-7</v>
      </c>
      <c r="K942" s="1">
        <f t="shared" ca="1" si="271"/>
        <v>0</v>
      </c>
      <c r="L942" s="13">
        <f t="shared" ca="1" si="272"/>
        <v>130</v>
      </c>
      <c r="M942" s="7">
        <f t="shared" ca="1" si="273"/>
        <v>870</v>
      </c>
      <c r="N942" s="44">
        <f t="shared" ca="1" si="274"/>
        <v>10</v>
      </c>
      <c r="O942" s="94">
        <f t="shared" ca="1" si="275"/>
        <v>2.5877599795741038</v>
      </c>
      <c r="P942" s="94">
        <f t="shared" ca="1" si="276"/>
        <v>25.877599795741034</v>
      </c>
      <c r="Q942" s="94">
        <f t="shared" ca="1" si="277"/>
        <v>25.877599795741034</v>
      </c>
      <c r="R942" s="94">
        <f t="shared" ca="1" si="278"/>
        <v>2.5877599795741033</v>
      </c>
      <c r="S942" s="94">
        <f t="shared" ca="1" si="279"/>
        <v>2.5877599795741038</v>
      </c>
      <c r="T942" s="4">
        <f t="shared" ca="1" si="280"/>
        <v>0</v>
      </c>
      <c r="U942" s="46">
        <f t="shared" ca="1" si="281"/>
        <v>1394.8868633777442</v>
      </c>
      <c r="V942" s="4">
        <f t="shared" ca="1" si="282"/>
        <v>0</v>
      </c>
      <c r="W942" s="13">
        <f t="shared" ca="1" si="283"/>
        <v>11778.56860695401</v>
      </c>
      <c r="X942" s="4">
        <f t="shared" ca="1" si="284"/>
        <v>0</v>
      </c>
    </row>
    <row r="943" spans="1:24">
      <c r="A943">
        <v>3</v>
      </c>
      <c r="B943">
        <v>0</v>
      </c>
      <c r="C943">
        <f t="shared" si="266"/>
        <v>5</v>
      </c>
      <c r="D943">
        <f t="shared" si="267"/>
        <v>3</v>
      </c>
      <c r="E943">
        <f t="shared" si="268"/>
        <v>3</v>
      </c>
      <c r="F943" s="100">
        <f t="shared" ca="1" si="269"/>
        <v>0</v>
      </c>
      <c r="G943">
        <v>1</v>
      </c>
      <c r="H943">
        <v>0</v>
      </c>
      <c r="I943">
        <v>7</v>
      </c>
      <c r="J943" s="1">
        <f t="shared" ca="1" si="270"/>
        <v>0</v>
      </c>
      <c r="K943" s="1">
        <f t="shared" ca="1" si="271"/>
        <v>0</v>
      </c>
      <c r="L943" s="13">
        <f t="shared" ca="1" si="272"/>
        <v>156</v>
      </c>
      <c r="M943" s="7">
        <f t="shared" ca="1" si="273"/>
        <v>844</v>
      </c>
      <c r="N943" s="44">
        <f t="shared" ca="1" si="274"/>
        <v>10</v>
      </c>
      <c r="O943" s="94">
        <f t="shared" ca="1" si="275"/>
        <v>2.5877599795741038</v>
      </c>
      <c r="P943" s="94">
        <f t="shared" ca="1" si="276"/>
        <v>25.877599795741034</v>
      </c>
      <c r="Q943" s="94">
        <f t="shared" ca="1" si="277"/>
        <v>25.877599795741034</v>
      </c>
      <c r="R943" s="94">
        <f t="shared" ca="1" si="278"/>
        <v>2.5877599795741033</v>
      </c>
      <c r="S943" s="94">
        <f t="shared" ca="1" si="279"/>
        <v>2.5877599795741038</v>
      </c>
      <c r="T943" s="4">
        <f t="shared" ca="1" si="280"/>
        <v>0</v>
      </c>
      <c r="U943" s="46">
        <f t="shared" ca="1" si="281"/>
        <v>1420.8868633777442</v>
      </c>
      <c r="V943" s="4">
        <f t="shared" ca="1" si="282"/>
        <v>0</v>
      </c>
      <c r="W943" s="13">
        <f t="shared" ca="1" si="283"/>
        <v>15972.716608816479</v>
      </c>
      <c r="X943" s="4">
        <f t="shared" ca="1" si="284"/>
        <v>0</v>
      </c>
    </row>
    <row r="944" spans="1:24">
      <c r="A944">
        <v>3</v>
      </c>
      <c r="B944">
        <v>0</v>
      </c>
      <c r="C944">
        <f t="shared" si="266"/>
        <v>5</v>
      </c>
      <c r="D944">
        <f t="shared" si="267"/>
        <v>3</v>
      </c>
      <c r="E944">
        <f t="shared" si="268"/>
        <v>3</v>
      </c>
      <c r="F944" s="100">
        <f t="shared" ca="1" si="269"/>
        <v>0</v>
      </c>
      <c r="G944">
        <v>1</v>
      </c>
      <c r="H944">
        <v>0</v>
      </c>
      <c r="I944">
        <v>6</v>
      </c>
      <c r="J944" s="1">
        <f t="shared" ca="1" si="270"/>
        <v>0</v>
      </c>
      <c r="K944" s="1">
        <f t="shared" ca="1" si="271"/>
        <v>0</v>
      </c>
      <c r="L944" s="13">
        <f t="shared" ca="1" si="272"/>
        <v>143</v>
      </c>
      <c r="M944" s="7">
        <f t="shared" ca="1" si="273"/>
        <v>857</v>
      </c>
      <c r="N944" s="44">
        <f t="shared" ca="1" si="274"/>
        <v>10</v>
      </c>
      <c r="O944" s="94">
        <f t="shared" ca="1" si="275"/>
        <v>2.5877599795741038</v>
      </c>
      <c r="P944" s="94">
        <f t="shared" ca="1" si="276"/>
        <v>25.877599795741034</v>
      </c>
      <c r="Q944" s="94">
        <f t="shared" ca="1" si="277"/>
        <v>25.877599795741034</v>
      </c>
      <c r="R944" s="94">
        <f t="shared" ca="1" si="278"/>
        <v>2.5877599795741033</v>
      </c>
      <c r="S944" s="94">
        <f t="shared" ca="1" si="279"/>
        <v>2.5877599795741038</v>
      </c>
      <c r="T944" s="4">
        <f t="shared" ca="1" si="280"/>
        <v>0</v>
      </c>
      <c r="U944" s="46">
        <f t="shared" ca="1" si="281"/>
        <v>1407.8868633777442</v>
      </c>
      <c r="V944" s="4">
        <f t="shared" ca="1" si="282"/>
        <v>0</v>
      </c>
      <c r="W944" s="13">
        <f t="shared" ca="1" si="283"/>
        <v>15307.046313344596</v>
      </c>
      <c r="X944" s="4">
        <f t="shared" ca="1" si="284"/>
        <v>0</v>
      </c>
    </row>
    <row r="945" spans="1:24">
      <c r="A945">
        <v>3</v>
      </c>
      <c r="B945">
        <v>0</v>
      </c>
      <c r="C945">
        <f t="shared" si="266"/>
        <v>5</v>
      </c>
      <c r="D945">
        <f t="shared" si="267"/>
        <v>3</v>
      </c>
      <c r="E945">
        <f t="shared" si="268"/>
        <v>3</v>
      </c>
      <c r="F945" s="100">
        <f t="shared" ca="1" si="269"/>
        <v>0</v>
      </c>
      <c r="G945">
        <v>1</v>
      </c>
      <c r="H945">
        <v>0</v>
      </c>
      <c r="I945">
        <v>5</v>
      </c>
      <c r="J945" s="1">
        <f t="shared" ca="1" si="270"/>
        <v>0</v>
      </c>
      <c r="K945" s="1">
        <f t="shared" ca="1" si="271"/>
        <v>0</v>
      </c>
      <c r="L945" s="13">
        <f t="shared" ca="1" si="272"/>
        <v>130</v>
      </c>
      <c r="M945" s="7">
        <f t="shared" ca="1" si="273"/>
        <v>870</v>
      </c>
      <c r="N945" s="44">
        <f t="shared" ca="1" si="274"/>
        <v>10</v>
      </c>
      <c r="O945" s="94">
        <f t="shared" ca="1" si="275"/>
        <v>2.5877599795741038</v>
      </c>
      <c r="P945" s="94">
        <f t="shared" ca="1" si="276"/>
        <v>25.877599795741034</v>
      </c>
      <c r="Q945" s="94">
        <f t="shared" ca="1" si="277"/>
        <v>25.877599795741034</v>
      </c>
      <c r="R945" s="94">
        <f t="shared" ca="1" si="278"/>
        <v>2.5877599795741033</v>
      </c>
      <c r="S945" s="94">
        <f t="shared" ca="1" si="279"/>
        <v>2.5877599795741038</v>
      </c>
      <c r="T945" s="4">
        <f t="shared" ca="1" si="280"/>
        <v>0</v>
      </c>
      <c r="U945" s="46">
        <f t="shared" ca="1" si="281"/>
        <v>1394.8868633777442</v>
      </c>
      <c r="V945" s="4">
        <f t="shared" ca="1" si="282"/>
        <v>0</v>
      </c>
      <c r="W945" s="13">
        <f t="shared" ca="1" si="283"/>
        <v>14641.376017872713</v>
      </c>
      <c r="X945" s="4">
        <f t="shared" ca="1" si="284"/>
        <v>0</v>
      </c>
    </row>
    <row r="946" spans="1:24">
      <c r="A946">
        <v>3</v>
      </c>
      <c r="B946">
        <v>0</v>
      </c>
      <c r="C946">
        <f t="shared" si="266"/>
        <v>5</v>
      </c>
      <c r="D946">
        <f t="shared" si="267"/>
        <v>3</v>
      </c>
      <c r="E946">
        <f t="shared" si="268"/>
        <v>3</v>
      </c>
      <c r="F946" s="100">
        <f t="shared" ca="1" si="269"/>
        <v>0</v>
      </c>
      <c r="G946">
        <v>1</v>
      </c>
      <c r="H946">
        <v>0</v>
      </c>
      <c r="I946">
        <v>4</v>
      </c>
      <c r="J946" s="1">
        <f t="shared" ca="1" si="270"/>
        <v>0</v>
      </c>
      <c r="K946" s="1">
        <f t="shared" ca="1" si="271"/>
        <v>0</v>
      </c>
      <c r="L946" s="13">
        <f t="shared" ca="1" si="272"/>
        <v>117</v>
      </c>
      <c r="M946" s="7">
        <f t="shared" ca="1" si="273"/>
        <v>883</v>
      </c>
      <c r="N946" s="44">
        <f t="shared" ca="1" si="274"/>
        <v>10</v>
      </c>
      <c r="O946" s="94">
        <f t="shared" ca="1" si="275"/>
        <v>2.5877599795741038</v>
      </c>
      <c r="P946" s="94">
        <f t="shared" ca="1" si="276"/>
        <v>25.877599795741034</v>
      </c>
      <c r="Q946" s="94">
        <f t="shared" ca="1" si="277"/>
        <v>25.877599795741034</v>
      </c>
      <c r="R946" s="94">
        <f t="shared" ca="1" si="278"/>
        <v>2.5877599795741033</v>
      </c>
      <c r="S946" s="94">
        <f t="shared" ca="1" si="279"/>
        <v>2.5877599795741038</v>
      </c>
      <c r="T946" s="4">
        <f t="shared" ca="1" si="280"/>
        <v>0</v>
      </c>
      <c r="U946" s="46">
        <f t="shared" ca="1" si="281"/>
        <v>1381.8868633777442</v>
      </c>
      <c r="V946" s="4">
        <f t="shared" ca="1" si="282"/>
        <v>0</v>
      </c>
      <c r="W946" s="13">
        <f t="shared" ca="1" si="283"/>
        <v>13975.705722400829</v>
      </c>
      <c r="X946" s="4">
        <f t="shared" ca="1" si="284"/>
        <v>0</v>
      </c>
    </row>
    <row r="947" spans="1:24">
      <c r="A947">
        <v>3</v>
      </c>
      <c r="B947">
        <v>0</v>
      </c>
      <c r="C947">
        <f t="shared" si="266"/>
        <v>5</v>
      </c>
      <c r="D947">
        <f t="shared" si="267"/>
        <v>3</v>
      </c>
      <c r="E947">
        <f t="shared" si="268"/>
        <v>3</v>
      </c>
      <c r="F947" s="100">
        <f t="shared" ca="1" si="269"/>
        <v>0</v>
      </c>
      <c r="G947">
        <v>1</v>
      </c>
      <c r="H947">
        <v>0</v>
      </c>
      <c r="I947">
        <v>3</v>
      </c>
      <c r="J947" s="1">
        <f t="shared" ca="1" si="270"/>
        <v>9.2178405000000081E-3</v>
      </c>
      <c r="K947" s="1">
        <f t="shared" ca="1" si="271"/>
        <v>0</v>
      </c>
      <c r="L947" s="13">
        <f t="shared" ca="1" si="272"/>
        <v>104</v>
      </c>
      <c r="M947" s="7">
        <f t="shared" ca="1" si="273"/>
        <v>896</v>
      </c>
      <c r="N947" s="44">
        <f t="shared" ca="1" si="274"/>
        <v>11</v>
      </c>
      <c r="O947" s="94">
        <f t="shared" ca="1" si="275"/>
        <v>2.8265749241644089</v>
      </c>
      <c r="P947" s="94">
        <f t="shared" ca="1" si="276"/>
        <v>27.071674518692554</v>
      </c>
      <c r="Q947" s="94">
        <f t="shared" ca="1" si="277"/>
        <v>25.877599795741034</v>
      </c>
      <c r="R947" s="94">
        <f t="shared" ca="1" si="278"/>
        <v>2.6474637157216794</v>
      </c>
      <c r="S947" s="94">
        <f t="shared" ca="1" si="279"/>
        <v>2.8265749241644089</v>
      </c>
      <c r="T947" s="4">
        <f t="shared" ca="1" si="280"/>
        <v>0</v>
      </c>
      <c r="U947" s="46">
        <f t="shared" ca="1" si="281"/>
        <v>1466.7163216869442</v>
      </c>
      <c r="V947" s="4">
        <f t="shared" ca="1" si="282"/>
        <v>0</v>
      </c>
      <c r="W947" s="13">
        <f t="shared" ca="1" si="283"/>
        <v>13310.035426928947</v>
      </c>
      <c r="X947" s="4">
        <f t="shared" ca="1" si="284"/>
        <v>0</v>
      </c>
    </row>
    <row r="948" spans="1:24">
      <c r="A948">
        <v>3</v>
      </c>
      <c r="B948">
        <v>0</v>
      </c>
      <c r="C948">
        <f t="shared" si="266"/>
        <v>5</v>
      </c>
      <c r="D948">
        <f t="shared" si="267"/>
        <v>3</v>
      </c>
      <c r="E948">
        <f t="shared" si="268"/>
        <v>3</v>
      </c>
      <c r="F948" s="100">
        <f t="shared" ca="1" si="269"/>
        <v>0</v>
      </c>
      <c r="G948">
        <v>1</v>
      </c>
      <c r="H948">
        <v>0</v>
      </c>
      <c r="I948">
        <v>2</v>
      </c>
      <c r="J948" s="1">
        <f t="shared" ca="1" si="270"/>
        <v>2.7932850000000046E-4</v>
      </c>
      <c r="K948" s="1">
        <f t="shared" ca="1" si="271"/>
        <v>0</v>
      </c>
      <c r="L948" s="13">
        <f t="shared" ca="1" si="272"/>
        <v>91</v>
      </c>
      <c r="M948" s="7">
        <f t="shared" ca="1" si="273"/>
        <v>909</v>
      </c>
      <c r="N948" s="44">
        <f t="shared" ca="1" si="274"/>
        <v>11</v>
      </c>
      <c r="O948" s="94">
        <f t="shared" ca="1" si="275"/>
        <v>2.8265749241644089</v>
      </c>
      <c r="P948" s="94">
        <f t="shared" ca="1" si="276"/>
        <v>28.265749241644084</v>
      </c>
      <c r="Q948" s="94">
        <f t="shared" ca="1" si="277"/>
        <v>27.788119352463475</v>
      </c>
      <c r="R948" s="94">
        <f t="shared" ca="1" si="278"/>
        <v>2.8026934297053776</v>
      </c>
      <c r="S948" s="94">
        <f t="shared" ca="1" si="279"/>
        <v>2.8265749241644089</v>
      </c>
      <c r="T948" s="4">
        <f t="shared" ca="1" si="280"/>
        <v>0</v>
      </c>
      <c r="U948" s="46">
        <f t="shared" ca="1" si="281"/>
        <v>1453.7163216869442</v>
      </c>
      <c r="V948" s="4">
        <f t="shared" ca="1" si="282"/>
        <v>0</v>
      </c>
      <c r="W948" s="13">
        <f t="shared" ca="1" si="283"/>
        <v>12644.365131457063</v>
      </c>
      <c r="X948" s="4">
        <f t="shared" ca="1" si="284"/>
        <v>0</v>
      </c>
    </row>
    <row r="949" spans="1:24">
      <c r="A949">
        <v>3</v>
      </c>
      <c r="B949">
        <v>0</v>
      </c>
      <c r="C949">
        <f t="shared" si="266"/>
        <v>5</v>
      </c>
      <c r="D949">
        <f t="shared" si="267"/>
        <v>3</v>
      </c>
      <c r="E949">
        <f t="shared" si="268"/>
        <v>3</v>
      </c>
      <c r="F949" s="100">
        <f t="shared" ca="1" si="269"/>
        <v>0</v>
      </c>
      <c r="G949">
        <v>1</v>
      </c>
      <c r="H949">
        <v>0</v>
      </c>
      <c r="I949">
        <v>1</v>
      </c>
      <c r="J949" s="1">
        <f t="shared" ca="1" si="270"/>
        <v>2.8215000000000076E-6</v>
      </c>
      <c r="K949" s="1">
        <f t="shared" ca="1" si="271"/>
        <v>0</v>
      </c>
      <c r="L949" s="13">
        <f t="shared" ca="1" si="272"/>
        <v>78</v>
      </c>
      <c r="M949" s="7">
        <f t="shared" ca="1" si="273"/>
        <v>922</v>
      </c>
      <c r="N949" s="44">
        <f t="shared" ca="1" si="274"/>
        <v>11</v>
      </c>
      <c r="O949" s="94">
        <f t="shared" ca="1" si="275"/>
        <v>2.8265749241644089</v>
      </c>
      <c r="P949" s="94">
        <f t="shared" ca="1" si="276"/>
        <v>28.265749241644084</v>
      </c>
      <c r="Q949" s="94">
        <f t="shared" ca="1" si="277"/>
        <v>28.265749241644084</v>
      </c>
      <c r="R949" s="94">
        <f t="shared" ca="1" si="278"/>
        <v>2.8265749241644085</v>
      </c>
      <c r="S949" s="94">
        <f t="shared" ca="1" si="279"/>
        <v>2.8265749241644089</v>
      </c>
      <c r="T949" s="4">
        <f t="shared" ca="1" si="280"/>
        <v>0</v>
      </c>
      <c r="U949" s="46">
        <f t="shared" ca="1" si="281"/>
        <v>1440.7163216869442</v>
      </c>
      <c r="V949" s="4">
        <f t="shared" ca="1" si="282"/>
        <v>0</v>
      </c>
      <c r="W949" s="13">
        <f t="shared" ca="1" si="283"/>
        <v>11978.694835985181</v>
      </c>
      <c r="X949" s="4">
        <f t="shared" ca="1" si="284"/>
        <v>0</v>
      </c>
    </row>
    <row r="950" spans="1:24">
      <c r="A950">
        <v>3</v>
      </c>
      <c r="B950">
        <v>0</v>
      </c>
      <c r="C950">
        <f t="shared" si="266"/>
        <v>5</v>
      </c>
      <c r="D950">
        <f t="shared" si="267"/>
        <v>3</v>
      </c>
      <c r="E950">
        <f t="shared" si="268"/>
        <v>3</v>
      </c>
      <c r="F950" s="100">
        <f t="shared" ca="1" si="269"/>
        <v>0</v>
      </c>
      <c r="G950">
        <v>1</v>
      </c>
      <c r="H950">
        <v>0</v>
      </c>
      <c r="I950">
        <v>0</v>
      </c>
      <c r="J950" s="1">
        <f t="shared" ca="1" si="270"/>
        <v>9.5000000000000338E-9</v>
      </c>
      <c r="K950" s="1">
        <f t="shared" ca="1" si="271"/>
        <v>0</v>
      </c>
      <c r="L950" s="13">
        <f t="shared" ca="1" si="272"/>
        <v>65</v>
      </c>
      <c r="M950" s="7">
        <f t="shared" ca="1" si="273"/>
        <v>935</v>
      </c>
      <c r="N950" s="44">
        <f t="shared" ca="1" si="274"/>
        <v>11</v>
      </c>
      <c r="O950" s="94">
        <f t="shared" ca="1" si="275"/>
        <v>2.8265749241644089</v>
      </c>
      <c r="P950" s="94">
        <f t="shared" ca="1" si="276"/>
        <v>28.265749241644084</v>
      </c>
      <c r="Q950" s="94">
        <f t="shared" ca="1" si="277"/>
        <v>28.265749241644084</v>
      </c>
      <c r="R950" s="94">
        <f t="shared" ca="1" si="278"/>
        <v>2.8265749241644085</v>
      </c>
      <c r="S950" s="94">
        <f t="shared" ca="1" si="279"/>
        <v>2.8265749241644089</v>
      </c>
      <c r="T950" s="4">
        <f t="shared" ca="1" si="280"/>
        <v>0</v>
      </c>
      <c r="U950" s="46">
        <f t="shared" ca="1" si="281"/>
        <v>1427.7163216869442</v>
      </c>
      <c r="V950" s="4">
        <f t="shared" ca="1" si="282"/>
        <v>0</v>
      </c>
      <c r="W950" s="13">
        <f t="shared" ca="1" si="283"/>
        <v>11313.024540513297</v>
      </c>
      <c r="X950" s="4">
        <f t="shared" ca="1" si="284"/>
        <v>0</v>
      </c>
    </row>
    <row r="951" spans="1:24">
      <c r="A951">
        <v>3</v>
      </c>
      <c r="B951">
        <v>0</v>
      </c>
      <c r="C951">
        <f t="shared" si="266"/>
        <v>5</v>
      </c>
      <c r="D951">
        <f t="shared" si="267"/>
        <v>3</v>
      </c>
      <c r="E951">
        <f t="shared" si="268"/>
        <v>3</v>
      </c>
      <c r="F951" s="100">
        <f t="shared" ca="1" si="269"/>
        <v>0</v>
      </c>
      <c r="G951">
        <v>0</v>
      </c>
      <c r="H951">
        <v>1</v>
      </c>
      <c r="I951">
        <v>7</v>
      </c>
      <c r="J951" s="1">
        <f t="shared" ca="1" si="270"/>
        <v>0</v>
      </c>
      <c r="K951" s="1">
        <f t="shared" ca="1" si="271"/>
        <v>0</v>
      </c>
      <c r="L951" s="13">
        <f t="shared" ca="1" si="272"/>
        <v>156</v>
      </c>
      <c r="M951" s="7">
        <f t="shared" ca="1" si="273"/>
        <v>844</v>
      </c>
      <c r="N951" s="44">
        <f t="shared" ca="1" si="274"/>
        <v>10</v>
      </c>
      <c r="O951" s="94">
        <f t="shared" ca="1" si="275"/>
        <v>2.5877599795741038</v>
      </c>
      <c r="P951" s="94">
        <f t="shared" ca="1" si="276"/>
        <v>25.877599795741034</v>
      </c>
      <c r="Q951" s="94">
        <f t="shared" ca="1" si="277"/>
        <v>25.877599795741034</v>
      </c>
      <c r="R951" s="94">
        <f t="shared" ca="1" si="278"/>
        <v>2.5877599795741033</v>
      </c>
      <c r="S951" s="94">
        <f t="shared" ca="1" si="279"/>
        <v>2.5877599795741038</v>
      </c>
      <c r="T951" s="4">
        <f t="shared" ca="1" si="280"/>
        <v>0</v>
      </c>
      <c r="U951" s="46">
        <f t="shared" ca="1" si="281"/>
        <v>1420.8868633777442</v>
      </c>
      <c r="V951" s="4">
        <f t="shared" ca="1" si="282"/>
        <v>0</v>
      </c>
      <c r="W951" s="13">
        <f t="shared" ca="1" si="283"/>
        <v>5125.2361347438955</v>
      </c>
      <c r="X951" s="4">
        <f t="shared" ca="1" si="284"/>
        <v>0</v>
      </c>
    </row>
    <row r="952" spans="1:24">
      <c r="A952">
        <v>3</v>
      </c>
      <c r="B952">
        <v>0</v>
      </c>
      <c r="C952">
        <f t="shared" si="266"/>
        <v>5</v>
      </c>
      <c r="D952">
        <f t="shared" si="267"/>
        <v>3</v>
      </c>
      <c r="E952">
        <f t="shared" si="268"/>
        <v>3</v>
      </c>
      <c r="F952" s="100">
        <f t="shared" ca="1" si="269"/>
        <v>0</v>
      </c>
      <c r="G952">
        <v>0</v>
      </c>
      <c r="H952">
        <v>1</v>
      </c>
      <c r="I952">
        <v>6</v>
      </c>
      <c r="J952" s="1">
        <f t="shared" ca="1" si="270"/>
        <v>0</v>
      </c>
      <c r="K952" s="1">
        <f t="shared" ca="1" si="271"/>
        <v>0</v>
      </c>
      <c r="L952" s="13">
        <f t="shared" ca="1" si="272"/>
        <v>143</v>
      </c>
      <c r="M952" s="7">
        <f t="shared" ca="1" si="273"/>
        <v>857</v>
      </c>
      <c r="N952" s="44">
        <f t="shared" ca="1" si="274"/>
        <v>10</v>
      </c>
      <c r="O952" s="94">
        <f t="shared" ca="1" si="275"/>
        <v>2.5877599795741038</v>
      </c>
      <c r="P952" s="94">
        <f t="shared" ca="1" si="276"/>
        <v>25.877599795741034</v>
      </c>
      <c r="Q952" s="94">
        <f t="shared" ca="1" si="277"/>
        <v>25.877599795741034</v>
      </c>
      <c r="R952" s="94">
        <f t="shared" ca="1" si="278"/>
        <v>2.5877599795741033</v>
      </c>
      <c r="S952" s="94">
        <f t="shared" ca="1" si="279"/>
        <v>2.5877599795741038</v>
      </c>
      <c r="T952" s="4">
        <f t="shared" ca="1" si="280"/>
        <v>0</v>
      </c>
      <c r="U952" s="46">
        <f t="shared" ca="1" si="281"/>
        <v>1407.8868633777442</v>
      </c>
      <c r="V952" s="4">
        <f t="shared" ca="1" si="282"/>
        <v>0</v>
      </c>
      <c r="W952" s="13">
        <f t="shared" ca="1" si="283"/>
        <v>4459.5658392720125</v>
      </c>
      <c r="X952" s="4">
        <f t="shared" ca="1" si="284"/>
        <v>0</v>
      </c>
    </row>
    <row r="953" spans="1:24">
      <c r="A953">
        <v>3</v>
      </c>
      <c r="B953">
        <v>0</v>
      </c>
      <c r="C953">
        <f t="shared" si="266"/>
        <v>5</v>
      </c>
      <c r="D953">
        <f t="shared" si="267"/>
        <v>3</v>
      </c>
      <c r="E953">
        <f t="shared" si="268"/>
        <v>3</v>
      </c>
      <c r="F953" s="100">
        <f t="shared" ca="1" si="269"/>
        <v>0</v>
      </c>
      <c r="G953">
        <v>0</v>
      </c>
      <c r="H953">
        <v>1</v>
      </c>
      <c r="I953">
        <v>5</v>
      </c>
      <c r="J953" s="1">
        <f t="shared" ca="1" si="270"/>
        <v>0</v>
      </c>
      <c r="K953" s="1">
        <f t="shared" ca="1" si="271"/>
        <v>0</v>
      </c>
      <c r="L953" s="13">
        <f t="shared" ca="1" si="272"/>
        <v>130</v>
      </c>
      <c r="M953" s="7">
        <f t="shared" ca="1" si="273"/>
        <v>870</v>
      </c>
      <c r="N953" s="44">
        <f t="shared" ca="1" si="274"/>
        <v>10</v>
      </c>
      <c r="O953" s="94">
        <f t="shared" ca="1" si="275"/>
        <v>2.5877599795741038</v>
      </c>
      <c r="P953" s="94">
        <f t="shared" ca="1" si="276"/>
        <v>25.877599795741034</v>
      </c>
      <c r="Q953" s="94">
        <f t="shared" ca="1" si="277"/>
        <v>25.877599795741034</v>
      </c>
      <c r="R953" s="94">
        <f t="shared" ca="1" si="278"/>
        <v>2.5877599795741033</v>
      </c>
      <c r="S953" s="94">
        <f t="shared" ca="1" si="279"/>
        <v>2.5877599795741038</v>
      </c>
      <c r="T953" s="4">
        <f t="shared" ca="1" si="280"/>
        <v>0</v>
      </c>
      <c r="U953" s="46">
        <f t="shared" ca="1" si="281"/>
        <v>1394.8868633777442</v>
      </c>
      <c r="V953" s="4">
        <f t="shared" ca="1" si="282"/>
        <v>0</v>
      </c>
      <c r="W953" s="13">
        <f t="shared" ca="1" si="283"/>
        <v>3793.895543800129</v>
      </c>
      <c r="X953" s="4">
        <f t="shared" ca="1" si="284"/>
        <v>0</v>
      </c>
    </row>
    <row r="954" spans="1:24">
      <c r="A954">
        <v>3</v>
      </c>
      <c r="B954">
        <v>0</v>
      </c>
      <c r="C954">
        <f t="shared" si="266"/>
        <v>5</v>
      </c>
      <c r="D954">
        <f t="shared" si="267"/>
        <v>3</v>
      </c>
      <c r="E954">
        <f t="shared" si="268"/>
        <v>3</v>
      </c>
      <c r="F954" s="100">
        <f t="shared" ca="1" si="269"/>
        <v>0</v>
      </c>
      <c r="G954">
        <v>0</v>
      </c>
      <c r="H954">
        <v>1</v>
      </c>
      <c r="I954">
        <v>4</v>
      </c>
      <c r="J954" s="1">
        <f t="shared" ca="1" si="270"/>
        <v>0</v>
      </c>
      <c r="K954" s="1">
        <f t="shared" ca="1" si="271"/>
        <v>0</v>
      </c>
      <c r="L954" s="13">
        <f t="shared" ca="1" si="272"/>
        <v>117</v>
      </c>
      <c r="M954" s="7">
        <f t="shared" ca="1" si="273"/>
        <v>883</v>
      </c>
      <c r="N954" s="44">
        <f t="shared" ca="1" si="274"/>
        <v>10</v>
      </c>
      <c r="O954" s="94">
        <f t="shared" ca="1" si="275"/>
        <v>2.5877599795741038</v>
      </c>
      <c r="P954" s="94">
        <f t="shared" ca="1" si="276"/>
        <v>25.877599795741034</v>
      </c>
      <c r="Q954" s="94">
        <f t="shared" ca="1" si="277"/>
        <v>25.877599795741034</v>
      </c>
      <c r="R954" s="94">
        <f t="shared" ca="1" si="278"/>
        <v>2.5877599795741033</v>
      </c>
      <c r="S954" s="94">
        <f t="shared" ca="1" si="279"/>
        <v>2.5877599795741038</v>
      </c>
      <c r="T954" s="4">
        <f t="shared" ca="1" si="280"/>
        <v>0</v>
      </c>
      <c r="U954" s="46">
        <f t="shared" ca="1" si="281"/>
        <v>1381.8868633777442</v>
      </c>
      <c r="V954" s="4">
        <f t="shared" ca="1" si="282"/>
        <v>0</v>
      </c>
      <c r="W954" s="13">
        <f t="shared" ca="1" si="283"/>
        <v>3128.2252483282455</v>
      </c>
      <c r="X954" s="4">
        <f t="shared" ca="1" si="284"/>
        <v>0</v>
      </c>
    </row>
    <row r="955" spans="1:24">
      <c r="A955">
        <v>3</v>
      </c>
      <c r="B955">
        <v>0</v>
      </c>
      <c r="C955">
        <f t="shared" si="266"/>
        <v>5</v>
      </c>
      <c r="D955">
        <f t="shared" si="267"/>
        <v>3</v>
      </c>
      <c r="E955">
        <f t="shared" si="268"/>
        <v>3</v>
      </c>
      <c r="F955" s="100">
        <f t="shared" ca="1" si="269"/>
        <v>0</v>
      </c>
      <c r="G955">
        <v>0</v>
      </c>
      <c r="H955">
        <v>1</v>
      </c>
      <c r="I955">
        <v>3</v>
      </c>
      <c r="J955" s="1">
        <f t="shared" ca="1" si="270"/>
        <v>4.8029800499999997E-2</v>
      </c>
      <c r="K955" s="1">
        <f t="shared" ca="1" si="271"/>
        <v>0</v>
      </c>
      <c r="L955" s="13">
        <f t="shared" ca="1" si="272"/>
        <v>104</v>
      </c>
      <c r="M955" s="7">
        <f t="shared" ca="1" si="273"/>
        <v>896</v>
      </c>
      <c r="N955" s="44">
        <f t="shared" ca="1" si="274"/>
        <v>11</v>
      </c>
      <c r="O955" s="94">
        <f t="shared" ca="1" si="275"/>
        <v>2.8265749241644089</v>
      </c>
      <c r="P955" s="94">
        <f t="shared" ca="1" si="276"/>
        <v>27.071674518692554</v>
      </c>
      <c r="Q955" s="94">
        <f t="shared" ca="1" si="277"/>
        <v>25.877599795741034</v>
      </c>
      <c r="R955" s="94">
        <f t="shared" ca="1" si="278"/>
        <v>2.6474637157216794</v>
      </c>
      <c r="S955" s="94">
        <f t="shared" ca="1" si="279"/>
        <v>2.8265749241644089</v>
      </c>
      <c r="T955" s="4">
        <f t="shared" ca="1" si="280"/>
        <v>0</v>
      </c>
      <c r="U955" s="46">
        <f t="shared" ca="1" si="281"/>
        <v>1466.7163216869442</v>
      </c>
      <c r="V955" s="4">
        <f t="shared" ca="1" si="282"/>
        <v>0</v>
      </c>
      <c r="W955" s="13">
        <f t="shared" ca="1" si="283"/>
        <v>2462.5549528563624</v>
      </c>
      <c r="X955" s="4">
        <f t="shared" ca="1" si="284"/>
        <v>0</v>
      </c>
    </row>
    <row r="956" spans="1:24">
      <c r="A956">
        <v>3</v>
      </c>
      <c r="B956">
        <v>0</v>
      </c>
      <c r="C956">
        <f t="shared" si="266"/>
        <v>5</v>
      </c>
      <c r="D956">
        <f t="shared" si="267"/>
        <v>3</v>
      </c>
      <c r="E956">
        <f t="shared" si="268"/>
        <v>3</v>
      </c>
      <c r="F956" s="100">
        <f t="shared" ca="1" si="269"/>
        <v>0</v>
      </c>
      <c r="G956">
        <v>0</v>
      </c>
      <c r="H956">
        <v>1</v>
      </c>
      <c r="I956">
        <v>2</v>
      </c>
      <c r="J956" s="1">
        <f t="shared" ca="1" si="270"/>
        <v>1.4554485000000013E-3</v>
      </c>
      <c r="K956" s="1">
        <f t="shared" ca="1" si="271"/>
        <v>0</v>
      </c>
      <c r="L956" s="13">
        <f t="shared" ca="1" si="272"/>
        <v>91</v>
      </c>
      <c r="M956" s="7">
        <f t="shared" ca="1" si="273"/>
        <v>909</v>
      </c>
      <c r="N956" s="44">
        <f t="shared" ca="1" si="274"/>
        <v>11</v>
      </c>
      <c r="O956" s="94">
        <f t="shared" ca="1" si="275"/>
        <v>2.8265749241644089</v>
      </c>
      <c r="P956" s="94">
        <f t="shared" ca="1" si="276"/>
        <v>28.265749241644084</v>
      </c>
      <c r="Q956" s="94">
        <f t="shared" ca="1" si="277"/>
        <v>27.788119352463475</v>
      </c>
      <c r="R956" s="94">
        <f t="shared" ca="1" si="278"/>
        <v>2.8026934297053776</v>
      </c>
      <c r="S956" s="94">
        <f t="shared" ca="1" si="279"/>
        <v>2.8265749241644089</v>
      </c>
      <c r="T956" s="4">
        <f t="shared" ca="1" si="280"/>
        <v>0</v>
      </c>
      <c r="U956" s="46">
        <f t="shared" ca="1" si="281"/>
        <v>1453.7163216869442</v>
      </c>
      <c r="V956" s="4">
        <f t="shared" ca="1" si="282"/>
        <v>0</v>
      </c>
      <c r="W956" s="13">
        <f t="shared" ca="1" si="283"/>
        <v>1796.8846573844794</v>
      </c>
      <c r="X956" s="4">
        <f t="shared" ca="1" si="284"/>
        <v>0</v>
      </c>
    </row>
    <row r="957" spans="1:24">
      <c r="A957">
        <v>3</v>
      </c>
      <c r="B957">
        <v>0</v>
      </c>
      <c r="C957">
        <f t="shared" si="266"/>
        <v>5</v>
      </c>
      <c r="D957">
        <f t="shared" si="267"/>
        <v>3</v>
      </c>
      <c r="E957">
        <f t="shared" si="268"/>
        <v>3</v>
      </c>
      <c r="F957" s="100">
        <f t="shared" ca="1" si="269"/>
        <v>0</v>
      </c>
      <c r="G957">
        <v>0</v>
      </c>
      <c r="H957">
        <v>1</v>
      </c>
      <c r="I957">
        <v>1</v>
      </c>
      <c r="J957" s="1">
        <f t="shared" ca="1" si="270"/>
        <v>1.4701500000000029E-5</v>
      </c>
      <c r="K957" s="1">
        <f t="shared" ca="1" si="271"/>
        <v>0</v>
      </c>
      <c r="L957" s="13">
        <f t="shared" ca="1" si="272"/>
        <v>78</v>
      </c>
      <c r="M957" s="7">
        <f t="shared" ca="1" si="273"/>
        <v>922</v>
      </c>
      <c r="N957" s="44">
        <f t="shared" ca="1" si="274"/>
        <v>11</v>
      </c>
      <c r="O957" s="94">
        <f t="shared" ca="1" si="275"/>
        <v>2.8265749241644089</v>
      </c>
      <c r="P957" s="94">
        <f t="shared" ca="1" si="276"/>
        <v>28.265749241644084</v>
      </c>
      <c r="Q957" s="94">
        <f t="shared" ca="1" si="277"/>
        <v>28.265749241644084</v>
      </c>
      <c r="R957" s="94">
        <f t="shared" ca="1" si="278"/>
        <v>2.8265749241644085</v>
      </c>
      <c r="S957" s="94">
        <f t="shared" ca="1" si="279"/>
        <v>2.8265749241644089</v>
      </c>
      <c r="T957" s="4">
        <f t="shared" ca="1" si="280"/>
        <v>0</v>
      </c>
      <c r="U957" s="46">
        <f t="shared" ca="1" si="281"/>
        <v>1440.7163216869442</v>
      </c>
      <c r="V957" s="4">
        <f t="shared" ca="1" si="282"/>
        <v>0</v>
      </c>
      <c r="W957" s="13">
        <f t="shared" ca="1" si="283"/>
        <v>1131.2143619125961</v>
      </c>
      <c r="X957" s="4">
        <f t="shared" ca="1" si="284"/>
        <v>0</v>
      </c>
    </row>
    <row r="958" spans="1:24">
      <c r="A958">
        <v>3</v>
      </c>
      <c r="B958">
        <v>0</v>
      </c>
      <c r="C958">
        <f t="shared" si="266"/>
        <v>5</v>
      </c>
      <c r="D958">
        <f t="shared" si="267"/>
        <v>3</v>
      </c>
      <c r="E958">
        <f t="shared" si="268"/>
        <v>3</v>
      </c>
      <c r="F958" s="100">
        <f t="shared" ca="1" si="269"/>
        <v>0</v>
      </c>
      <c r="G958">
        <v>0</v>
      </c>
      <c r="H958">
        <v>1</v>
      </c>
      <c r="I958">
        <v>0</v>
      </c>
      <c r="J958" s="1">
        <f t="shared" ca="1" si="270"/>
        <v>4.9500000000000139E-8</v>
      </c>
      <c r="K958" s="1">
        <f t="shared" ca="1" si="271"/>
        <v>0</v>
      </c>
      <c r="L958" s="13">
        <f t="shared" ca="1" si="272"/>
        <v>65</v>
      </c>
      <c r="M958" s="7">
        <f t="shared" ca="1" si="273"/>
        <v>935</v>
      </c>
      <c r="N958" s="44">
        <f t="shared" ca="1" si="274"/>
        <v>11</v>
      </c>
      <c r="O958" s="94">
        <f t="shared" ca="1" si="275"/>
        <v>2.8265749241644089</v>
      </c>
      <c r="P958" s="94">
        <f t="shared" ca="1" si="276"/>
        <v>28.265749241644084</v>
      </c>
      <c r="Q958" s="94">
        <f t="shared" ca="1" si="277"/>
        <v>28.265749241644084</v>
      </c>
      <c r="R958" s="94">
        <f t="shared" ca="1" si="278"/>
        <v>2.8265749241644085</v>
      </c>
      <c r="S958" s="94">
        <f t="shared" ca="1" si="279"/>
        <v>2.8265749241644089</v>
      </c>
      <c r="T958" s="4">
        <f t="shared" ca="1" si="280"/>
        <v>0</v>
      </c>
      <c r="U958" s="46">
        <f t="shared" ca="1" si="281"/>
        <v>1427.7163216869442</v>
      </c>
      <c r="V958" s="4">
        <f t="shared" ca="1" si="282"/>
        <v>0</v>
      </c>
      <c r="W958" s="13">
        <f t="shared" ca="1" si="283"/>
        <v>465.54406644071304</v>
      </c>
      <c r="X958" s="4">
        <f t="shared" ca="1" si="284"/>
        <v>0</v>
      </c>
    </row>
    <row r="959" spans="1:24">
      <c r="A959">
        <v>3</v>
      </c>
      <c r="B959">
        <v>0</v>
      </c>
      <c r="C959">
        <f t="shared" si="266"/>
        <v>5</v>
      </c>
      <c r="D959">
        <f t="shared" si="267"/>
        <v>3</v>
      </c>
      <c r="E959">
        <f t="shared" si="268"/>
        <v>3</v>
      </c>
      <c r="F959" s="100">
        <f t="shared" ca="1" si="269"/>
        <v>0</v>
      </c>
      <c r="G959">
        <v>0</v>
      </c>
      <c r="H959">
        <v>0</v>
      </c>
      <c r="I959">
        <v>7</v>
      </c>
      <c r="J959" s="1">
        <f t="shared" ca="1" si="270"/>
        <v>0</v>
      </c>
      <c r="K959" s="1">
        <f t="shared" ca="1" si="271"/>
        <v>0</v>
      </c>
      <c r="L959" s="13">
        <f t="shared" ca="1" si="272"/>
        <v>91</v>
      </c>
      <c r="M959" s="7">
        <f t="shared" ca="1" si="273"/>
        <v>909</v>
      </c>
      <c r="N959" s="44">
        <f t="shared" ca="1" si="274"/>
        <v>11</v>
      </c>
      <c r="O959" s="94">
        <f t="shared" ca="1" si="275"/>
        <v>2.8265749241644089</v>
      </c>
      <c r="P959" s="94">
        <f t="shared" ca="1" si="276"/>
        <v>28.265749241644084</v>
      </c>
      <c r="Q959" s="94">
        <f t="shared" ca="1" si="277"/>
        <v>27.788119352463475</v>
      </c>
      <c r="R959" s="94">
        <f t="shared" ca="1" si="278"/>
        <v>2.8026934297053776</v>
      </c>
      <c r="S959" s="94">
        <f t="shared" ca="1" si="279"/>
        <v>2.8265749241644089</v>
      </c>
      <c r="T959" s="4">
        <f t="shared" ca="1" si="280"/>
        <v>0</v>
      </c>
      <c r="U959" s="46">
        <f t="shared" ca="1" si="281"/>
        <v>1453.7163216869442</v>
      </c>
      <c r="V959" s="4">
        <f t="shared" ca="1" si="282"/>
        <v>0</v>
      </c>
      <c r="W959" s="13">
        <f t="shared" ca="1" si="283"/>
        <v>4659.6920683031822</v>
      </c>
      <c r="X959" s="4">
        <f t="shared" ca="1" si="284"/>
        <v>0</v>
      </c>
    </row>
    <row r="960" spans="1:24">
      <c r="A960">
        <v>3</v>
      </c>
      <c r="B960">
        <v>0</v>
      </c>
      <c r="C960">
        <f t="shared" si="266"/>
        <v>5</v>
      </c>
      <c r="D960">
        <f t="shared" si="267"/>
        <v>3</v>
      </c>
      <c r="E960">
        <f t="shared" si="268"/>
        <v>3</v>
      </c>
      <c r="F960" s="100">
        <f t="shared" ca="1" si="269"/>
        <v>0</v>
      </c>
      <c r="G960">
        <v>0</v>
      </c>
      <c r="H960">
        <v>0</v>
      </c>
      <c r="I960">
        <v>6</v>
      </c>
      <c r="J960" s="1">
        <f t="shared" ca="1" si="270"/>
        <v>0</v>
      </c>
      <c r="K960" s="1">
        <f t="shared" ca="1" si="271"/>
        <v>0</v>
      </c>
      <c r="L960" s="13">
        <f t="shared" ca="1" si="272"/>
        <v>78</v>
      </c>
      <c r="M960" s="7">
        <f t="shared" ca="1" si="273"/>
        <v>922</v>
      </c>
      <c r="N960" s="44">
        <f t="shared" ca="1" si="274"/>
        <v>11</v>
      </c>
      <c r="O960" s="94">
        <f t="shared" ca="1" si="275"/>
        <v>2.8265749241644089</v>
      </c>
      <c r="P960" s="94">
        <f t="shared" ca="1" si="276"/>
        <v>28.265749241644084</v>
      </c>
      <c r="Q960" s="94">
        <f t="shared" ca="1" si="277"/>
        <v>28.265749241644084</v>
      </c>
      <c r="R960" s="94">
        <f t="shared" ca="1" si="278"/>
        <v>2.8265749241644085</v>
      </c>
      <c r="S960" s="94">
        <f t="shared" ca="1" si="279"/>
        <v>2.8265749241644089</v>
      </c>
      <c r="T960" s="4">
        <f t="shared" ca="1" si="280"/>
        <v>0</v>
      </c>
      <c r="U960" s="46">
        <f t="shared" ca="1" si="281"/>
        <v>1440.7163216869442</v>
      </c>
      <c r="V960" s="4">
        <f t="shared" ca="1" si="282"/>
        <v>0</v>
      </c>
      <c r="W960" s="13">
        <f t="shared" ca="1" si="283"/>
        <v>3994.0217728312991</v>
      </c>
      <c r="X960" s="4">
        <f t="shared" ca="1" si="284"/>
        <v>0</v>
      </c>
    </row>
    <row r="961" spans="1:24">
      <c r="A961">
        <v>3</v>
      </c>
      <c r="B961">
        <v>0</v>
      </c>
      <c r="C961">
        <f t="shared" si="266"/>
        <v>5</v>
      </c>
      <c r="D961">
        <f t="shared" si="267"/>
        <v>3</v>
      </c>
      <c r="E961">
        <f t="shared" si="268"/>
        <v>3</v>
      </c>
      <c r="F961" s="100">
        <f t="shared" ca="1" si="269"/>
        <v>0</v>
      </c>
      <c r="G961">
        <v>0</v>
      </c>
      <c r="H961">
        <v>0</v>
      </c>
      <c r="I961">
        <v>5</v>
      </c>
      <c r="J961" s="1">
        <f t="shared" ca="1" si="270"/>
        <v>0</v>
      </c>
      <c r="K961" s="1">
        <f t="shared" ca="1" si="271"/>
        <v>0</v>
      </c>
      <c r="L961" s="13">
        <f t="shared" ca="1" si="272"/>
        <v>65</v>
      </c>
      <c r="M961" s="7">
        <f t="shared" ca="1" si="273"/>
        <v>935</v>
      </c>
      <c r="N961" s="44">
        <f t="shared" ca="1" si="274"/>
        <v>11</v>
      </c>
      <c r="O961" s="94">
        <f t="shared" ca="1" si="275"/>
        <v>2.8265749241644089</v>
      </c>
      <c r="P961" s="94">
        <f t="shared" ca="1" si="276"/>
        <v>28.265749241644084</v>
      </c>
      <c r="Q961" s="94">
        <f t="shared" ca="1" si="277"/>
        <v>28.265749241644084</v>
      </c>
      <c r="R961" s="94">
        <f t="shared" ca="1" si="278"/>
        <v>2.8265749241644085</v>
      </c>
      <c r="S961" s="94">
        <f t="shared" ca="1" si="279"/>
        <v>2.8265749241644089</v>
      </c>
      <c r="T961" s="4">
        <f t="shared" ca="1" si="280"/>
        <v>0</v>
      </c>
      <c r="U961" s="46">
        <f t="shared" ca="1" si="281"/>
        <v>1427.7163216869442</v>
      </c>
      <c r="V961" s="4">
        <f t="shared" ca="1" si="282"/>
        <v>0</v>
      </c>
      <c r="W961" s="13">
        <f t="shared" ca="1" si="283"/>
        <v>3328.3514773594161</v>
      </c>
      <c r="X961" s="4">
        <f t="shared" ca="1" si="284"/>
        <v>0</v>
      </c>
    </row>
    <row r="962" spans="1:24">
      <c r="A962">
        <v>3</v>
      </c>
      <c r="B962">
        <v>0</v>
      </c>
      <c r="C962">
        <f t="shared" si="266"/>
        <v>5</v>
      </c>
      <c r="D962">
        <f t="shared" si="267"/>
        <v>3</v>
      </c>
      <c r="E962">
        <f t="shared" si="268"/>
        <v>3</v>
      </c>
      <c r="F962" s="100">
        <f t="shared" ca="1" si="269"/>
        <v>0</v>
      </c>
      <c r="G962">
        <v>0</v>
      </c>
      <c r="H962">
        <v>0</v>
      </c>
      <c r="I962">
        <v>4</v>
      </c>
      <c r="J962" s="1">
        <f t="shared" ca="1" si="270"/>
        <v>0</v>
      </c>
      <c r="K962" s="1">
        <f t="shared" ca="1" si="271"/>
        <v>0</v>
      </c>
      <c r="L962" s="13">
        <f t="shared" ca="1" si="272"/>
        <v>52</v>
      </c>
      <c r="M962" s="7">
        <f t="shared" ca="1" si="273"/>
        <v>948</v>
      </c>
      <c r="N962" s="44">
        <f t="shared" ca="1" si="274"/>
        <v>11</v>
      </c>
      <c r="O962" s="94">
        <f t="shared" ca="1" si="275"/>
        <v>2.8265749241644089</v>
      </c>
      <c r="P962" s="94">
        <f t="shared" ca="1" si="276"/>
        <v>28.265749241644084</v>
      </c>
      <c r="Q962" s="94">
        <f t="shared" ca="1" si="277"/>
        <v>28.265749241644084</v>
      </c>
      <c r="R962" s="94">
        <f t="shared" ca="1" si="278"/>
        <v>2.8265749241644085</v>
      </c>
      <c r="S962" s="94">
        <f t="shared" ca="1" si="279"/>
        <v>2.8265749241644089</v>
      </c>
      <c r="T962" s="4">
        <f t="shared" ca="1" si="280"/>
        <v>0</v>
      </c>
      <c r="U962" s="46">
        <f t="shared" ca="1" si="281"/>
        <v>1414.7163216869442</v>
      </c>
      <c r="V962" s="4">
        <f t="shared" ca="1" si="282"/>
        <v>0</v>
      </c>
      <c r="W962" s="13">
        <f t="shared" ca="1" si="283"/>
        <v>2662.6811818875326</v>
      </c>
      <c r="X962" s="4">
        <f t="shared" ca="1" si="284"/>
        <v>0</v>
      </c>
    </row>
    <row r="963" spans="1:24">
      <c r="A963">
        <v>3</v>
      </c>
      <c r="B963">
        <v>0</v>
      </c>
      <c r="C963">
        <f t="shared" si="266"/>
        <v>5</v>
      </c>
      <c r="D963">
        <f t="shared" si="267"/>
        <v>3</v>
      </c>
      <c r="E963">
        <f t="shared" si="268"/>
        <v>3</v>
      </c>
      <c r="F963" s="100">
        <f t="shared" ca="1" si="269"/>
        <v>0</v>
      </c>
      <c r="G963">
        <v>0</v>
      </c>
      <c r="H963">
        <v>0</v>
      </c>
      <c r="I963">
        <v>3</v>
      </c>
      <c r="J963" s="1">
        <f t="shared" ca="1" si="270"/>
        <v>4.8514950000000037E-4</v>
      </c>
      <c r="K963" s="1">
        <f t="shared" ca="1" si="271"/>
        <v>0</v>
      </c>
      <c r="L963" s="13">
        <f t="shared" ca="1" si="272"/>
        <v>39</v>
      </c>
      <c r="M963" s="7">
        <f t="shared" ca="1" si="273"/>
        <v>961</v>
      </c>
      <c r="N963" s="44">
        <f t="shared" ca="1" si="274"/>
        <v>11</v>
      </c>
      <c r="O963" s="94">
        <f t="shared" ca="1" si="275"/>
        <v>2.8265749241644089</v>
      </c>
      <c r="P963" s="94">
        <f t="shared" ca="1" si="276"/>
        <v>28.265749241644084</v>
      </c>
      <c r="Q963" s="94">
        <f t="shared" ca="1" si="277"/>
        <v>28.265749241644084</v>
      </c>
      <c r="R963" s="94">
        <f t="shared" ca="1" si="278"/>
        <v>2.8265749241644085</v>
      </c>
      <c r="S963" s="94">
        <f t="shared" ca="1" si="279"/>
        <v>2.8265749241644089</v>
      </c>
      <c r="T963" s="4">
        <f t="shared" ca="1" si="280"/>
        <v>0</v>
      </c>
      <c r="U963" s="46">
        <f t="shared" ca="1" si="281"/>
        <v>1401.7163216869442</v>
      </c>
      <c r="V963" s="4">
        <f t="shared" ca="1" si="282"/>
        <v>0</v>
      </c>
      <c r="W963" s="13">
        <f t="shared" ca="1" si="283"/>
        <v>1997.0108864156496</v>
      </c>
      <c r="X963" s="4">
        <f t="shared" ca="1" si="284"/>
        <v>0</v>
      </c>
    </row>
    <row r="964" spans="1:24">
      <c r="A964">
        <v>3</v>
      </c>
      <c r="B964">
        <v>0</v>
      </c>
      <c r="C964">
        <f t="shared" si="266"/>
        <v>5</v>
      </c>
      <c r="D964">
        <f t="shared" si="267"/>
        <v>3</v>
      </c>
      <c r="E964">
        <f t="shared" si="268"/>
        <v>3</v>
      </c>
      <c r="F964" s="100">
        <f t="shared" ca="1" si="269"/>
        <v>0</v>
      </c>
      <c r="G964">
        <v>0</v>
      </c>
      <c r="H964">
        <v>0</v>
      </c>
      <c r="I964">
        <v>2</v>
      </c>
      <c r="J964" s="1">
        <f t="shared" ca="1" si="270"/>
        <v>1.4701500000000025E-5</v>
      </c>
      <c r="K964" s="1">
        <f t="shared" ca="1" si="271"/>
        <v>0</v>
      </c>
      <c r="L964" s="13">
        <f t="shared" ca="1" si="272"/>
        <v>26</v>
      </c>
      <c r="M964" s="7">
        <f t="shared" ca="1" si="273"/>
        <v>974</v>
      </c>
      <c r="N964" s="44">
        <f t="shared" ca="1" si="274"/>
        <v>11</v>
      </c>
      <c r="O964" s="94">
        <f t="shared" ca="1" si="275"/>
        <v>2.8265749241644089</v>
      </c>
      <c r="P964" s="94">
        <f t="shared" ca="1" si="276"/>
        <v>28.265749241644084</v>
      </c>
      <c r="Q964" s="94">
        <f t="shared" ca="1" si="277"/>
        <v>28.265749241644084</v>
      </c>
      <c r="R964" s="94">
        <f t="shared" ca="1" si="278"/>
        <v>2.8265749241644085</v>
      </c>
      <c r="S964" s="94">
        <f t="shared" ca="1" si="279"/>
        <v>2.8265749241644089</v>
      </c>
      <c r="T964" s="4">
        <f t="shared" ca="1" si="280"/>
        <v>0</v>
      </c>
      <c r="U964" s="46">
        <f t="shared" ca="1" si="281"/>
        <v>1388.7163216869442</v>
      </c>
      <c r="V964" s="4">
        <f t="shared" ca="1" si="282"/>
        <v>0</v>
      </c>
      <c r="W964" s="13">
        <f t="shared" ca="1" si="283"/>
        <v>1331.3405909437663</v>
      </c>
      <c r="X964" s="4">
        <f t="shared" ca="1" si="284"/>
        <v>0</v>
      </c>
    </row>
    <row r="965" spans="1:24">
      <c r="A965">
        <v>3</v>
      </c>
      <c r="B965">
        <v>0</v>
      </c>
      <c r="C965">
        <f t="shared" si="266"/>
        <v>5</v>
      </c>
      <c r="D965">
        <f t="shared" si="267"/>
        <v>3</v>
      </c>
      <c r="E965">
        <f t="shared" si="268"/>
        <v>3</v>
      </c>
      <c r="F965" s="100">
        <f t="shared" ca="1" si="269"/>
        <v>0</v>
      </c>
      <c r="G965">
        <v>0</v>
      </c>
      <c r="H965">
        <v>0</v>
      </c>
      <c r="I965">
        <v>1</v>
      </c>
      <c r="J965" s="1">
        <f t="shared" ca="1" si="270"/>
        <v>1.4850000000000041E-7</v>
      </c>
      <c r="K965" s="1">
        <f t="shared" ca="1" si="271"/>
        <v>0</v>
      </c>
      <c r="L965" s="13">
        <f t="shared" ca="1" si="272"/>
        <v>13</v>
      </c>
      <c r="M965" s="7">
        <f t="shared" ca="1" si="273"/>
        <v>987</v>
      </c>
      <c r="N965" s="44">
        <f t="shared" ca="1" si="274"/>
        <v>12</v>
      </c>
      <c r="O965" s="94">
        <f t="shared" ca="1" si="275"/>
        <v>3.049271339469791</v>
      </c>
      <c r="P965" s="94">
        <f t="shared" ca="1" si="276"/>
        <v>29.824624148781758</v>
      </c>
      <c r="Q965" s="94">
        <f t="shared" ca="1" si="277"/>
        <v>28.265749241644084</v>
      </c>
      <c r="R965" s="94">
        <f t="shared" ca="1" si="278"/>
        <v>2.9045186695212921</v>
      </c>
      <c r="S965" s="94">
        <f t="shared" ca="1" si="279"/>
        <v>3.049271339469791</v>
      </c>
      <c r="T965" s="4">
        <f t="shared" ca="1" si="280"/>
        <v>0</v>
      </c>
      <c r="U965" s="46">
        <f t="shared" ca="1" si="281"/>
        <v>1466.9428976204611</v>
      </c>
      <c r="V965" s="4">
        <f t="shared" ca="1" si="282"/>
        <v>0</v>
      </c>
      <c r="W965" s="13">
        <f t="shared" ca="1" si="283"/>
        <v>665.67029547188315</v>
      </c>
      <c r="X965" s="4">
        <f t="shared" ca="1" si="284"/>
        <v>0</v>
      </c>
    </row>
    <row r="966" spans="1:24">
      <c r="A966">
        <v>3</v>
      </c>
      <c r="B966">
        <v>0</v>
      </c>
      <c r="C966">
        <f t="shared" si="266"/>
        <v>5</v>
      </c>
      <c r="D966">
        <f t="shared" si="267"/>
        <v>3</v>
      </c>
      <c r="E966">
        <f t="shared" si="268"/>
        <v>3</v>
      </c>
      <c r="F966" s="100">
        <f t="shared" ca="1" si="269"/>
        <v>0</v>
      </c>
      <c r="G966">
        <v>0</v>
      </c>
      <c r="H966">
        <v>0</v>
      </c>
      <c r="I966">
        <v>0</v>
      </c>
      <c r="J966" s="1">
        <f t="shared" ca="1" si="270"/>
        <v>5.0000000000000179E-10</v>
      </c>
      <c r="K966" s="1">
        <f t="shared" ca="1" si="271"/>
        <v>0</v>
      </c>
      <c r="L966" s="13">
        <f t="shared" ca="1" si="272"/>
        <v>0</v>
      </c>
      <c r="M966" s="7">
        <f t="shared" ca="1" si="273"/>
        <v>1000</v>
      </c>
      <c r="N966" s="44">
        <f t="shared" ca="1" si="274"/>
        <v>12</v>
      </c>
      <c r="O966" s="94">
        <f t="shared" ca="1" si="275"/>
        <v>3.049271339469791</v>
      </c>
      <c r="P966" s="94">
        <f t="shared" ca="1" si="276"/>
        <v>30.492713394697905</v>
      </c>
      <c r="Q966" s="94">
        <f t="shared" ca="1" si="277"/>
        <v>30.492713394697905</v>
      </c>
      <c r="R966" s="94">
        <f t="shared" ca="1" si="278"/>
        <v>3.0492713394697906</v>
      </c>
      <c r="S966" s="94">
        <f t="shared" ca="1" si="279"/>
        <v>3.049271339469791</v>
      </c>
      <c r="T966" s="4">
        <f t="shared" ca="1" si="280"/>
        <v>0</v>
      </c>
      <c r="U966" s="46">
        <f t="shared" ca="1" si="281"/>
        <v>1453.9428976204611</v>
      </c>
      <c r="V966" s="4">
        <f t="shared" ca="1" si="282"/>
        <v>0</v>
      </c>
      <c r="W966" s="13">
        <f t="shared" ca="1" si="283"/>
        <v>0</v>
      </c>
      <c r="X966" s="4">
        <f t="shared" ca="1" si="284"/>
        <v>0</v>
      </c>
    </row>
    <row r="967" spans="1:24">
      <c r="A967">
        <v>3</v>
      </c>
      <c r="B967">
        <v>1</v>
      </c>
      <c r="C967">
        <f t="shared" si="266"/>
        <v>6</v>
      </c>
      <c r="D967">
        <f t="shared" si="267"/>
        <v>4</v>
      </c>
      <c r="E967">
        <f t="shared" si="268"/>
        <v>3</v>
      </c>
      <c r="F967" s="100">
        <f t="shared" ca="1" si="269"/>
        <v>0</v>
      </c>
      <c r="G967">
        <v>1</v>
      </c>
      <c r="H967">
        <v>1</v>
      </c>
      <c r="I967">
        <v>7</v>
      </c>
      <c r="J967" s="1">
        <f t="shared" ca="1" si="270"/>
        <v>0</v>
      </c>
      <c r="K967" s="1">
        <f t="shared" ca="1" si="271"/>
        <v>0</v>
      </c>
      <c r="L967" s="13">
        <f t="shared" ca="1" si="272"/>
        <v>221</v>
      </c>
      <c r="M967" s="7">
        <f t="shared" ca="1" si="273"/>
        <v>779</v>
      </c>
      <c r="N967" s="44">
        <f t="shared" ca="1" si="274"/>
        <v>9</v>
      </c>
      <c r="O967" s="94">
        <f t="shared" ca="1" si="275"/>
        <v>2.3639647217884514</v>
      </c>
      <c r="P967" s="94">
        <f t="shared" ca="1" si="276"/>
        <v>23.639647217884519</v>
      </c>
      <c r="Q967" s="94">
        <f t="shared" ca="1" si="277"/>
        <v>23.639647217884519</v>
      </c>
      <c r="R967" s="94">
        <f t="shared" ca="1" si="278"/>
        <v>2.3639647217884519</v>
      </c>
      <c r="S967" s="94">
        <f t="shared" ca="1" si="279"/>
        <v>2.3639647217884514</v>
      </c>
      <c r="T967" s="4">
        <f t="shared" ca="1" si="280"/>
        <v>0</v>
      </c>
      <c r="U967" s="46">
        <f t="shared" ca="1" si="281"/>
        <v>1394.2101516087316</v>
      </c>
      <c r="V967" s="4">
        <f t="shared" ca="1" si="282"/>
        <v>0</v>
      </c>
      <c r="W967" s="13">
        <f t="shared" ca="1" si="283"/>
        <v>16438.260675257192</v>
      </c>
      <c r="X967" s="4">
        <f t="shared" ca="1" si="284"/>
        <v>0</v>
      </c>
    </row>
    <row r="968" spans="1:24">
      <c r="A968">
        <v>3</v>
      </c>
      <c r="B968">
        <v>1</v>
      </c>
      <c r="C968">
        <f t="shared" si="266"/>
        <v>6</v>
      </c>
      <c r="D968">
        <f t="shared" si="267"/>
        <v>4</v>
      </c>
      <c r="E968">
        <f t="shared" si="268"/>
        <v>3</v>
      </c>
      <c r="F968" s="100">
        <f t="shared" ca="1" si="269"/>
        <v>0</v>
      </c>
      <c r="G968">
        <v>1</v>
      </c>
      <c r="H968">
        <v>1</v>
      </c>
      <c r="I968">
        <v>6</v>
      </c>
      <c r="J968" s="1">
        <f t="shared" ca="1" si="270"/>
        <v>0</v>
      </c>
      <c r="K968" s="1">
        <f t="shared" ca="1" si="271"/>
        <v>0</v>
      </c>
      <c r="L968" s="13">
        <f t="shared" ca="1" si="272"/>
        <v>208</v>
      </c>
      <c r="M968" s="7">
        <f t="shared" ca="1" si="273"/>
        <v>792</v>
      </c>
      <c r="N968" s="44">
        <f t="shared" ca="1" si="274"/>
        <v>9</v>
      </c>
      <c r="O968" s="94">
        <f t="shared" ca="1" si="275"/>
        <v>2.3639647217884514</v>
      </c>
      <c r="P968" s="94">
        <f t="shared" ca="1" si="276"/>
        <v>23.639647217884519</v>
      </c>
      <c r="Q968" s="94">
        <f t="shared" ca="1" si="277"/>
        <v>23.639647217884519</v>
      </c>
      <c r="R968" s="94">
        <f t="shared" ca="1" si="278"/>
        <v>2.3639647217884519</v>
      </c>
      <c r="S968" s="94">
        <f t="shared" ca="1" si="279"/>
        <v>2.3639647217884514</v>
      </c>
      <c r="T968" s="4">
        <f t="shared" ca="1" si="280"/>
        <v>0</v>
      </c>
      <c r="U968" s="46">
        <f t="shared" ca="1" si="281"/>
        <v>1381.2101516087316</v>
      </c>
      <c r="V968" s="4">
        <f t="shared" ca="1" si="282"/>
        <v>0</v>
      </c>
      <c r="W968" s="13">
        <f t="shared" ca="1" si="283"/>
        <v>15772.59037978531</v>
      </c>
      <c r="X968" s="4">
        <f t="shared" ca="1" si="284"/>
        <v>0</v>
      </c>
    </row>
    <row r="969" spans="1:24">
      <c r="A969">
        <v>3</v>
      </c>
      <c r="B969">
        <v>1</v>
      </c>
      <c r="C969">
        <f t="shared" si="266"/>
        <v>6</v>
      </c>
      <c r="D969">
        <f t="shared" si="267"/>
        <v>4</v>
      </c>
      <c r="E969">
        <f t="shared" si="268"/>
        <v>3</v>
      </c>
      <c r="F969" s="100">
        <f t="shared" ca="1" si="269"/>
        <v>0</v>
      </c>
      <c r="G969">
        <v>1</v>
      </c>
      <c r="H969">
        <v>1</v>
      </c>
      <c r="I969">
        <v>5</v>
      </c>
      <c r="J969" s="1">
        <f t="shared" ca="1" si="270"/>
        <v>0</v>
      </c>
      <c r="K969" s="1">
        <f t="shared" ca="1" si="271"/>
        <v>0</v>
      </c>
      <c r="L969" s="13">
        <f t="shared" ca="1" si="272"/>
        <v>195</v>
      </c>
      <c r="M969" s="7">
        <f t="shared" ca="1" si="273"/>
        <v>805</v>
      </c>
      <c r="N969" s="44">
        <f t="shared" ca="1" si="274"/>
        <v>10</v>
      </c>
      <c r="O969" s="94">
        <f t="shared" ca="1" si="275"/>
        <v>2.5877599795741038</v>
      </c>
      <c r="P969" s="94">
        <f t="shared" ca="1" si="276"/>
        <v>24.311032991241476</v>
      </c>
      <c r="Q969" s="94">
        <f t="shared" ca="1" si="277"/>
        <v>23.639647217884519</v>
      </c>
      <c r="R969" s="94">
        <f t="shared" ca="1" si="278"/>
        <v>2.3975340104562997</v>
      </c>
      <c r="S969" s="94">
        <f t="shared" ca="1" si="279"/>
        <v>2.5877599795741038</v>
      </c>
      <c r="T969" s="4">
        <f t="shared" ca="1" si="280"/>
        <v>0</v>
      </c>
      <c r="U969" s="46">
        <f t="shared" ca="1" si="281"/>
        <v>1459.8868633777442</v>
      </c>
      <c r="V969" s="4">
        <f t="shared" ca="1" si="282"/>
        <v>0</v>
      </c>
      <c r="W969" s="13">
        <f t="shared" ca="1" si="283"/>
        <v>15106.920084313426</v>
      </c>
      <c r="X969" s="4">
        <f t="shared" ca="1" si="284"/>
        <v>0</v>
      </c>
    </row>
    <row r="970" spans="1:24">
      <c r="A970">
        <v>3</v>
      </c>
      <c r="B970">
        <v>1</v>
      </c>
      <c r="C970">
        <f t="shared" si="266"/>
        <v>6</v>
      </c>
      <c r="D970">
        <f t="shared" si="267"/>
        <v>4</v>
      </c>
      <c r="E970">
        <f t="shared" si="268"/>
        <v>3</v>
      </c>
      <c r="F970" s="100">
        <f t="shared" ca="1" si="269"/>
        <v>0</v>
      </c>
      <c r="G970">
        <v>1</v>
      </c>
      <c r="H970">
        <v>1</v>
      </c>
      <c r="I970">
        <v>4</v>
      </c>
      <c r="J970" s="1">
        <f t="shared" ca="1" si="270"/>
        <v>0.90344054740499991</v>
      </c>
      <c r="K970" s="1">
        <f t="shared" ca="1" si="271"/>
        <v>0</v>
      </c>
      <c r="L970" s="13">
        <f t="shared" ca="1" si="272"/>
        <v>182</v>
      </c>
      <c r="M970" s="7">
        <f t="shared" ca="1" si="273"/>
        <v>818</v>
      </c>
      <c r="N970" s="44">
        <f t="shared" ca="1" si="274"/>
        <v>10</v>
      </c>
      <c r="O970" s="94">
        <f t="shared" ca="1" si="275"/>
        <v>2.5877599795741038</v>
      </c>
      <c r="P970" s="94">
        <f t="shared" ca="1" si="276"/>
        <v>25.877599795741034</v>
      </c>
      <c r="Q970" s="94">
        <f t="shared" ca="1" si="277"/>
        <v>24.982418764598432</v>
      </c>
      <c r="R970" s="94">
        <f t="shared" ca="1" si="278"/>
        <v>2.5430009280169736</v>
      </c>
      <c r="S970" s="94">
        <f t="shared" ca="1" si="279"/>
        <v>2.5877599795741038</v>
      </c>
      <c r="T970" s="4">
        <f t="shared" ca="1" si="280"/>
        <v>0</v>
      </c>
      <c r="U970" s="46">
        <f t="shared" ca="1" si="281"/>
        <v>1446.8868633777442</v>
      </c>
      <c r="V970" s="4">
        <f t="shared" ca="1" si="282"/>
        <v>0</v>
      </c>
      <c r="W970" s="13">
        <f t="shared" ca="1" si="283"/>
        <v>14441.249788841542</v>
      </c>
      <c r="X970" s="4">
        <f t="shared" ca="1" si="284"/>
        <v>0</v>
      </c>
    </row>
    <row r="971" spans="1:24">
      <c r="A971">
        <v>3</v>
      </c>
      <c r="B971">
        <v>1</v>
      </c>
      <c r="C971">
        <f t="shared" si="266"/>
        <v>6</v>
      </c>
      <c r="D971">
        <f t="shared" si="267"/>
        <v>4</v>
      </c>
      <c r="E971">
        <f t="shared" si="268"/>
        <v>3</v>
      </c>
      <c r="F971" s="100">
        <f t="shared" ca="1" si="269"/>
        <v>0</v>
      </c>
      <c r="G971">
        <v>1</v>
      </c>
      <c r="H971">
        <v>1</v>
      </c>
      <c r="I971">
        <v>3</v>
      </c>
      <c r="J971" s="1">
        <f t="shared" ca="1" si="270"/>
        <v>3.650264838000003E-2</v>
      </c>
      <c r="K971" s="1">
        <f t="shared" ca="1" si="271"/>
        <v>0</v>
      </c>
      <c r="L971" s="13">
        <f t="shared" ca="1" si="272"/>
        <v>169</v>
      </c>
      <c r="M971" s="7">
        <f t="shared" ca="1" si="273"/>
        <v>831</v>
      </c>
      <c r="N971" s="44">
        <f t="shared" ca="1" si="274"/>
        <v>10</v>
      </c>
      <c r="O971" s="94">
        <f t="shared" ca="1" si="275"/>
        <v>2.5877599795741038</v>
      </c>
      <c r="P971" s="94">
        <f t="shared" ca="1" si="276"/>
        <v>25.877599795741034</v>
      </c>
      <c r="Q971" s="94">
        <f t="shared" ca="1" si="277"/>
        <v>25.877599795741034</v>
      </c>
      <c r="R971" s="94">
        <f t="shared" ca="1" si="278"/>
        <v>2.5877599795741033</v>
      </c>
      <c r="S971" s="94">
        <f t="shared" ca="1" si="279"/>
        <v>2.5877599795741038</v>
      </c>
      <c r="T971" s="4">
        <f t="shared" ca="1" si="280"/>
        <v>0</v>
      </c>
      <c r="U971" s="46">
        <f t="shared" ca="1" si="281"/>
        <v>1433.8868633777442</v>
      </c>
      <c r="V971" s="4">
        <f t="shared" ca="1" si="282"/>
        <v>0</v>
      </c>
      <c r="W971" s="13">
        <f t="shared" ca="1" si="283"/>
        <v>13775.57949336966</v>
      </c>
      <c r="X971" s="4">
        <f t="shared" ca="1" si="284"/>
        <v>0</v>
      </c>
    </row>
    <row r="972" spans="1:24">
      <c r="A972">
        <v>3</v>
      </c>
      <c r="B972">
        <v>1</v>
      </c>
      <c r="C972">
        <f t="shared" si="266"/>
        <v>6</v>
      </c>
      <c r="D972">
        <f t="shared" si="267"/>
        <v>4</v>
      </c>
      <c r="E972">
        <f t="shared" si="268"/>
        <v>3</v>
      </c>
      <c r="F972" s="100">
        <f t="shared" ca="1" si="269"/>
        <v>0</v>
      </c>
      <c r="G972">
        <v>1</v>
      </c>
      <c r="H972">
        <v>1</v>
      </c>
      <c r="I972">
        <v>2</v>
      </c>
      <c r="J972" s="1">
        <f t="shared" ca="1" si="270"/>
        <v>5.5307043000000101E-4</v>
      </c>
      <c r="K972" s="1">
        <f t="shared" ca="1" si="271"/>
        <v>0</v>
      </c>
      <c r="L972" s="13">
        <f t="shared" ca="1" si="272"/>
        <v>156</v>
      </c>
      <c r="M972" s="7">
        <f t="shared" ca="1" si="273"/>
        <v>844</v>
      </c>
      <c r="N972" s="44">
        <f t="shared" ca="1" si="274"/>
        <v>10</v>
      </c>
      <c r="O972" s="94">
        <f t="shared" ca="1" si="275"/>
        <v>2.5877599795741038</v>
      </c>
      <c r="P972" s="94">
        <f t="shared" ca="1" si="276"/>
        <v>25.877599795741034</v>
      </c>
      <c r="Q972" s="94">
        <f t="shared" ca="1" si="277"/>
        <v>25.877599795741034</v>
      </c>
      <c r="R972" s="94">
        <f t="shared" ca="1" si="278"/>
        <v>2.5877599795741033</v>
      </c>
      <c r="S972" s="94">
        <f t="shared" ca="1" si="279"/>
        <v>2.5877599795741038</v>
      </c>
      <c r="T972" s="4">
        <f t="shared" ca="1" si="280"/>
        <v>0</v>
      </c>
      <c r="U972" s="46">
        <f t="shared" ca="1" si="281"/>
        <v>1420.8868633777442</v>
      </c>
      <c r="V972" s="4">
        <f t="shared" ca="1" si="282"/>
        <v>0</v>
      </c>
      <c r="W972" s="13">
        <f t="shared" ca="1" si="283"/>
        <v>13109.909197897776</v>
      </c>
      <c r="X972" s="4">
        <f t="shared" ca="1" si="284"/>
        <v>0</v>
      </c>
    </row>
    <row r="973" spans="1:24">
      <c r="A973">
        <v>3</v>
      </c>
      <c r="B973">
        <v>1</v>
      </c>
      <c r="C973">
        <f t="shared" si="266"/>
        <v>6</v>
      </c>
      <c r="D973">
        <f t="shared" si="267"/>
        <v>4</v>
      </c>
      <c r="E973">
        <f t="shared" si="268"/>
        <v>3</v>
      </c>
      <c r="F973" s="100">
        <f t="shared" ca="1" si="269"/>
        <v>0</v>
      </c>
      <c r="G973">
        <v>1</v>
      </c>
      <c r="H973">
        <v>1</v>
      </c>
      <c r="I973">
        <v>1</v>
      </c>
      <c r="J973" s="1">
        <f t="shared" ca="1" si="270"/>
        <v>3.7243800000000099E-6</v>
      </c>
      <c r="K973" s="1">
        <f t="shared" ca="1" si="271"/>
        <v>0</v>
      </c>
      <c r="L973" s="13">
        <f t="shared" ca="1" si="272"/>
        <v>143</v>
      </c>
      <c r="M973" s="7">
        <f t="shared" ca="1" si="273"/>
        <v>857</v>
      </c>
      <c r="N973" s="44">
        <f t="shared" ca="1" si="274"/>
        <v>10</v>
      </c>
      <c r="O973" s="94">
        <f t="shared" ca="1" si="275"/>
        <v>2.5877599795741038</v>
      </c>
      <c r="P973" s="94">
        <f t="shared" ca="1" si="276"/>
        <v>25.877599795741034</v>
      </c>
      <c r="Q973" s="94">
        <f t="shared" ca="1" si="277"/>
        <v>25.877599795741034</v>
      </c>
      <c r="R973" s="94">
        <f t="shared" ca="1" si="278"/>
        <v>2.5877599795741033</v>
      </c>
      <c r="S973" s="94">
        <f t="shared" ca="1" si="279"/>
        <v>2.5877599795741038</v>
      </c>
      <c r="T973" s="4">
        <f t="shared" ca="1" si="280"/>
        <v>0</v>
      </c>
      <c r="U973" s="46">
        <f t="shared" ca="1" si="281"/>
        <v>1407.8868633777442</v>
      </c>
      <c r="V973" s="4">
        <f t="shared" ca="1" si="282"/>
        <v>0</v>
      </c>
      <c r="W973" s="13">
        <f t="shared" ca="1" si="283"/>
        <v>12444.238902425894</v>
      </c>
      <c r="X973" s="4">
        <f t="shared" ca="1" si="284"/>
        <v>0</v>
      </c>
    </row>
    <row r="974" spans="1:24">
      <c r="A974">
        <v>3</v>
      </c>
      <c r="B974">
        <v>1</v>
      </c>
      <c r="C974">
        <f t="shared" si="266"/>
        <v>6</v>
      </c>
      <c r="D974">
        <f t="shared" si="267"/>
        <v>4</v>
      </c>
      <c r="E974">
        <f t="shared" si="268"/>
        <v>3</v>
      </c>
      <c r="F974" s="100">
        <f t="shared" ca="1" si="269"/>
        <v>0</v>
      </c>
      <c r="G974">
        <v>1</v>
      </c>
      <c r="H974">
        <v>1</v>
      </c>
      <c r="I974">
        <v>0</v>
      </c>
      <c r="J974" s="1">
        <f t="shared" ca="1" si="270"/>
        <v>9.4050000000000352E-9</v>
      </c>
      <c r="K974" s="1">
        <f t="shared" ca="1" si="271"/>
        <v>0</v>
      </c>
      <c r="L974" s="13">
        <f t="shared" ca="1" si="272"/>
        <v>130</v>
      </c>
      <c r="M974" s="7">
        <f t="shared" ca="1" si="273"/>
        <v>870</v>
      </c>
      <c r="N974" s="44">
        <f t="shared" ca="1" si="274"/>
        <v>10</v>
      </c>
      <c r="O974" s="94">
        <f t="shared" ca="1" si="275"/>
        <v>2.5877599795741038</v>
      </c>
      <c r="P974" s="94">
        <f t="shared" ca="1" si="276"/>
        <v>25.877599795741034</v>
      </c>
      <c r="Q974" s="94">
        <f t="shared" ca="1" si="277"/>
        <v>25.877599795741034</v>
      </c>
      <c r="R974" s="94">
        <f t="shared" ca="1" si="278"/>
        <v>2.5877599795741033</v>
      </c>
      <c r="S974" s="94">
        <f t="shared" ca="1" si="279"/>
        <v>2.5877599795741038</v>
      </c>
      <c r="T974" s="4">
        <f t="shared" ca="1" si="280"/>
        <v>0</v>
      </c>
      <c r="U974" s="46">
        <f t="shared" ca="1" si="281"/>
        <v>1394.8868633777442</v>
      </c>
      <c r="V974" s="4">
        <f t="shared" ca="1" si="282"/>
        <v>0</v>
      </c>
      <c r="W974" s="13">
        <f t="shared" ca="1" si="283"/>
        <v>11778.56860695401</v>
      </c>
      <c r="X974" s="4">
        <f t="shared" ca="1" si="284"/>
        <v>0</v>
      </c>
    </row>
    <row r="975" spans="1:24">
      <c r="A975">
        <v>3</v>
      </c>
      <c r="B975">
        <v>1</v>
      </c>
      <c r="C975">
        <f t="shared" si="266"/>
        <v>6</v>
      </c>
      <c r="D975">
        <f t="shared" si="267"/>
        <v>4</v>
      </c>
      <c r="E975">
        <f t="shared" si="268"/>
        <v>3</v>
      </c>
      <c r="F975" s="100">
        <f t="shared" ca="1" si="269"/>
        <v>0</v>
      </c>
      <c r="G975">
        <v>1</v>
      </c>
      <c r="H975">
        <v>0</v>
      </c>
      <c r="I975">
        <v>7</v>
      </c>
      <c r="J975" s="1">
        <f t="shared" ca="1" si="270"/>
        <v>0</v>
      </c>
      <c r="K975" s="1">
        <f t="shared" ca="1" si="271"/>
        <v>0</v>
      </c>
      <c r="L975" s="13">
        <f t="shared" ca="1" si="272"/>
        <v>156</v>
      </c>
      <c r="M975" s="7">
        <f t="shared" ca="1" si="273"/>
        <v>844</v>
      </c>
      <c r="N975" s="44">
        <f t="shared" ca="1" si="274"/>
        <v>10</v>
      </c>
      <c r="O975" s="94">
        <f t="shared" ca="1" si="275"/>
        <v>2.5877599795741038</v>
      </c>
      <c r="P975" s="94">
        <f t="shared" ca="1" si="276"/>
        <v>25.877599795741034</v>
      </c>
      <c r="Q975" s="94">
        <f t="shared" ca="1" si="277"/>
        <v>25.877599795741034</v>
      </c>
      <c r="R975" s="94">
        <f t="shared" ca="1" si="278"/>
        <v>2.5877599795741033</v>
      </c>
      <c r="S975" s="94">
        <f t="shared" ca="1" si="279"/>
        <v>2.5877599795741038</v>
      </c>
      <c r="T975" s="4">
        <f t="shared" ca="1" si="280"/>
        <v>0</v>
      </c>
      <c r="U975" s="46">
        <f t="shared" ca="1" si="281"/>
        <v>1420.8868633777442</v>
      </c>
      <c r="V975" s="4">
        <f t="shared" ca="1" si="282"/>
        <v>0</v>
      </c>
      <c r="W975" s="13">
        <f t="shared" ca="1" si="283"/>
        <v>15972.716608816479</v>
      </c>
      <c r="X975" s="4">
        <f t="shared" ca="1" si="284"/>
        <v>0</v>
      </c>
    </row>
    <row r="976" spans="1:24">
      <c r="A976">
        <v>3</v>
      </c>
      <c r="B976">
        <v>1</v>
      </c>
      <c r="C976">
        <f t="shared" si="266"/>
        <v>6</v>
      </c>
      <c r="D976">
        <f t="shared" si="267"/>
        <v>4</v>
      </c>
      <c r="E976">
        <f t="shared" si="268"/>
        <v>3</v>
      </c>
      <c r="F976" s="100">
        <f t="shared" ca="1" si="269"/>
        <v>0</v>
      </c>
      <c r="G976">
        <v>1</v>
      </c>
      <c r="H976">
        <v>0</v>
      </c>
      <c r="I976">
        <v>6</v>
      </c>
      <c r="J976" s="1">
        <f t="shared" ca="1" si="270"/>
        <v>0</v>
      </c>
      <c r="K976" s="1">
        <f t="shared" ca="1" si="271"/>
        <v>0</v>
      </c>
      <c r="L976" s="13">
        <f t="shared" ca="1" si="272"/>
        <v>143</v>
      </c>
      <c r="M976" s="7">
        <f t="shared" ca="1" si="273"/>
        <v>857</v>
      </c>
      <c r="N976" s="44">
        <f t="shared" ca="1" si="274"/>
        <v>10</v>
      </c>
      <c r="O976" s="94">
        <f t="shared" ca="1" si="275"/>
        <v>2.5877599795741038</v>
      </c>
      <c r="P976" s="94">
        <f t="shared" ca="1" si="276"/>
        <v>25.877599795741034</v>
      </c>
      <c r="Q976" s="94">
        <f t="shared" ca="1" si="277"/>
        <v>25.877599795741034</v>
      </c>
      <c r="R976" s="94">
        <f t="shared" ca="1" si="278"/>
        <v>2.5877599795741033</v>
      </c>
      <c r="S976" s="94">
        <f t="shared" ca="1" si="279"/>
        <v>2.5877599795741038</v>
      </c>
      <c r="T976" s="4">
        <f t="shared" ca="1" si="280"/>
        <v>0</v>
      </c>
      <c r="U976" s="46">
        <f t="shared" ca="1" si="281"/>
        <v>1407.8868633777442</v>
      </c>
      <c r="V976" s="4">
        <f t="shared" ca="1" si="282"/>
        <v>0</v>
      </c>
      <c r="W976" s="13">
        <f t="shared" ca="1" si="283"/>
        <v>15307.046313344596</v>
      </c>
      <c r="X976" s="4">
        <f t="shared" ca="1" si="284"/>
        <v>0</v>
      </c>
    </row>
    <row r="977" spans="1:24">
      <c r="A977">
        <v>3</v>
      </c>
      <c r="B977">
        <v>1</v>
      </c>
      <c r="C977">
        <f t="shared" si="266"/>
        <v>6</v>
      </c>
      <c r="D977">
        <f t="shared" si="267"/>
        <v>4</v>
      </c>
      <c r="E977">
        <f t="shared" si="268"/>
        <v>3</v>
      </c>
      <c r="F977" s="100">
        <f t="shared" ca="1" si="269"/>
        <v>0</v>
      </c>
      <c r="G977">
        <v>1</v>
      </c>
      <c r="H977">
        <v>0</v>
      </c>
      <c r="I977">
        <v>5</v>
      </c>
      <c r="J977" s="1">
        <f t="shared" ca="1" si="270"/>
        <v>0</v>
      </c>
      <c r="K977" s="1">
        <f t="shared" ca="1" si="271"/>
        <v>0</v>
      </c>
      <c r="L977" s="13">
        <f t="shared" ca="1" si="272"/>
        <v>130</v>
      </c>
      <c r="M977" s="7">
        <f t="shared" ca="1" si="273"/>
        <v>870</v>
      </c>
      <c r="N977" s="44">
        <f t="shared" ca="1" si="274"/>
        <v>10</v>
      </c>
      <c r="O977" s="94">
        <f t="shared" ca="1" si="275"/>
        <v>2.5877599795741038</v>
      </c>
      <c r="P977" s="94">
        <f t="shared" ca="1" si="276"/>
        <v>25.877599795741034</v>
      </c>
      <c r="Q977" s="94">
        <f t="shared" ca="1" si="277"/>
        <v>25.877599795741034</v>
      </c>
      <c r="R977" s="94">
        <f t="shared" ca="1" si="278"/>
        <v>2.5877599795741033</v>
      </c>
      <c r="S977" s="94">
        <f t="shared" ca="1" si="279"/>
        <v>2.5877599795741038</v>
      </c>
      <c r="T977" s="4">
        <f t="shared" ca="1" si="280"/>
        <v>0</v>
      </c>
      <c r="U977" s="46">
        <f t="shared" ca="1" si="281"/>
        <v>1394.8868633777442</v>
      </c>
      <c r="V977" s="4">
        <f t="shared" ca="1" si="282"/>
        <v>0</v>
      </c>
      <c r="W977" s="13">
        <f t="shared" ca="1" si="283"/>
        <v>14641.376017872713</v>
      </c>
      <c r="X977" s="4">
        <f t="shared" ca="1" si="284"/>
        <v>0</v>
      </c>
    </row>
    <row r="978" spans="1:24">
      <c r="A978">
        <v>3</v>
      </c>
      <c r="B978">
        <v>1</v>
      </c>
      <c r="C978">
        <f t="shared" si="266"/>
        <v>6</v>
      </c>
      <c r="D978">
        <f t="shared" si="267"/>
        <v>4</v>
      </c>
      <c r="E978">
        <f t="shared" si="268"/>
        <v>3</v>
      </c>
      <c r="F978" s="100">
        <f t="shared" ca="1" si="269"/>
        <v>0</v>
      </c>
      <c r="G978">
        <v>1</v>
      </c>
      <c r="H978">
        <v>0</v>
      </c>
      <c r="I978">
        <v>4</v>
      </c>
      <c r="J978" s="1">
        <f t="shared" ca="1" si="270"/>
        <v>9.1256620950000075E-3</v>
      </c>
      <c r="K978" s="1">
        <f t="shared" ca="1" si="271"/>
        <v>0</v>
      </c>
      <c r="L978" s="13">
        <f t="shared" ca="1" si="272"/>
        <v>117</v>
      </c>
      <c r="M978" s="7">
        <f t="shared" ca="1" si="273"/>
        <v>883</v>
      </c>
      <c r="N978" s="44">
        <f t="shared" ca="1" si="274"/>
        <v>10</v>
      </c>
      <c r="O978" s="94">
        <f t="shared" ca="1" si="275"/>
        <v>2.5877599795741038</v>
      </c>
      <c r="P978" s="94">
        <f t="shared" ca="1" si="276"/>
        <v>25.877599795741034</v>
      </c>
      <c r="Q978" s="94">
        <f t="shared" ca="1" si="277"/>
        <v>25.877599795741034</v>
      </c>
      <c r="R978" s="94">
        <f t="shared" ca="1" si="278"/>
        <v>2.5877599795741033</v>
      </c>
      <c r="S978" s="94">
        <f t="shared" ca="1" si="279"/>
        <v>2.5877599795741038</v>
      </c>
      <c r="T978" s="4">
        <f t="shared" ca="1" si="280"/>
        <v>0</v>
      </c>
      <c r="U978" s="46">
        <f t="shared" ca="1" si="281"/>
        <v>1381.8868633777442</v>
      </c>
      <c r="V978" s="4">
        <f t="shared" ca="1" si="282"/>
        <v>0</v>
      </c>
      <c r="W978" s="13">
        <f t="shared" ca="1" si="283"/>
        <v>13975.705722400829</v>
      </c>
      <c r="X978" s="4">
        <f t="shared" ca="1" si="284"/>
        <v>0</v>
      </c>
    </row>
    <row r="979" spans="1:24">
      <c r="A979">
        <v>3</v>
      </c>
      <c r="B979">
        <v>1</v>
      </c>
      <c r="C979">
        <f t="shared" si="266"/>
        <v>6</v>
      </c>
      <c r="D979">
        <f t="shared" si="267"/>
        <v>4</v>
      </c>
      <c r="E979">
        <f t="shared" si="268"/>
        <v>3</v>
      </c>
      <c r="F979" s="100">
        <f t="shared" ca="1" si="269"/>
        <v>0</v>
      </c>
      <c r="G979">
        <v>1</v>
      </c>
      <c r="H979">
        <v>0</v>
      </c>
      <c r="I979">
        <v>3</v>
      </c>
      <c r="J979" s="1">
        <f t="shared" ca="1" si="270"/>
        <v>3.6871362000000067E-4</v>
      </c>
      <c r="K979" s="1">
        <f t="shared" ca="1" si="271"/>
        <v>0</v>
      </c>
      <c r="L979" s="13">
        <f t="shared" ca="1" si="272"/>
        <v>104</v>
      </c>
      <c r="M979" s="7">
        <f t="shared" ca="1" si="273"/>
        <v>896</v>
      </c>
      <c r="N979" s="44">
        <f t="shared" ca="1" si="274"/>
        <v>11</v>
      </c>
      <c r="O979" s="94">
        <f t="shared" ca="1" si="275"/>
        <v>2.8265749241644089</v>
      </c>
      <c r="P979" s="94">
        <f t="shared" ca="1" si="276"/>
        <v>27.071674518692554</v>
      </c>
      <c r="Q979" s="94">
        <f t="shared" ca="1" si="277"/>
        <v>25.877599795741034</v>
      </c>
      <c r="R979" s="94">
        <f t="shared" ca="1" si="278"/>
        <v>2.6474637157216794</v>
      </c>
      <c r="S979" s="94">
        <f t="shared" ca="1" si="279"/>
        <v>2.8265749241644089</v>
      </c>
      <c r="T979" s="4">
        <f t="shared" ca="1" si="280"/>
        <v>0</v>
      </c>
      <c r="U979" s="46">
        <f t="shared" ca="1" si="281"/>
        <v>1466.7163216869442</v>
      </c>
      <c r="V979" s="4">
        <f t="shared" ca="1" si="282"/>
        <v>0</v>
      </c>
      <c r="W979" s="13">
        <f t="shared" ca="1" si="283"/>
        <v>13310.035426928947</v>
      </c>
      <c r="X979" s="4">
        <f t="shared" ca="1" si="284"/>
        <v>0</v>
      </c>
    </row>
    <row r="980" spans="1:24">
      <c r="A980">
        <v>3</v>
      </c>
      <c r="B980">
        <v>1</v>
      </c>
      <c r="C980">
        <f t="shared" si="266"/>
        <v>6</v>
      </c>
      <c r="D980">
        <f t="shared" si="267"/>
        <v>4</v>
      </c>
      <c r="E980">
        <f t="shared" si="268"/>
        <v>3</v>
      </c>
      <c r="F980" s="100">
        <f t="shared" ca="1" si="269"/>
        <v>0</v>
      </c>
      <c r="G980">
        <v>1</v>
      </c>
      <c r="H980">
        <v>0</v>
      </c>
      <c r="I980">
        <v>2</v>
      </c>
      <c r="J980" s="1">
        <f t="shared" ca="1" si="270"/>
        <v>5.5865700000000149E-6</v>
      </c>
      <c r="K980" s="1">
        <f t="shared" ca="1" si="271"/>
        <v>0</v>
      </c>
      <c r="L980" s="13">
        <f t="shared" ca="1" si="272"/>
        <v>91</v>
      </c>
      <c r="M980" s="7">
        <f t="shared" ca="1" si="273"/>
        <v>909</v>
      </c>
      <c r="N980" s="44">
        <f t="shared" ca="1" si="274"/>
        <v>11</v>
      </c>
      <c r="O980" s="94">
        <f t="shared" ca="1" si="275"/>
        <v>2.8265749241644089</v>
      </c>
      <c r="P980" s="94">
        <f t="shared" ca="1" si="276"/>
        <v>28.265749241644084</v>
      </c>
      <c r="Q980" s="94">
        <f t="shared" ca="1" si="277"/>
        <v>27.788119352463475</v>
      </c>
      <c r="R980" s="94">
        <f t="shared" ca="1" si="278"/>
        <v>2.8026934297053776</v>
      </c>
      <c r="S980" s="94">
        <f t="shared" ca="1" si="279"/>
        <v>2.8265749241644089</v>
      </c>
      <c r="T980" s="4">
        <f t="shared" ca="1" si="280"/>
        <v>0</v>
      </c>
      <c r="U980" s="46">
        <f t="shared" ca="1" si="281"/>
        <v>1453.7163216869442</v>
      </c>
      <c r="V980" s="4">
        <f t="shared" ca="1" si="282"/>
        <v>0</v>
      </c>
      <c r="W980" s="13">
        <f t="shared" ca="1" si="283"/>
        <v>12644.365131457063</v>
      </c>
      <c r="X980" s="4">
        <f t="shared" ca="1" si="284"/>
        <v>0</v>
      </c>
    </row>
    <row r="981" spans="1:24">
      <c r="A981">
        <v>3</v>
      </c>
      <c r="B981">
        <v>1</v>
      </c>
      <c r="C981">
        <f t="shared" si="266"/>
        <v>6</v>
      </c>
      <c r="D981">
        <f t="shared" si="267"/>
        <v>4</v>
      </c>
      <c r="E981">
        <f t="shared" si="268"/>
        <v>3</v>
      </c>
      <c r="F981" s="100">
        <f t="shared" ca="1" si="269"/>
        <v>0</v>
      </c>
      <c r="G981">
        <v>1</v>
      </c>
      <c r="H981">
        <v>0</v>
      </c>
      <c r="I981">
        <v>1</v>
      </c>
      <c r="J981" s="1">
        <f t="shared" ca="1" si="270"/>
        <v>3.7620000000000134E-8</v>
      </c>
      <c r="K981" s="1">
        <f t="shared" ca="1" si="271"/>
        <v>0</v>
      </c>
      <c r="L981" s="13">
        <f t="shared" ca="1" si="272"/>
        <v>78</v>
      </c>
      <c r="M981" s="7">
        <f t="shared" ca="1" si="273"/>
        <v>922</v>
      </c>
      <c r="N981" s="44">
        <f t="shared" ca="1" si="274"/>
        <v>11</v>
      </c>
      <c r="O981" s="94">
        <f t="shared" ca="1" si="275"/>
        <v>2.8265749241644089</v>
      </c>
      <c r="P981" s="94">
        <f t="shared" ca="1" si="276"/>
        <v>28.265749241644084</v>
      </c>
      <c r="Q981" s="94">
        <f t="shared" ca="1" si="277"/>
        <v>28.265749241644084</v>
      </c>
      <c r="R981" s="94">
        <f t="shared" ca="1" si="278"/>
        <v>2.8265749241644085</v>
      </c>
      <c r="S981" s="94">
        <f t="shared" ca="1" si="279"/>
        <v>2.8265749241644089</v>
      </c>
      <c r="T981" s="4">
        <f t="shared" ca="1" si="280"/>
        <v>0</v>
      </c>
      <c r="U981" s="46">
        <f t="shared" ca="1" si="281"/>
        <v>1440.7163216869442</v>
      </c>
      <c r="V981" s="4">
        <f t="shared" ca="1" si="282"/>
        <v>0</v>
      </c>
      <c r="W981" s="13">
        <f t="shared" ca="1" si="283"/>
        <v>11978.694835985181</v>
      </c>
      <c r="X981" s="4">
        <f t="shared" ca="1" si="284"/>
        <v>0</v>
      </c>
    </row>
    <row r="982" spans="1:24">
      <c r="A982">
        <v>3</v>
      </c>
      <c r="B982">
        <v>1</v>
      </c>
      <c r="C982">
        <f t="shared" si="266"/>
        <v>6</v>
      </c>
      <c r="D982">
        <f t="shared" si="267"/>
        <v>4</v>
      </c>
      <c r="E982">
        <f t="shared" si="268"/>
        <v>3</v>
      </c>
      <c r="F982" s="100">
        <f t="shared" ca="1" si="269"/>
        <v>0</v>
      </c>
      <c r="G982">
        <v>1</v>
      </c>
      <c r="H982">
        <v>0</v>
      </c>
      <c r="I982">
        <v>0</v>
      </c>
      <c r="J982" s="1">
        <f t="shared" ca="1" si="270"/>
        <v>9.5000000000000434E-11</v>
      </c>
      <c r="K982" s="1">
        <f t="shared" ca="1" si="271"/>
        <v>0</v>
      </c>
      <c r="L982" s="13">
        <f t="shared" ca="1" si="272"/>
        <v>65</v>
      </c>
      <c r="M982" s="7">
        <f t="shared" ca="1" si="273"/>
        <v>935</v>
      </c>
      <c r="N982" s="44">
        <f t="shared" ca="1" si="274"/>
        <v>11</v>
      </c>
      <c r="O982" s="94">
        <f t="shared" ca="1" si="275"/>
        <v>2.8265749241644089</v>
      </c>
      <c r="P982" s="94">
        <f t="shared" ca="1" si="276"/>
        <v>28.265749241644084</v>
      </c>
      <c r="Q982" s="94">
        <f t="shared" ca="1" si="277"/>
        <v>28.265749241644084</v>
      </c>
      <c r="R982" s="94">
        <f t="shared" ca="1" si="278"/>
        <v>2.8265749241644085</v>
      </c>
      <c r="S982" s="94">
        <f t="shared" ca="1" si="279"/>
        <v>2.8265749241644089</v>
      </c>
      <c r="T982" s="4">
        <f t="shared" ca="1" si="280"/>
        <v>0</v>
      </c>
      <c r="U982" s="46">
        <f t="shared" ca="1" si="281"/>
        <v>1427.7163216869442</v>
      </c>
      <c r="V982" s="4">
        <f t="shared" ca="1" si="282"/>
        <v>0</v>
      </c>
      <c r="W982" s="13">
        <f t="shared" ca="1" si="283"/>
        <v>11313.024540513297</v>
      </c>
      <c r="X982" s="4">
        <f t="shared" ca="1" si="284"/>
        <v>0</v>
      </c>
    </row>
    <row r="983" spans="1:24">
      <c r="A983">
        <v>3</v>
      </c>
      <c r="B983">
        <v>1</v>
      </c>
      <c r="C983">
        <f t="shared" si="266"/>
        <v>6</v>
      </c>
      <c r="D983">
        <f t="shared" si="267"/>
        <v>4</v>
      </c>
      <c r="E983">
        <f t="shared" si="268"/>
        <v>3</v>
      </c>
      <c r="F983" s="100">
        <f t="shared" ca="1" si="269"/>
        <v>0</v>
      </c>
      <c r="G983">
        <v>0</v>
      </c>
      <c r="H983">
        <v>1</v>
      </c>
      <c r="I983">
        <v>7</v>
      </c>
      <c r="J983" s="1">
        <f t="shared" ca="1" si="270"/>
        <v>0</v>
      </c>
      <c r="K983" s="1">
        <f t="shared" ca="1" si="271"/>
        <v>0</v>
      </c>
      <c r="L983" s="13">
        <f t="shared" ca="1" si="272"/>
        <v>156</v>
      </c>
      <c r="M983" s="7">
        <f t="shared" ca="1" si="273"/>
        <v>844</v>
      </c>
      <c r="N983" s="44">
        <f t="shared" ca="1" si="274"/>
        <v>10</v>
      </c>
      <c r="O983" s="94">
        <f t="shared" ca="1" si="275"/>
        <v>2.5877599795741038</v>
      </c>
      <c r="P983" s="94">
        <f t="shared" ca="1" si="276"/>
        <v>25.877599795741034</v>
      </c>
      <c r="Q983" s="94">
        <f t="shared" ca="1" si="277"/>
        <v>25.877599795741034</v>
      </c>
      <c r="R983" s="94">
        <f t="shared" ca="1" si="278"/>
        <v>2.5877599795741033</v>
      </c>
      <c r="S983" s="94">
        <f t="shared" ca="1" si="279"/>
        <v>2.5877599795741038</v>
      </c>
      <c r="T983" s="4">
        <f t="shared" ca="1" si="280"/>
        <v>0</v>
      </c>
      <c r="U983" s="46">
        <f t="shared" ca="1" si="281"/>
        <v>1420.8868633777442</v>
      </c>
      <c r="V983" s="4">
        <f t="shared" ca="1" si="282"/>
        <v>0</v>
      </c>
      <c r="W983" s="13">
        <f t="shared" ca="1" si="283"/>
        <v>5125.2361347438955</v>
      </c>
      <c r="X983" s="4">
        <f t="shared" ca="1" si="284"/>
        <v>0</v>
      </c>
    </row>
    <row r="984" spans="1:24">
      <c r="A984">
        <v>3</v>
      </c>
      <c r="B984">
        <v>1</v>
      </c>
      <c r="C984">
        <f t="shared" si="266"/>
        <v>6</v>
      </c>
      <c r="D984">
        <f t="shared" si="267"/>
        <v>4</v>
      </c>
      <c r="E984">
        <f t="shared" si="268"/>
        <v>3</v>
      </c>
      <c r="F984" s="100">
        <f t="shared" ca="1" si="269"/>
        <v>0</v>
      </c>
      <c r="G984">
        <v>0</v>
      </c>
      <c r="H984">
        <v>1</v>
      </c>
      <c r="I984">
        <v>6</v>
      </c>
      <c r="J984" s="1">
        <f t="shared" ca="1" si="270"/>
        <v>0</v>
      </c>
      <c r="K984" s="1">
        <f t="shared" ca="1" si="271"/>
        <v>0</v>
      </c>
      <c r="L984" s="13">
        <f t="shared" ca="1" si="272"/>
        <v>143</v>
      </c>
      <c r="M984" s="7">
        <f t="shared" ca="1" si="273"/>
        <v>857</v>
      </c>
      <c r="N984" s="44">
        <f t="shared" ca="1" si="274"/>
        <v>10</v>
      </c>
      <c r="O984" s="94">
        <f t="shared" ca="1" si="275"/>
        <v>2.5877599795741038</v>
      </c>
      <c r="P984" s="94">
        <f t="shared" ca="1" si="276"/>
        <v>25.877599795741034</v>
      </c>
      <c r="Q984" s="94">
        <f t="shared" ca="1" si="277"/>
        <v>25.877599795741034</v>
      </c>
      <c r="R984" s="94">
        <f t="shared" ca="1" si="278"/>
        <v>2.5877599795741033</v>
      </c>
      <c r="S984" s="94">
        <f t="shared" ca="1" si="279"/>
        <v>2.5877599795741038</v>
      </c>
      <c r="T984" s="4">
        <f t="shared" ca="1" si="280"/>
        <v>0</v>
      </c>
      <c r="U984" s="46">
        <f t="shared" ca="1" si="281"/>
        <v>1407.8868633777442</v>
      </c>
      <c r="V984" s="4">
        <f t="shared" ca="1" si="282"/>
        <v>0</v>
      </c>
      <c r="W984" s="13">
        <f t="shared" ca="1" si="283"/>
        <v>4459.5658392720125</v>
      </c>
      <c r="X984" s="4">
        <f t="shared" ca="1" si="284"/>
        <v>0</v>
      </c>
    </row>
    <row r="985" spans="1:24">
      <c r="A985">
        <v>3</v>
      </c>
      <c r="B985">
        <v>1</v>
      </c>
      <c r="C985">
        <f t="shared" si="266"/>
        <v>6</v>
      </c>
      <c r="D985">
        <f t="shared" si="267"/>
        <v>4</v>
      </c>
      <c r="E985">
        <f t="shared" si="268"/>
        <v>3</v>
      </c>
      <c r="F985" s="100">
        <f t="shared" ca="1" si="269"/>
        <v>0</v>
      </c>
      <c r="G985">
        <v>0</v>
      </c>
      <c r="H985">
        <v>1</v>
      </c>
      <c r="I985">
        <v>5</v>
      </c>
      <c r="J985" s="1">
        <f t="shared" ca="1" si="270"/>
        <v>0</v>
      </c>
      <c r="K985" s="1">
        <f t="shared" ca="1" si="271"/>
        <v>0</v>
      </c>
      <c r="L985" s="13">
        <f t="shared" ca="1" si="272"/>
        <v>130</v>
      </c>
      <c r="M985" s="7">
        <f t="shared" ca="1" si="273"/>
        <v>870</v>
      </c>
      <c r="N985" s="44">
        <f t="shared" ca="1" si="274"/>
        <v>10</v>
      </c>
      <c r="O985" s="94">
        <f t="shared" ca="1" si="275"/>
        <v>2.5877599795741038</v>
      </c>
      <c r="P985" s="94">
        <f t="shared" ca="1" si="276"/>
        <v>25.877599795741034</v>
      </c>
      <c r="Q985" s="94">
        <f t="shared" ca="1" si="277"/>
        <v>25.877599795741034</v>
      </c>
      <c r="R985" s="94">
        <f t="shared" ca="1" si="278"/>
        <v>2.5877599795741033</v>
      </c>
      <c r="S985" s="94">
        <f t="shared" ca="1" si="279"/>
        <v>2.5877599795741038</v>
      </c>
      <c r="T985" s="4">
        <f t="shared" ca="1" si="280"/>
        <v>0</v>
      </c>
      <c r="U985" s="46">
        <f t="shared" ca="1" si="281"/>
        <v>1394.8868633777442</v>
      </c>
      <c r="V985" s="4">
        <f t="shared" ca="1" si="282"/>
        <v>0</v>
      </c>
      <c r="W985" s="13">
        <f t="shared" ca="1" si="283"/>
        <v>3793.895543800129</v>
      </c>
      <c r="X985" s="4">
        <f t="shared" ca="1" si="284"/>
        <v>0</v>
      </c>
    </row>
    <row r="986" spans="1:24">
      <c r="A986">
        <v>3</v>
      </c>
      <c r="B986">
        <v>1</v>
      </c>
      <c r="C986">
        <f t="shared" si="266"/>
        <v>6</v>
      </c>
      <c r="D986">
        <f t="shared" si="267"/>
        <v>4</v>
      </c>
      <c r="E986">
        <f t="shared" si="268"/>
        <v>3</v>
      </c>
      <c r="F986" s="100">
        <f t="shared" ca="1" si="269"/>
        <v>0</v>
      </c>
      <c r="G986">
        <v>0</v>
      </c>
      <c r="H986">
        <v>1</v>
      </c>
      <c r="I986">
        <v>4</v>
      </c>
      <c r="J986" s="1">
        <f t="shared" ca="1" si="270"/>
        <v>4.7549502495E-2</v>
      </c>
      <c r="K986" s="1">
        <f t="shared" ca="1" si="271"/>
        <v>0</v>
      </c>
      <c r="L986" s="13">
        <f t="shared" ca="1" si="272"/>
        <v>117</v>
      </c>
      <c r="M986" s="7">
        <f t="shared" ca="1" si="273"/>
        <v>883</v>
      </c>
      <c r="N986" s="44">
        <f t="shared" ca="1" si="274"/>
        <v>10</v>
      </c>
      <c r="O986" s="94">
        <f t="shared" ca="1" si="275"/>
        <v>2.5877599795741038</v>
      </c>
      <c r="P986" s="94">
        <f t="shared" ca="1" si="276"/>
        <v>25.877599795741034</v>
      </c>
      <c r="Q986" s="94">
        <f t="shared" ca="1" si="277"/>
        <v>25.877599795741034</v>
      </c>
      <c r="R986" s="94">
        <f t="shared" ca="1" si="278"/>
        <v>2.5877599795741033</v>
      </c>
      <c r="S986" s="94">
        <f t="shared" ca="1" si="279"/>
        <v>2.5877599795741038</v>
      </c>
      <c r="T986" s="4">
        <f t="shared" ca="1" si="280"/>
        <v>0</v>
      </c>
      <c r="U986" s="46">
        <f t="shared" ca="1" si="281"/>
        <v>1381.8868633777442</v>
      </c>
      <c r="V986" s="4">
        <f t="shared" ca="1" si="282"/>
        <v>0</v>
      </c>
      <c r="W986" s="13">
        <f t="shared" ca="1" si="283"/>
        <v>3128.2252483282455</v>
      </c>
      <c r="X986" s="4">
        <f t="shared" ca="1" si="284"/>
        <v>0</v>
      </c>
    </row>
    <row r="987" spans="1:24">
      <c r="A987">
        <v>3</v>
      </c>
      <c r="B987">
        <v>1</v>
      </c>
      <c r="C987">
        <f t="shared" si="266"/>
        <v>6</v>
      </c>
      <c r="D987">
        <f t="shared" si="267"/>
        <v>4</v>
      </c>
      <c r="E987">
        <f t="shared" si="268"/>
        <v>3</v>
      </c>
      <c r="F987" s="100">
        <f t="shared" ca="1" si="269"/>
        <v>0</v>
      </c>
      <c r="G987">
        <v>0</v>
      </c>
      <c r="H987">
        <v>1</v>
      </c>
      <c r="I987">
        <v>3</v>
      </c>
      <c r="J987" s="1">
        <f t="shared" ca="1" si="270"/>
        <v>1.9211920200000018E-3</v>
      </c>
      <c r="K987" s="1">
        <f t="shared" ca="1" si="271"/>
        <v>0</v>
      </c>
      <c r="L987" s="13">
        <f t="shared" ca="1" si="272"/>
        <v>104</v>
      </c>
      <c r="M987" s="7">
        <f t="shared" ca="1" si="273"/>
        <v>896</v>
      </c>
      <c r="N987" s="44">
        <f t="shared" ca="1" si="274"/>
        <v>11</v>
      </c>
      <c r="O987" s="94">
        <f t="shared" ca="1" si="275"/>
        <v>2.8265749241644089</v>
      </c>
      <c r="P987" s="94">
        <f t="shared" ca="1" si="276"/>
        <v>27.071674518692554</v>
      </c>
      <c r="Q987" s="94">
        <f t="shared" ca="1" si="277"/>
        <v>25.877599795741034</v>
      </c>
      <c r="R987" s="94">
        <f t="shared" ca="1" si="278"/>
        <v>2.6474637157216794</v>
      </c>
      <c r="S987" s="94">
        <f t="shared" ca="1" si="279"/>
        <v>2.8265749241644089</v>
      </c>
      <c r="T987" s="4">
        <f t="shared" ca="1" si="280"/>
        <v>0</v>
      </c>
      <c r="U987" s="46">
        <f t="shared" ca="1" si="281"/>
        <v>1466.7163216869442</v>
      </c>
      <c r="V987" s="4">
        <f t="shared" ca="1" si="282"/>
        <v>0</v>
      </c>
      <c r="W987" s="13">
        <f t="shared" ca="1" si="283"/>
        <v>2462.5549528563624</v>
      </c>
      <c r="X987" s="4">
        <f t="shared" ca="1" si="284"/>
        <v>0</v>
      </c>
    </row>
    <row r="988" spans="1:24">
      <c r="A988">
        <v>3</v>
      </c>
      <c r="B988">
        <v>1</v>
      </c>
      <c r="C988">
        <f t="shared" si="266"/>
        <v>6</v>
      </c>
      <c r="D988">
        <f t="shared" si="267"/>
        <v>4</v>
      </c>
      <c r="E988">
        <f t="shared" si="268"/>
        <v>3</v>
      </c>
      <c r="F988" s="100">
        <f t="shared" ca="1" si="269"/>
        <v>0</v>
      </c>
      <c r="G988">
        <v>0</v>
      </c>
      <c r="H988">
        <v>1</v>
      </c>
      <c r="I988">
        <v>2</v>
      </c>
      <c r="J988" s="1">
        <f t="shared" ca="1" si="270"/>
        <v>2.9108970000000054E-5</v>
      </c>
      <c r="K988" s="1">
        <f t="shared" ca="1" si="271"/>
        <v>0</v>
      </c>
      <c r="L988" s="13">
        <f t="shared" ca="1" si="272"/>
        <v>91</v>
      </c>
      <c r="M988" s="7">
        <f t="shared" ca="1" si="273"/>
        <v>909</v>
      </c>
      <c r="N988" s="44">
        <f t="shared" ca="1" si="274"/>
        <v>11</v>
      </c>
      <c r="O988" s="94">
        <f t="shared" ca="1" si="275"/>
        <v>2.8265749241644089</v>
      </c>
      <c r="P988" s="94">
        <f t="shared" ca="1" si="276"/>
        <v>28.265749241644084</v>
      </c>
      <c r="Q988" s="94">
        <f t="shared" ca="1" si="277"/>
        <v>27.788119352463475</v>
      </c>
      <c r="R988" s="94">
        <f t="shared" ca="1" si="278"/>
        <v>2.8026934297053776</v>
      </c>
      <c r="S988" s="94">
        <f t="shared" ca="1" si="279"/>
        <v>2.8265749241644089</v>
      </c>
      <c r="T988" s="4">
        <f t="shared" ca="1" si="280"/>
        <v>0</v>
      </c>
      <c r="U988" s="46">
        <f t="shared" ca="1" si="281"/>
        <v>1453.7163216869442</v>
      </c>
      <c r="V988" s="4">
        <f t="shared" ca="1" si="282"/>
        <v>0</v>
      </c>
      <c r="W988" s="13">
        <f t="shared" ca="1" si="283"/>
        <v>1796.8846573844794</v>
      </c>
      <c r="X988" s="4">
        <f t="shared" ca="1" si="284"/>
        <v>0</v>
      </c>
    </row>
    <row r="989" spans="1:24">
      <c r="A989">
        <v>3</v>
      </c>
      <c r="B989">
        <v>1</v>
      </c>
      <c r="C989">
        <f t="shared" si="266"/>
        <v>6</v>
      </c>
      <c r="D989">
        <f t="shared" si="267"/>
        <v>4</v>
      </c>
      <c r="E989">
        <f t="shared" si="268"/>
        <v>3</v>
      </c>
      <c r="F989" s="100">
        <f t="shared" ca="1" si="269"/>
        <v>0</v>
      </c>
      <c r="G989">
        <v>0</v>
      </c>
      <c r="H989">
        <v>1</v>
      </c>
      <c r="I989">
        <v>1</v>
      </c>
      <c r="J989" s="1">
        <f t="shared" ca="1" si="270"/>
        <v>1.9602000000000053E-7</v>
      </c>
      <c r="K989" s="1">
        <f t="shared" ca="1" si="271"/>
        <v>0</v>
      </c>
      <c r="L989" s="13">
        <f t="shared" ca="1" si="272"/>
        <v>78</v>
      </c>
      <c r="M989" s="7">
        <f t="shared" ca="1" si="273"/>
        <v>922</v>
      </c>
      <c r="N989" s="44">
        <f t="shared" ca="1" si="274"/>
        <v>11</v>
      </c>
      <c r="O989" s="94">
        <f t="shared" ca="1" si="275"/>
        <v>2.8265749241644089</v>
      </c>
      <c r="P989" s="94">
        <f t="shared" ca="1" si="276"/>
        <v>28.265749241644084</v>
      </c>
      <c r="Q989" s="94">
        <f t="shared" ca="1" si="277"/>
        <v>28.265749241644084</v>
      </c>
      <c r="R989" s="94">
        <f t="shared" ca="1" si="278"/>
        <v>2.8265749241644085</v>
      </c>
      <c r="S989" s="94">
        <f t="shared" ca="1" si="279"/>
        <v>2.8265749241644089</v>
      </c>
      <c r="T989" s="4">
        <f t="shared" ca="1" si="280"/>
        <v>0</v>
      </c>
      <c r="U989" s="46">
        <f t="shared" ca="1" si="281"/>
        <v>1440.7163216869442</v>
      </c>
      <c r="V989" s="4">
        <f t="shared" ca="1" si="282"/>
        <v>0</v>
      </c>
      <c r="W989" s="13">
        <f t="shared" ca="1" si="283"/>
        <v>1131.2143619125961</v>
      </c>
      <c r="X989" s="4">
        <f t="shared" ca="1" si="284"/>
        <v>0</v>
      </c>
    </row>
    <row r="990" spans="1:24">
      <c r="A990">
        <v>3</v>
      </c>
      <c r="B990">
        <v>1</v>
      </c>
      <c r="C990">
        <f t="shared" si="266"/>
        <v>6</v>
      </c>
      <c r="D990">
        <f t="shared" si="267"/>
        <v>4</v>
      </c>
      <c r="E990">
        <f t="shared" si="268"/>
        <v>3</v>
      </c>
      <c r="F990" s="100">
        <f t="shared" ca="1" si="269"/>
        <v>0</v>
      </c>
      <c r="G990">
        <v>0</v>
      </c>
      <c r="H990">
        <v>1</v>
      </c>
      <c r="I990">
        <v>0</v>
      </c>
      <c r="J990" s="1">
        <f t="shared" ca="1" si="270"/>
        <v>4.9500000000000181E-10</v>
      </c>
      <c r="K990" s="1">
        <f t="shared" ca="1" si="271"/>
        <v>0</v>
      </c>
      <c r="L990" s="13">
        <f t="shared" ca="1" si="272"/>
        <v>65</v>
      </c>
      <c r="M990" s="7">
        <f t="shared" ca="1" si="273"/>
        <v>935</v>
      </c>
      <c r="N990" s="44">
        <f t="shared" ca="1" si="274"/>
        <v>11</v>
      </c>
      <c r="O990" s="94">
        <f t="shared" ca="1" si="275"/>
        <v>2.8265749241644089</v>
      </c>
      <c r="P990" s="94">
        <f t="shared" ca="1" si="276"/>
        <v>28.265749241644084</v>
      </c>
      <c r="Q990" s="94">
        <f t="shared" ca="1" si="277"/>
        <v>28.265749241644084</v>
      </c>
      <c r="R990" s="94">
        <f t="shared" ca="1" si="278"/>
        <v>2.8265749241644085</v>
      </c>
      <c r="S990" s="94">
        <f t="shared" ca="1" si="279"/>
        <v>2.8265749241644089</v>
      </c>
      <c r="T990" s="4">
        <f t="shared" ca="1" si="280"/>
        <v>0</v>
      </c>
      <c r="U990" s="46">
        <f t="shared" ca="1" si="281"/>
        <v>1427.7163216869442</v>
      </c>
      <c r="V990" s="4">
        <f t="shared" ca="1" si="282"/>
        <v>0</v>
      </c>
      <c r="W990" s="13">
        <f t="shared" ca="1" si="283"/>
        <v>465.54406644071304</v>
      </c>
      <c r="X990" s="4">
        <f t="shared" ca="1" si="284"/>
        <v>0</v>
      </c>
    </row>
    <row r="991" spans="1:24">
      <c r="A991">
        <v>3</v>
      </c>
      <c r="B991">
        <v>1</v>
      </c>
      <c r="C991">
        <f t="shared" si="266"/>
        <v>6</v>
      </c>
      <c r="D991">
        <f t="shared" si="267"/>
        <v>4</v>
      </c>
      <c r="E991">
        <f t="shared" si="268"/>
        <v>3</v>
      </c>
      <c r="F991" s="100">
        <f t="shared" ca="1" si="269"/>
        <v>0</v>
      </c>
      <c r="G991">
        <v>0</v>
      </c>
      <c r="H991">
        <v>0</v>
      </c>
      <c r="I991">
        <v>7</v>
      </c>
      <c r="J991" s="1">
        <f t="shared" ca="1" si="270"/>
        <v>0</v>
      </c>
      <c r="K991" s="1">
        <f t="shared" ca="1" si="271"/>
        <v>0</v>
      </c>
      <c r="L991" s="13">
        <f t="shared" ca="1" si="272"/>
        <v>91</v>
      </c>
      <c r="M991" s="7">
        <f t="shared" ca="1" si="273"/>
        <v>909</v>
      </c>
      <c r="N991" s="44">
        <f t="shared" ca="1" si="274"/>
        <v>11</v>
      </c>
      <c r="O991" s="94">
        <f t="shared" ca="1" si="275"/>
        <v>2.8265749241644089</v>
      </c>
      <c r="P991" s="94">
        <f t="shared" ca="1" si="276"/>
        <v>28.265749241644084</v>
      </c>
      <c r="Q991" s="94">
        <f t="shared" ca="1" si="277"/>
        <v>27.788119352463475</v>
      </c>
      <c r="R991" s="94">
        <f t="shared" ca="1" si="278"/>
        <v>2.8026934297053776</v>
      </c>
      <c r="S991" s="94">
        <f t="shared" ca="1" si="279"/>
        <v>2.8265749241644089</v>
      </c>
      <c r="T991" s="4">
        <f t="shared" ca="1" si="280"/>
        <v>0</v>
      </c>
      <c r="U991" s="46">
        <f t="shared" ca="1" si="281"/>
        <v>1453.7163216869442</v>
      </c>
      <c r="V991" s="4">
        <f t="shared" ca="1" si="282"/>
        <v>0</v>
      </c>
      <c r="W991" s="13">
        <f t="shared" ca="1" si="283"/>
        <v>4659.6920683031822</v>
      </c>
      <c r="X991" s="4">
        <f t="shared" ca="1" si="284"/>
        <v>0</v>
      </c>
    </row>
    <row r="992" spans="1:24">
      <c r="A992">
        <v>3</v>
      </c>
      <c r="B992">
        <v>1</v>
      </c>
      <c r="C992">
        <f t="shared" si="266"/>
        <v>6</v>
      </c>
      <c r="D992">
        <f t="shared" si="267"/>
        <v>4</v>
      </c>
      <c r="E992">
        <f t="shared" si="268"/>
        <v>3</v>
      </c>
      <c r="F992" s="100">
        <f t="shared" ca="1" si="269"/>
        <v>0</v>
      </c>
      <c r="G992">
        <v>0</v>
      </c>
      <c r="H992">
        <v>0</v>
      </c>
      <c r="I992">
        <v>6</v>
      </c>
      <c r="J992" s="1">
        <f t="shared" ca="1" si="270"/>
        <v>0</v>
      </c>
      <c r="K992" s="1">
        <f t="shared" ca="1" si="271"/>
        <v>0</v>
      </c>
      <c r="L992" s="13">
        <f t="shared" ca="1" si="272"/>
        <v>78</v>
      </c>
      <c r="M992" s="7">
        <f t="shared" ca="1" si="273"/>
        <v>922</v>
      </c>
      <c r="N992" s="44">
        <f t="shared" ca="1" si="274"/>
        <v>11</v>
      </c>
      <c r="O992" s="94">
        <f t="shared" ca="1" si="275"/>
        <v>2.8265749241644089</v>
      </c>
      <c r="P992" s="94">
        <f t="shared" ca="1" si="276"/>
        <v>28.265749241644084</v>
      </c>
      <c r="Q992" s="94">
        <f t="shared" ca="1" si="277"/>
        <v>28.265749241644084</v>
      </c>
      <c r="R992" s="94">
        <f t="shared" ca="1" si="278"/>
        <v>2.8265749241644085</v>
      </c>
      <c r="S992" s="94">
        <f t="shared" ca="1" si="279"/>
        <v>2.8265749241644089</v>
      </c>
      <c r="T992" s="4">
        <f t="shared" ca="1" si="280"/>
        <v>0</v>
      </c>
      <c r="U992" s="46">
        <f t="shared" ca="1" si="281"/>
        <v>1440.7163216869442</v>
      </c>
      <c r="V992" s="4">
        <f t="shared" ca="1" si="282"/>
        <v>0</v>
      </c>
      <c r="W992" s="13">
        <f t="shared" ca="1" si="283"/>
        <v>3994.0217728312991</v>
      </c>
      <c r="X992" s="4">
        <f t="shared" ca="1" si="284"/>
        <v>0</v>
      </c>
    </row>
    <row r="993" spans="1:24">
      <c r="A993">
        <v>3</v>
      </c>
      <c r="B993">
        <v>1</v>
      </c>
      <c r="C993">
        <f t="shared" si="266"/>
        <v>6</v>
      </c>
      <c r="D993">
        <f t="shared" si="267"/>
        <v>4</v>
      </c>
      <c r="E993">
        <f t="shared" si="268"/>
        <v>3</v>
      </c>
      <c r="F993" s="100">
        <f t="shared" ca="1" si="269"/>
        <v>0</v>
      </c>
      <c r="G993">
        <v>0</v>
      </c>
      <c r="H993">
        <v>0</v>
      </c>
      <c r="I993">
        <v>5</v>
      </c>
      <c r="J993" s="1">
        <f t="shared" ca="1" si="270"/>
        <v>0</v>
      </c>
      <c r="K993" s="1">
        <f t="shared" ca="1" si="271"/>
        <v>0</v>
      </c>
      <c r="L993" s="13">
        <f t="shared" ca="1" si="272"/>
        <v>65</v>
      </c>
      <c r="M993" s="7">
        <f t="shared" ca="1" si="273"/>
        <v>935</v>
      </c>
      <c r="N993" s="44">
        <f t="shared" ca="1" si="274"/>
        <v>11</v>
      </c>
      <c r="O993" s="94">
        <f t="shared" ca="1" si="275"/>
        <v>2.8265749241644089</v>
      </c>
      <c r="P993" s="94">
        <f t="shared" ca="1" si="276"/>
        <v>28.265749241644084</v>
      </c>
      <c r="Q993" s="94">
        <f t="shared" ca="1" si="277"/>
        <v>28.265749241644084</v>
      </c>
      <c r="R993" s="94">
        <f t="shared" ca="1" si="278"/>
        <v>2.8265749241644085</v>
      </c>
      <c r="S993" s="94">
        <f t="shared" ca="1" si="279"/>
        <v>2.8265749241644089</v>
      </c>
      <c r="T993" s="4">
        <f t="shared" ca="1" si="280"/>
        <v>0</v>
      </c>
      <c r="U993" s="46">
        <f t="shared" ca="1" si="281"/>
        <v>1427.7163216869442</v>
      </c>
      <c r="V993" s="4">
        <f t="shared" ca="1" si="282"/>
        <v>0</v>
      </c>
      <c r="W993" s="13">
        <f t="shared" ca="1" si="283"/>
        <v>3328.3514773594161</v>
      </c>
      <c r="X993" s="4">
        <f t="shared" ca="1" si="284"/>
        <v>0</v>
      </c>
    </row>
    <row r="994" spans="1:24">
      <c r="A994">
        <v>3</v>
      </c>
      <c r="B994">
        <v>1</v>
      </c>
      <c r="C994">
        <f t="shared" si="266"/>
        <v>6</v>
      </c>
      <c r="D994">
        <f t="shared" si="267"/>
        <v>4</v>
      </c>
      <c r="E994">
        <f t="shared" si="268"/>
        <v>3</v>
      </c>
      <c r="F994" s="100">
        <f t="shared" ca="1" si="269"/>
        <v>0</v>
      </c>
      <c r="G994">
        <v>0</v>
      </c>
      <c r="H994">
        <v>0</v>
      </c>
      <c r="I994">
        <v>4</v>
      </c>
      <c r="J994" s="1">
        <f t="shared" ca="1" si="270"/>
        <v>4.802980050000004E-4</v>
      </c>
      <c r="K994" s="1">
        <f t="shared" ca="1" si="271"/>
        <v>0</v>
      </c>
      <c r="L994" s="13">
        <f t="shared" ca="1" si="272"/>
        <v>52</v>
      </c>
      <c r="M994" s="7">
        <f t="shared" ca="1" si="273"/>
        <v>948</v>
      </c>
      <c r="N994" s="44">
        <f t="shared" ca="1" si="274"/>
        <v>11</v>
      </c>
      <c r="O994" s="94">
        <f t="shared" ca="1" si="275"/>
        <v>2.8265749241644089</v>
      </c>
      <c r="P994" s="94">
        <f t="shared" ca="1" si="276"/>
        <v>28.265749241644084</v>
      </c>
      <c r="Q994" s="94">
        <f t="shared" ca="1" si="277"/>
        <v>28.265749241644084</v>
      </c>
      <c r="R994" s="94">
        <f t="shared" ca="1" si="278"/>
        <v>2.8265749241644085</v>
      </c>
      <c r="S994" s="94">
        <f t="shared" ca="1" si="279"/>
        <v>2.8265749241644089</v>
      </c>
      <c r="T994" s="4">
        <f t="shared" ca="1" si="280"/>
        <v>0</v>
      </c>
      <c r="U994" s="46">
        <f t="shared" ca="1" si="281"/>
        <v>1414.7163216869442</v>
      </c>
      <c r="V994" s="4">
        <f t="shared" ca="1" si="282"/>
        <v>0</v>
      </c>
      <c r="W994" s="13">
        <f t="shared" ca="1" si="283"/>
        <v>2662.6811818875326</v>
      </c>
      <c r="X994" s="4">
        <f t="shared" ca="1" si="284"/>
        <v>0</v>
      </c>
    </row>
    <row r="995" spans="1:24">
      <c r="A995">
        <v>3</v>
      </c>
      <c r="B995">
        <v>1</v>
      </c>
      <c r="C995">
        <f t="shared" si="266"/>
        <v>6</v>
      </c>
      <c r="D995">
        <f t="shared" si="267"/>
        <v>4</v>
      </c>
      <c r="E995">
        <f t="shared" si="268"/>
        <v>3</v>
      </c>
      <c r="F995" s="100">
        <f t="shared" ca="1" si="269"/>
        <v>0</v>
      </c>
      <c r="G995">
        <v>0</v>
      </c>
      <c r="H995">
        <v>0</v>
      </c>
      <c r="I995">
        <v>3</v>
      </c>
      <c r="J995" s="1">
        <f t="shared" ca="1" si="270"/>
        <v>1.9405980000000033E-5</v>
      </c>
      <c r="K995" s="1">
        <f t="shared" ca="1" si="271"/>
        <v>0</v>
      </c>
      <c r="L995" s="13">
        <f t="shared" ca="1" si="272"/>
        <v>39</v>
      </c>
      <c r="M995" s="7">
        <f t="shared" ca="1" si="273"/>
        <v>961</v>
      </c>
      <c r="N995" s="44">
        <f t="shared" ca="1" si="274"/>
        <v>11</v>
      </c>
      <c r="O995" s="94">
        <f t="shared" ca="1" si="275"/>
        <v>2.8265749241644089</v>
      </c>
      <c r="P995" s="94">
        <f t="shared" ca="1" si="276"/>
        <v>28.265749241644084</v>
      </c>
      <c r="Q995" s="94">
        <f t="shared" ca="1" si="277"/>
        <v>28.265749241644084</v>
      </c>
      <c r="R995" s="94">
        <f t="shared" ca="1" si="278"/>
        <v>2.8265749241644085</v>
      </c>
      <c r="S995" s="94">
        <f t="shared" ca="1" si="279"/>
        <v>2.8265749241644089</v>
      </c>
      <c r="T995" s="4">
        <f t="shared" ca="1" si="280"/>
        <v>0</v>
      </c>
      <c r="U995" s="46">
        <f t="shared" ca="1" si="281"/>
        <v>1401.7163216869442</v>
      </c>
      <c r="V995" s="4">
        <f t="shared" ca="1" si="282"/>
        <v>0</v>
      </c>
      <c r="W995" s="13">
        <f t="shared" ca="1" si="283"/>
        <v>1997.0108864156496</v>
      </c>
      <c r="X995" s="4">
        <f t="shared" ca="1" si="284"/>
        <v>0</v>
      </c>
    </row>
    <row r="996" spans="1:24">
      <c r="A996">
        <v>3</v>
      </c>
      <c r="B996">
        <v>1</v>
      </c>
      <c r="C996">
        <f t="shared" si="266"/>
        <v>6</v>
      </c>
      <c r="D996">
        <f t="shared" si="267"/>
        <v>4</v>
      </c>
      <c r="E996">
        <f t="shared" si="268"/>
        <v>3</v>
      </c>
      <c r="F996" s="100">
        <f t="shared" ca="1" si="269"/>
        <v>0</v>
      </c>
      <c r="G996">
        <v>0</v>
      </c>
      <c r="H996">
        <v>0</v>
      </c>
      <c r="I996">
        <v>2</v>
      </c>
      <c r="J996" s="1">
        <f t="shared" ca="1" si="270"/>
        <v>2.9403000000000079E-7</v>
      </c>
      <c r="K996" s="1">
        <f t="shared" ca="1" si="271"/>
        <v>0</v>
      </c>
      <c r="L996" s="13">
        <f t="shared" ca="1" si="272"/>
        <v>26</v>
      </c>
      <c r="M996" s="7">
        <f t="shared" ca="1" si="273"/>
        <v>974</v>
      </c>
      <c r="N996" s="44">
        <f t="shared" ca="1" si="274"/>
        <v>11</v>
      </c>
      <c r="O996" s="94">
        <f t="shared" ca="1" si="275"/>
        <v>2.8265749241644089</v>
      </c>
      <c r="P996" s="94">
        <f t="shared" ca="1" si="276"/>
        <v>28.265749241644084</v>
      </c>
      <c r="Q996" s="94">
        <f t="shared" ca="1" si="277"/>
        <v>28.265749241644084</v>
      </c>
      <c r="R996" s="94">
        <f t="shared" ca="1" si="278"/>
        <v>2.8265749241644085</v>
      </c>
      <c r="S996" s="94">
        <f t="shared" ca="1" si="279"/>
        <v>2.8265749241644089</v>
      </c>
      <c r="T996" s="4">
        <f t="shared" ca="1" si="280"/>
        <v>0</v>
      </c>
      <c r="U996" s="46">
        <f t="shared" ca="1" si="281"/>
        <v>1388.7163216869442</v>
      </c>
      <c r="V996" s="4">
        <f t="shared" ca="1" si="282"/>
        <v>0</v>
      </c>
      <c r="W996" s="13">
        <f t="shared" ca="1" si="283"/>
        <v>1331.3405909437663</v>
      </c>
      <c r="X996" s="4">
        <f t="shared" ca="1" si="284"/>
        <v>0</v>
      </c>
    </row>
    <row r="997" spans="1:24">
      <c r="A997">
        <v>3</v>
      </c>
      <c r="B997">
        <v>1</v>
      </c>
      <c r="C997">
        <f t="shared" si="266"/>
        <v>6</v>
      </c>
      <c r="D997">
        <f t="shared" si="267"/>
        <v>4</v>
      </c>
      <c r="E997">
        <f t="shared" si="268"/>
        <v>3</v>
      </c>
      <c r="F997" s="100">
        <f t="shared" ca="1" si="269"/>
        <v>0</v>
      </c>
      <c r="G997">
        <v>0</v>
      </c>
      <c r="H997">
        <v>0</v>
      </c>
      <c r="I997">
        <v>1</v>
      </c>
      <c r="J997" s="1">
        <f t="shared" ca="1" si="270"/>
        <v>1.9800000000000068E-9</v>
      </c>
      <c r="K997" s="1">
        <f t="shared" ca="1" si="271"/>
        <v>0</v>
      </c>
      <c r="L997" s="13">
        <f t="shared" ca="1" si="272"/>
        <v>13</v>
      </c>
      <c r="M997" s="7">
        <f t="shared" ca="1" si="273"/>
        <v>987</v>
      </c>
      <c r="N997" s="44">
        <f t="shared" ca="1" si="274"/>
        <v>12</v>
      </c>
      <c r="O997" s="94">
        <f t="shared" ca="1" si="275"/>
        <v>3.049271339469791</v>
      </c>
      <c r="P997" s="94">
        <f t="shared" ca="1" si="276"/>
        <v>29.824624148781758</v>
      </c>
      <c r="Q997" s="94">
        <f t="shared" ca="1" si="277"/>
        <v>28.265749241644084</v>
      </c>
      <c r="R997" s="94">
        <f t="shared" ca="1" si="278"/>
        <v>2.9045186695212921</v>
      </c>
      <c r="S997" s="94">
        <f t="shared" ca="1" si="279"/>
        <v>3.049271339469791</v>
      </c>
      <c r="T997" s="4">
        <f t="shared" ca="1" si="280"/>
        <v>0</v>
      </c>
      <c r="U997" s="46">
        <f t="shared" ca="1" si="281"/>
        <v>1466.9428976204611</v>
      </c>
      <c r="V997" s="4">
        <f t="shared" ca="1" si="282"/>
        <v>0</v>
      </c>
      <c r="W997" s="13">
        <f t="shared" ca="1" si="283"/>
        <v>665.67029547188315</v>
      </c>
      <c r="X997" s="4">
        <f t="shared" ca="1" si="284"/>
        <v>0</v>
      </c>
    </row>
    <row r="998" spans="1:24">
      <c r="A998">
        <v>3</v>
      </c>
      <c r="B998">
        <v>1</v>
      </c>
      <c r="C998">
        <f t="shared" si="266"/>
        <v>6</v>
      </c>
      <c r="D998">
        <f t="shared" si="267"/>
        <v>4</v>
      </c>
      <c r="E998">
        <f t="shared" si="268"/>
        <v>3</v>
      </c>
      <c r="F998" s="100">
        <f t="shared" ca="1" si="269"/>
        <v>0</v>
      </c>
      <c r="G998">
        <v>0</v>
      </c>
      <c r="H998">
        <v>0</v>
      </c>
      <c r="I998">
        <v>0</v>
      </c>
      <c r="J998" s="1">
        <f t="shared" ca="1" si="270"/>
        <v>5.0000000000000231E-12</v>
      </c>
      <c r="K998" s="1">
        <f t="shared" ca="1" si="271"/>
        <v>0</v>
      </c>
      <c r="L998" s="13">
        <f t="shared" ca="1" si="272"/>
        <v>0</v>
      </c>
      <c r="M998" s="7">
        <f t="shared" ca="1" si="273"/>
        <v>1000</v>
      </c>
      <c r="N998" s="44">
        <f t="shared" ca="1" si="274"/>
        <v>12</v>
      </c>
      <c r="O998" s="94">
        <f t="shared" ca="1" si="275"/>
        <v>3.049271339469791</v>
      </c>
      <c r="P998" s="94">
        <f t="shared" ca="1" si="276"/>
        <v>30.492713394697905</v>
      </c>
      <c r="Q998" s="94">
        <f t="shared" ca="1" si="277"/>
        <v>30.492713394697905</v>
      </c>
      <c r="R998" s="94">
        <f t="shared" ca="1" si="278"/>
        <v>3.0492713394697906</v>
      </c>
      <c r="S998" s="94">
        <f t="shared" ca="1" si="279"/>
        <v>3.049271339469791</v>
      </c>
      <c r="T998" s="4">
        <f t="shared" ca="1" si="280"/>
        <v>0</v>
      </c>
      <c r="U998" s="46">
        <f t="shared" ca="1" si="281"/>
        <v>1453.9428976204611</v>
      </c>
      <c r="V998" s="4">
        <f t="shared" ca="1" si="282"/>
        <v>0</v>
      </c>
      <c r="W998" s="13">
        <f t="shared" ca="1" si="283"/>
        <v>0</v>
      </c>
      <c r="X998" s="4">
        <f t="shared" ca="1" si="284"/>
        <v>0</v>
      </c>
    </row>
    <row r="999" spans="1:24">
      <c r="A999">
        <v>3</v>
      </c>
      <c r="B999">
        <v>2</v>
      </c>
      <c r="C999">
        <f t="shared" ref="C999:C1062" si="285">MIN(8, 1+$B$543+$B$542+A999+B999)</f>
        <v>7</v>
      </c>
      <c r="D999">
        <f t="shared" ref="D999:D1062" si="286">C999-(1+$B$543)</f>
        <v>5</v>
      </c>
      <c r="E999">
        <f t="shared" ref="E999:E1062" si="287">MIN(A999, C999-(1+$B$543+$B$542))</f>
        <v>3</v>
      </c>
      <c r="F999" s="100">
        <f t="shared" ref="F999:F1062" ca="1" si="288">IF(A999=3, Set2QA, IF(A999=2, (1-Set2QA)*Set2TA + (1-Set2QA)*(1-Set2TA)*(1-Set2DA)*Set2AM3*Set2AM33, IF(A999=1, (1-Set2QA)*(1-Set2TA)*Set2DA + (1-Set2QA)*(1-Set2TA)*(1-Set2DA)*Set2AM3*Set2AM32, (1-Set2QA)*(1-Set2TA)*(1-Set2DA)*(1-Set2AM3)))) * IF($B$542+$B$543&gt;0, IF(B999=3, Set2QA, IF(B999=2, (1-Set2QA)*Set2TA, IF(B999=1, (1-Set2QA)*(1-Set2TA)*Set2DA, (1-Set2QA)*(1-Set2TA)*(1-Set2DA)))), IF(B999=0, 1, 0))</f>
        <v>0</v>
      </c>
      <c r="G999">
        <v>1</v>
      </c>
      <c r="H999">
        <v>1</v>
      </c>
      <c r="I999">
        <v>7</v>
      </c>
      <c r="J999" s="1">
        <f t="shared" ref="J999:J1062" ca="1" si="289">POWER(95%,G999)*POWER(5%, 1-G999) * IF($B$543=0, IF(H999=0, 1, 0), POWER(Set2WSHitRate,H999)*POWER(1-Set2WSHitRate, 1-H999)) * IF(I999&lt;=D999, POWER(Set2WSHitRate, I999)*POWER(1-Set2WSHitRate, D999-I999)*COMBIN(D999,I999), 0)</f>
        <v>0</v>
      </c>
      <c r="K999" s="1">
        <f t="shared" ref="K999:K1062" ca="1" si="290">F999*J999</f>
        <v>0</v>
      </c>
      <c r="L999" s="13">
        <f t="shared" ref="L999:L1062" ca="1" si="291">MAX((G999+H999)*Set2WSTP + I999*$B$539, Set2SaveTP)</f>
        <v>221</v>
      </c>
      <c r="M999" s="7">
        <f t="shared" ref="M999:M1062" ca="1" si="292">MAX(Set2MinTP-(L999+Set2Regain), 0)</f>
        <v>779</v>
      </c>
      <c r="N999" s="44">
        <f t="shared" ref="N999:N1062" ca="1" si="293">CEILING(M999/Set2MeleeTP, 1)</f>
        <v>9</v>
      </c>
      <c r="O999" s="94">
        <f t="shared" ref="O999:O1062" ca="1" si="294">VLOOKUP(N999, AvgRoundsSet2, 2)</f>
        <v>2.3639647217884514</v>
      </c>
      <c r="P999" s="94">
        <f t="shared" ref="P999:P1062" ca="1" si="295">VLOOKUP(CEILING(MAX(M999-1, 0)/Set2MeleeTP, 1), AvgRoundsSet2, 2) + VLOOKUP(CEILING(MAX(M999-2, 0)/Set2MeleeTP, 1), AvgRoundsSet2, 2) + VLOOKUP(CEILING(MAX(M999-3, 0)/Set2MeleeTP, 1), AvgRoundsSet2, 2) + VLOOKUP(CEILING(MAX(M999-4, 0)/Set2MeleeTP, 1), AvgRoundsSet2, 2) + VLOOKUP(CEILING(MAX(M999-5, 0)/Set2MeleeTP, 1), AvgRoundsSet2, 2) + VLOOKUP(CEILING(MAX(M999-6, 0)/Set2MeleeTP, 1), AvgRoundsSet2, 2) + VLOOKUP(CEILING(MAX(M999-7, 0)/Set2MeleeTP, 1), AvgRoundsSet2, 2) + VLOOKUP(CEILING(MAX(M999-8, 0)/Set2MeleeTP, 1), AvgRoundsSet2, 2) + VLOOKUP(CEILING(MAX(M999-9, 0)/Set2MeleeTP, 1), AvgRoundsSet2, 2) + VLOOKUP(CEILING(MAX(M999-10, 0)/Set2MeleeTP, 1), AvgRoundsSet2, 2)</f>
        <v>23.639647217884519</v>
      </c>
      <c r="Q999" s="94">
        <f t="shared" ref="Q999:Q1062" ca="1" si="296">VLOOKUP(CEILING(MAX(M999-11, 0)/Set2MeleeTP, 1), AvgRoundsSet2, 2) + VLOOKUP(CEILING(MAX(M999-12, 0)/Set2MeleeTP, 1), AvgRoundsSet2, 2) + VLOOKUP(CEILING(MAX(M999-13, 0)/Set2MeleeTP, 1), AvgRoundsSet2, 2) + VLOOKUP(CEILING(MAX(M999-14, 0)/Set2MeleeTP, 1), AvgRoundsSet2, 2) + VLOOKUP(CEILING(MAX(M999-15, 0)/Set2MeleeTP, 1), AvgRoundsSet2, 2) + VLOOKUP(CEILING(MAX(M999-16, 0)/Set2MeleeTP, 1), AvgRoundsSet2, 2) + VLOOKUP(CEILING(MAX(M999-17, 0)/Set2MeleeTP, 1), AvgRoundsSet2, 2) + VLOOKUP(CEILING(MAX(M999-18, 0)/Set2MeleeTP, 1), AvgRoundsSet2, 2) + VLOOKUP(CEILING(MAX(M999-19, 0)/Set2MeleeTP, 1), AvgRoundsSet2, 2) + VLOOKUP(CEILING(MAX(M999-20, 0)/Set2MeleeTP, 1), AvgRoundsSet2, 2)</f>
        <v>23.639647217884519</v>
      </c>
      <c r="R999" s="94">
        <f t="shared" ref="R999:R1062" ca="1" si="297">(P999+Q999)/20</f>
        <v>2.3639647217884519</v>
      </c>
      <c r="S999" s="94">
        <f t="shared" ref="S999:S1062" ca="1" si="298">R999*Set2ConserveTP + O999*(1-Set2ConserveTP)</f>
        <v>2.3639647217884514</v>
      </c>
      <c r="T999" s="4">
        <f t="shared" ref="T999:T1062" ca="1" si="299">K999*S999</f>
        <v>0</v>
      </c>
      <c r="U999" s="46">
        <f t="shared" ref="U999:U1062" ca="1" si="300">MIN(L999+(S999+Set2OverTP)*AvgHitsPerRound2*Set2MeleeTP + Set2Regain + 10.5*Set2ConserveTP, 3000)</f>
        <v>1394.2101516087316</v>
      </c>
      <c r="V999" s="4">
        <f t="shared" ref="V999:V1062" ca="1" si="301">U999*K999</f>
        <v>0</v>
      </c>
      <c r="W999" s="13">
        <f t="shared" ref="W999:W1062" ca="1" si="302">G999*$K$543*((1-$L$543)*$L$547 + $L$543*$M$547*$M$543)*Set2WSDmg + H999*$K$546*((1-$L$546)*$L$548 + $L$546*$M$548*$M$544) + I999*$K$544*((1-$L$544)*$L$547 + $L$544*$M$547*$M$544) + E999*$K$545*$L$545*$M$543</f>
        <v>16438.260675257192</v>
      </c>
      <c r="X999" s="4">
        <f t="shared" ref="X999:X1062" ca="1" si="303">K999*W999</f>
        <v>0</v>
      </c>
    </row>
    <row r="1000" spans="1:24">
      <c r="A1000">
        <v>3</v>
      </c>
      <c r="B1000">
        <v>2</v>
      </c>
      <c r="C1000">
        <f t="shared" si="285"/>
        <v>7</v>
      </c>
      <c r="D1000">
        <f t="shared" si="286"/>
        <v>5</v>
      </c>
      <c r="E1000">
        <f t="shared" si="287"/>
        <v>3</v>
      </c>
      <c r="F1000" s="100">
        <f t="shared" ca="1" si="288"/>
        <v>0</v>
      </c>
      <c r="G1000">
        <v>1</v>
      </c>
      <c r="H1000">
        <v>1</v>
      </c>
      <c r="I1000">
        <v>6</v>
      </c>
      <c r="J1000" s="1">
        <f t="shared" ca="1" si="289"/>
        <v>0</v>
      </c>
      <c r="K1000" s="1">
        <f t="shared" ca="1" si="290"/>
        <v>0</v>
      </c>
      <c r="L1000" s="13">
        <f t="shared" ca="1" si="291"/>
        <v>208</v>
      </c>
      <c r="M1000" s="7">
        <f t="shared" ca="1" si="292"/>
        <v>792</v>
      </c>
      <c r="N1000" s="44">
        <f t="shared" ca="1" si="293"/>
        <v>9</v>
      </c>
      <c r="O1000" s="94">
        <f t="shared" ca="1" si="294"/>
        <v>2.3639647217884514</v>
      </c>
      <c r="P1000" s="94">
        <f t="shared" ca="1" si="295"/>
        <v>23.639647217884519</v>
      </c>
      <c r="Q1000" s="94">
        <f t="shared" ca="1" si="296"/>
        <v>23.639647217884519</v>
      </c>
      <c r="R1000" s="94">
        <f t="shared" ca="1" si="297"/>
        <v>2.3639647217884519</v>
      </c>
      <c r="S1000" s="94">
        <f t="shared" ca="1" si="298"/>
        <v>2.3639647217884514</v>
      </c>
      <c r="T1000" s="4">
        <f t="shared" ca="1" si="299"/>
        <v>0</v>
      </c>
      <c r="U1000" s="46">
        <f t="shared" ca="1" si="300"/>
        <v>1381.2101516087316</v>
      </c>
      <c r="V1000" s="4">
        <f t="shared" ca="1" si="301"/>
        <v>0</v>
      </c>
      <c r="W1000" s="13">
        <f t="shared" ca="1" si="302"/>
        <v>15772.59037978531</v>
      </c>
      <c r="X1000" s="4">
        <f t="shared" ca="1" si="303"/>
        <v>0</v>
      </c>
    </row>
    <row r="1001" spans="1:24">
      <c r="A1001">
        <v>3</v>
      </c>
      <c r="B1001">
        <v>2</v>
      </c>
      <c r="C1001">
        <f t="shared" si="285"/>
        <v>7</v>
      </c>
      <c r="D1001">
        <f t="shared" si="286"/>
        <v>5</v>
      </c>
      <c r="E1001">
        <f t="shared" si="287"/>
        <v>3</v>
      </c>
      <c r="F1001" s="100">
        <f t="shared" ca="1" si="288"/>
        <v>0</v>
      </c>
      <c r="G1001">
        <v>1</v>
      </c>
      <c r="H1001">
        <v>1</v>
      </c>
      <c r="I1001">
        <v>5</v>
      </c>
      <c r="J1001" s="1">
        <f t="shared" ca="1" si="289"/>
        <v>0.89440614193094992</v>
      </c>
      <c r="K1001" s="1">
        <f t="shared" ca="1" si="290"/>
        <v>0</v>
      </c>
      <c r="L1001" s="13">
        <f t="shared" ca="1" si="291"/>
        <v>195</v>
      </c>
      <c r="M1001" s="7">
        <f t="shared" ca="1" si="292"/>
        <v>805</v>
      </c>
      <c r="N1001" s="44">
        <f t="shared" ca="1" si="293"/>
        <v>10</v>
      </c>
      <c r="O1001" s="94">
        <f t="shared" ca="1" si="294"/>
        <v>2.5877599795741038</v>
      </c>
      <c r="P1001" s="94">
        <f t="shared" ca="1" si="295"/>
        <v>24.311032991241476</v>
      </c>
      <c r="Q1001" s="94">
        <f t="shared" ca="1" si="296"/>
        <v>23.639647217884519</v>
      </c>
      <c r="R1001" s="94">
        <f t="shared" ca="1" si="297"/>
        <v>2.3975340104562997</v>
      </c>
      <c r="S1001" s="94">
        <f t="shared" ca="1" si="298"/>
        <v>2.5877599795741038</v>
      </c>
      <c r="T1001" s="4">
        <f t="shared" ca="1" si="299"/>
        <v>0</v>
      </c>
      <c r="U1001" s="46">
        <f t="shared" ca="1" si="300"/>
        <v>1459.8868633777442</v>
      </c>
      <c r="V1001" s="4">
        <f t="shared" ca="1" si="301"/>
        <v>0</v>
      </c>
      <c r="W1001" s="13">
        <f t="shared" ca="1" si="302"/>
        <v>15106.920084313426</v>
      </c>
      <c r="X1001" s="4">
        <f t="shared" ca="1" si="303"/>
        <v>0</v>
      </c>
    </row>
    <row r="1002" spans="1:24">
      <c r="A1002">
        <v>3</v>
      </c>
      <c r="B1002">
        <v>2</v>
      </c>
      <c r="C1002">
        <f t="shared" si="285"/>
        <v>7</v>
      </c>
      <c r="D1002">
        <f t="shared" si="286"/>
        <v>5</v>
      </c>
      <c r="E1002">
        <f t="shared" si="287"/>
        <v>3</v>
      </c>
      <c r="F1002" s="100">
        <f t="shared" ca="1" si="288"/>
        <v>0</v>
      </c>
      <c r="G1002">
        <v>1</v>
      </c>
      <c r="H1002">
        <v>1</v>
      </c>
      <c r="I1002">
        <v>4</v>
      </c>
      <c r="J1002" s="1">
        <f t="shared" ca="1" si="289"/>
        <v>4.5172027370250036E-2</v>
      </c>
      <c r="K1002" s="1">
        <f t="shared" ca="1" si="290"/>
        <v>0</v>
      </c>
      <c r="L1002" s="13">
        <f t="shared" ca="1" si="291"/>
        <v>182</v>
      </c>
      <c r="M1002" s="7">
        <f t="shared" ca="1" si="292"/>
        <v>818</v>
      </c>
      <c r="N1002" s="44">
        <f t="shared" ca="1" si="293"/>
        <v>10</v>
      </c>
      <c r="O1002" s="94">
        <f t="shared" ca="1" si="294"/>
        <v>2.5877599795741038</v>
      </c>
      <c r="P1002" s="94">
        <f t="shared" ca="1" si="295"/>
        <v>25.877599795741034</v>
      </c>
      <c r="Q1002" s="94">
        <f t="shared" ca="1" si="296"/>
        <v>24.982418764598432</v>
      </c>
      <c r="R1002" s="94">
        <f t="shared" ca="1" si="297"/>
        <v>2.5430009280169736</v>
      </c>
      <c r="S1002" s="94">
        <f t="shared" ca="1" si="298"/>
        <v>2.5877599795741038</v>
      </c>
      <c r="T1002" s="4">
        <f t="shared" ca="1" si="299"/>
        <v>0</v>
      </c>
      <c r="U1002" s="46">
        <f t="shared" ca="1" si="300"/>
        <v>1446.8868633777442</v>
      </c>
      <c r="V1002" s="4">
        <f t="shared" ca="1" si="301"/>
        <v>0</v>
      </c>
      <c r="W1002" s="13">
        <f t="shared" ca="1" si="302"/>
        <v>14441.249788841542</v>
      </c>
      <c r="X1002" s="4">
        <f t="shared" ca="1" si="303"/>
        <v>0</v>
      </c>
    </row>
    <row r="1003" spans="1:24">
      <c r="A1003">
        <v>3</v>
      </c>
      <c r="B1003">
        <v>2</v>
      </c>
      <c r="C1003">
        <f t="shared" si="285"/>
        <v>7</v>
      </c>
      <c r="D1003">
        <f t="shared" si="286"/>
        <v>5</v>
      </c>
      <c r="E1003">
        <f t="shared" si="287"/>
        <v>3</v>
      </c>
      <c r="F1003" s="100">
        <f t="shared" ca="1" si="288"/>
        <v>0</v>
      </c>
      <c r="G1003">
        <v>1</v>
      </c>
      <c r="H1003">
        <v>1</v>
      </c>
      <c r="I1003">
        <v>3</v>
      </c>
      <c r="J1003" s="1">
        <f t="shared" ca="1" si="289"/>
        <v>9.1256620950000162E-4</v>
      </c>
      <c r="K1003" s="1">
        <f t="shared" ca="1" si="290"/>
        <v>0</v>
      </c>
      <c r="L1003" s="13">
        <f t="shared" ca="1" si="291"/>
        <v>169</v>
      </c>
      <c r="M1003" s="7">
        <f t="shared" ca="1" si="292"/>
        <v>831</v>
      </c>
      <c r="N1003" s="44">
        <f t="shared" ca="1" si="293"/>
        <v>10</v>
      </c>
      <c r="O1003" s="94">
        <f t="shared" ca="1" si="294"/>
        <v>2.5877599795741038</v>
      </c>
      <c r="P1003" s="94">
        <f t="shared" ca="1" si="295"/>
        <v>25.877599795741034</v>
      </c>
      <c r="Q1003" s="94">
        <f t="shared" ca="1" si="296"/>
        <v>25.877599795741034</v>
      </c>
      <c r="R1003" s="94">
        <f t="shared" ca="1" si="297"/>
        <v>2.5877599795741033</v>
      </c>
      <c r="S1003" s="94">
        <f t="shared" ca="1" si="298"/>
        <v>2.5877599795741038</v>
      </c>
      <c r="T1003" s="4">
        <f t="shared" ca="1" si="299"/>
        <v>0</v>
      </c>
      <c r="U1003" s="46">
        <f t="shared" ca="1" si="300"/>
        <v>1433.8868633777442</v>
      </c>
      <c r="V1003" s="4">
        <f t="shared" ca="1" si="301"/>
        <v>0</v>
      </c>
      <c r="W1003" s="13">
        <f t="shared" ca="1" si="302"/>
        <v>13775.57949336966</v>
      </c>
      <c r="X1003" s="4">
        <f t="shared" ca="1" si="303"/>
        <v>0</v>
      </c>
    </row>
    <row r="1004" spans="1:24">
      <c r="A1004">
        <v>3</v>
      </c>
      <c r="B1004">
        <v>2</v>
      </c>
      <c r="C1004">
        <f t="shared" si="285"/>
        <v>7</v>
      </c>
      <c r="D1004">
        <f t="shared" si="286"/>
        <v>5</v>
      </c>
      <c r="E1004">
        <f t="shared" si="287"/>
        <v>3</v>
      </c>
      <c r="F1004" s="100">
        <f t="shared" ca="1" si="288"/>
        <v>0</v>
      </c>
      <c r="G1004">
        <v>1</v>
      </c>
      <c r="H1004">
        <v>1</v>
      </c>
      <c r="I1004">
        <v>2</v>
      </c>
      <c r="J1004" s="1">
        <f t="shared" ca="1" si="289"/>
        <v>9.2178405000000246E-6</v>
      </c>
      <c r="K1004" s="1">
        <f t="shared" ca="1" si="290"/>
        <v>0</v>
      </c>
      <c r="L1004" s="13">
        <f t="shared" ca="1" si="291"/>
        <v>156</v>
      </c>
      <c r="M1004" s="7">
        <f t="shared" ca="1" si="292"/>
        <v>844</v>
      </c>
      <c r="N1004" s="44">
        <f t="shared" ca="1" si="293"/>
        <v>10</v>
      </c>
      <c r="O1004" s="94">
        <f t="shared" ca="1" si="294"/>
        <v>2.5877599795741038</v>
      </c>
      <c r="P1004" s="94">
        <f t="shared" ca="1" si="295"/>
        <v>25.877599795741034</v>
      </c>
      <c r="Q1004" s="94">
        <f t="shared" ca="1" si="296"/>
        <v>25.877599795741034</v>
      </c>
      <c r="R1004" s="94">
        <f t="shared" ca="1" si="297"/>
        <v>2.5877599795741033</v>
      </c>
      <c r="S1004" s="94">
        <f t="shared" ca="1" si="298"/>
        <v>2.5877599795741038</v>
      </c>
      <c r="T1004" s="4">
        <f t="shared" ca="1" si="299"/>
        <v>0</v>
      </c>
      <c r="U1004" s="46">
        <f t="shared" ca="1" si="300"/>
        <v>1420.8868633777442</v>
      </c>
      <c r="V1004" s="4">
        <f t="shared" ca="1" si="301"/>
        <v>0</v>
      </c>
      <c r="W1004" s="13">
        <f t="shared" ca="1" si="302"/>
        <v>13109.909197897776</v>
      </c>
      <c r="X1004" s="4">
        <f t="shared" ca="1" si="303"/>
        <v>0</v>
      </c>
    </row>
    <row r="1005" spans="1:24">
      <c r="A1005">
        <v>3</v>
      </c>
      <c r="B1005">
        <v>2</v>
      </c>
      <c r="C1005">
        <f t="shared" si="285"/>
        <v>7</v>
      </c>
      <c r="D1005">
        <f t="shared" si="286"/>
        <v>5</v>
      </c>
      <c r="E1005">
        <f t="shared" si="287"/>
        <v>3</v>
      </c>
      <c r="F1005" s="100">
        <f t="shared" ca="1" si="288"/>
        <v>0</v>
      </c>
      <c r="G1005">
        <v>1</v>
      </c>
      <c r="H1005">
        <v>1</v>
      </c>
      <c r="I1005">
        <v>1</v>
      </c>
      <c r="J1005" s="1">
        <f t="shared" ca="1" si="289"/>
        <v>4.6554750000000167E-8</v>
      </c>
      <c r="K1005" s="1">
        <f t="shared" ca="1" si="290"/>
        <v>0</v>
      </c>
      <c r="L1005" s="13">
        <f t="shared" ca="1" si="291"/>
        <v>143</v>
      </c>
      <c r="M1005" s="7">
        <f t="shared" ca="1" si="292"/>
        <v>857</v>
      </c>
      <c r="N1005" s="44">
        <f t="shared" ca="1" si="293"/>
        <v>10</v>
      </c>
      <c r="O1005" s="94">
        <f t="shared" ca="1" si="294"/>
        <v>2.5877599795741038</v>
      </c>
      <c r="P1005" s="94">
        <f t="shared" ca="1" si="295"/>
        <v>25.877599795741034</v>
      </c>
      <c r="Q1005" s="94">
        <f t="shared" ca="1" si="296"/>
        <v>25.877599795741034</v>
      </c>
      <c r="R1005" s="94">
        <f t="shared" ca="1" si="297"/>
        <v>2.5877599795741033</v>
      </c>
      <c r="S1005" s="94">
        <f t="shared" ca="1" si="298"/>
        <v>2.5877599795741038</v>
      </c>
      <c r="T1005" s="4">
        <f t="shared" ca="1" si="299"/>
        <v>0</v>
      </c>
      <c r="U1005" s="46">
        <f t="shared" ca="1" si="300"/>
        <v>1407.8868633777442</v>
      </c>
      <c r="V1005" s="4">
        <f t="shared" ca="1" si="301"/>
        <v>0</v>
      </c>
      <c r="W1005" s="13">
        <f t="shared" ca="1" si="302"/>
        <v>12444.238902425894</v>
      </c>
      <c r="X1005" s="4">
        <f t="shared" ca="1" si="303"/>
        <v>0</v>
      </c>
    </row>
    <row r="1006" spans="1:24">
      <c r="A1006">
        <v>3</v>
      </c>
      <c r="B1006">
        <v>2</v>
      </c>
      <c r="C1006">
        <f t="shared" si="285"/>
        <v>7</v>
      </c>
      <c r="D1006">
        <f t="shared" si="286"/>
        <v>5</v>
      </c>
      <c r="E1006">
        <f t="shared" si="287"/>
        <v>3</v>
      </c>
      <c r="F1006" s="100">
        <f t="shared" ca="1" si="288"/>
        <v>0</v>
      </c>
      <c r="G1006">
        <v>1</v>
      </c>
      <c r="H1006">
        <v>1</v>
      </c>
      <c r="I1006">
        <v>0</v>
      </c>
      <c r="J1006" s="1">
        <f t="shared" ca="1" si="289"/>
        <v>9.4050000000000427E-11</v>
      </c>
      <c r="K1006" s="1">
        <f t="shared" ca="1" si="290"/>
        <v>0</v>
      </c>
      <c r="L1006" s="13">
        <f t="shared" ca="1" si="291"/>
        <v>130</v>
      </c>
      <c r="M1006" s="7">
        <f t="shared" ca="1" si="292"/>
        <v>870</v>
      </c>
      <c r="N1006" s="44">
        <f t="shared" ca="1" si="293"/>
        <v>10</v>
      </c>
      <c r="O1006" s="94">
        <f t="shared" ca="1" si="294"/>
        <v>2.5877599795741038</v>
      </c>
      <c r="P1006" s="94">
        <f t="shared" ca="1" si="295"/>
        <v>25.877599795741034</v>
      </c>
      <c r="Q1006" s="94">
        <f t="shared" ca="1" si="296"/>
        <v>25.877599795741034</v>
      </c>
      <c r="R1006" s="94">
        <f t="shared" ca="1" si="297"/>
        <v>2.5877599795741033</v>
      </c>
      <c r="S1006" s="94">
        <f t="shared" ca="1" si="298"/>
        <v>2.5877599795741038</v>
      </c>
      <c r="T1006" s="4">
        <f t="shared" ca="1" si="299"/>
        <v>0</v>
      </c>
      <c r="U1006" s="46">
        <f t="shared" ca="1" si="300"/>
        <v>1394.8868633777442</v>
      </c>
      <c r="V1006" s="4">
        <f t="shared" ca="1" si="301"/>
        <v>0</v>
      </c>
      <c r="W1006" s="13">
        <f t="shared" ca="1" si="302"/>
        <v>11778.56860695401</v>
      </c>
      <c r="X1006" s="4">
        <f t="shared" ca="1" si="303"/>
        <v>0</v>
      </c>
    </row>
    <row r="1007" spans="1:24">
      <c r="A1007">
        <v>3</v>
      </c>
      <c r="B1007">
        <v>2</v>
      </c>
      <c r="C1007">
        <f t="shared" si="285"/>
        <v>7</v>
      </c>
      <c r="D1007">
        <f t="shared" si="286"/>
        <v>5</v>
      </c>
      <c r="E1007">
        <f t="shared" si="287"/>
        <v>3</v>
      </c>
      <c r="F1007" s="100">
        <f t="shared" ca="1" si="288"/>
        <v>0</v>
      </c>
      <c r="G1007">
        <v>1</v>
      </c>
      <c r="H1007">
        <v>0</v>
      </c>
      <c r="I1007">
        <v>7</v>
      </c>
      <c r="J1007" s="1">
        <f t="shared" ca="1" si="289"/>
        <v>0</v>
      </c>
      <c r="K1007" s="1">
        <f t="shared" ca="1" si="290"/>
        <v>0</v>
      </c>
      <c r="L1007" s="13">
        <f t="shared" ca="1" si="291"/>
        <v>156</v>
      </c>
      <c r="M1007" s="7">
        <f t="shared" ca="1" si="292"/>
        <v>844</v>
      </c>
      <c r="N1007" s="44">
        <f t="shared" ca="1" si="293"/>
        <v>10</v>
      </c>
      <c r="O1007" s="94">
        <f t="shared" ca="1" si="294"/>
        <v>2.5877599795741038</v>
      </c>
      <c r="P1007" s="94">
        <f t="shared" ca="1" si="295"/>
        <v>25.877599795741034</v>
      </c>
      <c r="Q1007" s="94">
        <f t="shared" ca="1" si="296"/>
        <v>25.877599795741034</v>
      </c>
      <c r="R1007" s="94">
        <f t="shared" ca="1" si="297"/>
        <v>2.5877599795741033</v>
      </c>
      <c r="S1007" s="94">
        <f t="shared" ca="1" si="298"/>
        <v>2.5877599795741038</v>
      </c>
      <c r="T1007" s="4">
        <f t="shared" ca="1" si="299"/>
        <v>0</v>
      </c>
      <c r="U1007" s="46">
        <f t="shared" ca="1" si="300"/>
        <v>1420.8868633777442</v>
      </c>
      <c r="V1007" s="4">
        <f t="shared" ca="1" si="301"/>
        <v>0</v>
      </c>
      <c r="W1007" s="13">
        <f t="shared" ca="1" si="302"/>
        <v>15972.716608816479</v>
      </c>
      <c r="X1007" s="4">
        <f t="shared" ca="1" si="303"/>
        <v>0</v>
      </c>
    </row>
    <row r="1008" spans="1:24">
      <c r="A1008">
        <v>3</v>
      </c>
      <c r="B1008">
        <v>2</v>
      </c>
      <c r="C1008">
        <f t="shared" si="285"/>
        <v>7</v>
      </c>
      <c r="D1008">
        <f t="shared" si="286"/>
        <v>5</v>
      </c>
      <c r="E1008">
        <f t="shared" si="287"/>
        <v>3</v>
      </c>
      <c r="F1008" s="100">
        <f t="shared" ca="1" si="288"/>
        <v>0</v>
      </c>
      <c r="G1008">
        <v>1</v>
      </c>
      <c r="H1008">
        <v>0</v>
      </c>
      <c r="I1008">
        <v>6</v>
      </c>
      <c r="J1008" s="1">
        <f t="shared" ca="1" si="289"/>
        <v>0</v>
      </c>
      <c r="K1008" s="1">
        <f t="shared" ca="1" si="290"/>
        <v>0</v>
      </c>
      <c r="L1008" s="13">
        <f t="shared" ca="1" si="291"/>
        <v>143</v>
      </c>
      <c r="M1008" s="7">
        <f t="shared" ca="1" si="292"/>
        <v>857</v>
      </c>
      <c r="N1008" s="44">
        <f t="shared" ca="1" si="293"/>
        <v>10</v>
      </c>
      <c r="O1008" s="94">
        <f t="shared" ca="1" si="294"/>
        <v>2.5877599795741038</v>
      </c>
      <c r="P1008" s="94">
        <f t="shared" ca="1" si="295"/>
        <v>25.877599795741034</v>
      </c>
      <c r="Q1008" s="94">
        <f t="shared" ca="1" si="296"/>
        <v>25.877599795741034</v>
      </c>
      <c r="R1008" s="94">
        <f t="shared" ca="1" si="297"/>
        <v>2.5877599795741033</v>
      </c>
      <c r="S1008" s="94">
        <f t="shared" ca="1" si="298"/>
        <v>2.5877599795741038</v>
      </c>
      <c r="T1008" s="4">
        <f t="shared" ca="1" si="299"/>
        <v>0</v>
      </c>
      <c r="U1008" s="46">
        <f t="shared" ca="1" si="300"/>
        <v>1407.8868633777442</v>
      </c>
      <c r="V1008" s="4">
        <f t="shared" ca="1" si="301"/>
        <v>0</v>
      </c>
      <c r="W1008" s="13">
        <f t="shared" ca="1" si="302"/>
        <v>15307.046313344596</v>
      </c>
      <c r="X1008" s="4">
        <f t="shared" ca="1" si="303"/>
        <v>0</v>
      </c>
    </row>
    <row r="1009" spans="1:24">
      <c r="A1009">
        <v>3</v>
      </c>
      <c r="B1009">
        <v>2</v>
      </c>
      <c r="C1009">
        <f t="shared" si="285"/>
        <v>7</v>
      </c>
      <c r="D1009">
        <f t="shared" si="286"/>
        <v>5</v>
      </c>
      <c r="E1009">
        <f t="shared" si="287"/>
        <v>3</v>
      </c>
      <c r="F1009" s="100">
        <f t="shared" ca="1" si="288"/>
        <v>0</v>
      </c>
      <c r="G1009">
        <v>1</v>
      </c>
      <c r="H1009">
        <v>0</v>
      </c>
      <c r="I1009">
        <v>5</v>
      </c>
      <c r="J1009" s="1">
        <f t="shared" ca="1" si="289"/>
        <v>9.0344054740500064E-3</v>
      </c>
      <c r="K1009" s="1">
        <f t="shared" ca="1" si="290"/>
        <v>0</v>
      </c>
      <c r="L1009" s="13">
        <f t="shared" ca="1" si="291"/>
        <v>130</v>
      </c>
      <c r="M1009" s="7">
        <f t="shared" ca="1" si="292"/>
        <v>870</v>
      </c>
      <c r="N1009" s="44">
        <f t="shared" ca="1" si="293"/>
        <v>10</v>
      </c>
      <c r="O1009" s="94">
        <f t="shared" ca="1" si="294"/>
        <v>2.5877599795741038</v>
      </c>
      <c r="P1009" s="94">
        <f t="shared" ca="1" si="295"/>
        <v>25.877599795741034</v>
      </c>
      <c r="Q1009" s="94">
        <f t="shared" ca="1" si="296"/>
        <v>25.877599795741034</v>
      </c>
      <c r="R1009" s="94">
        <f t="shared" ca="1" si="297"/>
        <v>2.5877599795741033</v>
      </c>
      <c r="S1009" s="94">
        <f t="shared" ca="1" si="298"/>
        <v>2.5877599795741038</v>
      </c>
      <c r="T1009" s="4">
        <f t="shared" ca="1" si="299"/>
        <v>0</v>
      </c>
      <c r="U1009" s="46">
        <f t="shared" ca="1" si="300"/>
        <v>1394.8868633777442</v>
      </c>
      <c r="V1009" s="4">
        <f t="shared" ca="1" si="301"/>
        <v>0</v>
      </c>
      <c r="W1009" s="13">
        <f t="shared" ca="1" si="302"/>
        <v>14641.376017872713</v>
      </c>
      <c r="X1009" s="4">
        <f t="shared" ca="1" si="303"/>
        <v>0</v>
      </c>
    </row>
    <row r="1010" spans="1:24">
      <c r="A1010">
        <v>3</v>
      </c>
      <c r="B1010">
        <v>2</v>
      </c>
      <c r="C1010">
        <f t="shared" si="285"/>
        <v>7</v>
      </c>
      <c r="D1010">
        <f t="shared" si="286"/>
        <v>5</v>
      </c>
      <c r="E1010">
        <f t="shared" si="287"/>
        <v>3</v>
      </c>
      <c r="F1010" s="100">
        <f t="shared" ca="1" si="288"/>
        <v>0</v>
      </c>
      <c r="G1010">
        <v>1</v>
      </c>
      <c r="H1010">
        <v>0</v>
      </c>
      <c r="I1010">
        <v>4</v>
      </c>
      <c r="J1010" s="1">
        <f t="shared" ca="1" si="289"/>
        <v>4.5628310475000076E-4</v>
      </c>
      <c r="K1010" s="1">
        <f t="shared" ca="1" si="290"/>
        <v>0</v>
      </c>
      <c r="L1010" s="13">
        <f t="shared" ca="1" si="291"/>
        <v>117</v>
      </c>
      <c r="M1010" s="7">
        <f t="shared" ca="1" si="292"/>
        <v>883</v>
      </c>
      <c r="N1010" s="44">
        <f t="shared" ca="1" si="293"/>
        <v>10</v>
      </c>
      <c r="O1010" s="94">
        <f t="shared" ca="1" si="294"/>
        <v>2.5877599795741038</v>
      </c>
      <c r="P1010" s="94">
        <f t="shared" ca="1" si="295"/>
        <v>25.877599795741034</v>
      </c>
      <c r="Q1010" s="94">
        <f t="shared" ca="1" si="296"/>
        <v>25.877599795741034</v>
      </c>
      <c r="R1010" s="94">
        <f t="shared" ca="1" si="297"/>
        <v>2.5877599795741033</v>
      </c>
      <c r="S1010" s="94">
        <f t="shared" ca="1" si="298"/>
        <v>2.5877599795741038</v>
      </c>
      <c r="T1010" s="4">
        <f t="shared" ca="1" si="299"/>
        <v>0</v>
      </c>
      <c r="U1010" s="46">
        <f t="shared" ca="1" si="300"/>
        <v>1381.8868633777442</v>
      </c>
      <c r="V1010" s="4">
        <f t="shared" ca="1" si="301"/>
        <v>0</v>
      </c>
      <c r="W1010" s="13">
        <f t="shared" ca="1" si="302"/>
        <v>13975.705722400829</v>
      </c>
      <c r="X1010" s="4">
        <f t="shared" ca="1" si="303"/>
        <v>0</v>
      </c>
    </row>
    <row r="1011" spans="1:24">
      <c r="A1011">
        <v>3</v>
      </c>
      <c r="B1011">
        <v>2</v>
      </c>
      <c r="C1011">
        <f t="shared" si="285"/>
        <v>7</v>
      </c>
      <c r="D1011">
        <f t="shared" si="286"/>
        <v>5</v>
      </c>
      <c r="E1011">
        <f t="shared" si="287"/>
        <v>3</v>
      </c>
      <c r="F1011" s="100">
        <f t="shared" ca="1" si="288"/>
        <v>0</v>
      </c>
      <c r="G1011">
        <v>1</v>
      </c>
      <c r="H1011">
        <v>0</v>
      </c>
      <c r="I1011">
        <v>3</v>
      </c>
      <c r="J1011" s="1">
        <f t="shared" ca="1" si="289"/>
        <v>9.2178405000000246E-6</v>
      </c>
      <c r="K1011" s="1">
        <f t="shared" ca="1" si="290"/>
        <v>0</v>
      </c>
      <c r="L1011" s="13">
        <f t="shared" ca="1" si="291"/>
        <v>104</v>
      </c>
      <c r="M1011" s="7">
        <f t="shared" ca="1" si="292"/>
        <v>896</v>
      </c>
      <c r="N1011" s="44">
        <f t="shared" ca="1" si="293"/>
        <v>11</v>
      </c>
      <c r="O1011" s="94">
        <f t="shared" ca="1" si="294"/>
        <v>2.8265749241644089</v>
      </c>
      <c r="P1011" s="94">
        <f t="shared" ca="1" si="295"/>
        <v>27.071674518692554</v>
      </c>
      <c r="Q1011" s="94">
        <f t="shared" ca="1" si="296"/>
        <v>25.877599795741034</v>
      </c>
      <c r="R1011" s="94">
        <f t="shared" ca="1" si="297"/>
        <v>2.6474637157216794</v>
      </c>
      <c r="S1011" s="94">
        <f t="shared" ca="1" si="298"/>
        <v>2.8265749241644089</v>
      </c>
      <c r="T1011" s="4">
        <f t="shared" ca="1" si="299"/>
        <v>0</v>
      </c>
      <c r="U1011" s="46">
        <f t="shared" ca="1" si="300"/>
        <v>1466.7163216869442</v>
      </c>
      <c r="V1011" s="4">
        <f t="shared" ca="1" si="301"/>
        <v>0</v>
      </c>
      <c r="W1011" s="13">
        <f t="shared" ca="1" si="302"/>
        <v>13310.035426928947</v>
      </c>
      <c r="X1011" s="4">
        <f t="shared" ca="1" si="303"/>
        <v>0</v>
      </c>
    </row>
    <row r="1012" spans="1:24">
      <c r="A1012">
        <v>3</v>
      </c>
      <c r="B1012">
        <v>2</v>
      </c>
      <c r="C1012">
        <f t="shared" si="285"/>
        <v>7</v>
      </c>
      <c r="D1012">
        <f t="shared" si="286"/>
        <v>5</v>
      </c>
      <c r="E1012">
        <f t="shared" si="287"/>
        <v>3</v>
      </c>
      <c r="F1012" s="100">
        <f t="shared" ca="1" si="288"/>
        <v>0</v>
      </c>
      <c r="G1012">
        <v>1</v>
      </c>
      <c r="H1012">
        <v>0</v>
      </c>
      <c r="I1012">
        <v>2</v>
      </c>
      <c r="J1012" s="1">
        <f t="shared" ca="1" si="289"/>
        <v>9.3109500000000335E-8</v>
      </c>
      <c r="K1012" s="1">
        <f t="shared" ca="1" si="290"/>
        <v>0</v>
      </c>
      <c r="L1012" s="13">
        <f t="shared" ca="1" si="291"/>
        <v>91</v>
      </c>
      <c r="M1012" s="7">
        <f t="shared" ca="1" si="292"/>
        <v>909</v>
      </c>
      <c r="N1012" s="44">
        <f t="shared" ca="1" si="293"/>
        <v>11</v>
      </c>
      <c r="O1012" s="94">
        <f t="shared" ca="1" si="294"/>
        <v>2.8265749241644089</v>
      </c>
      <c r="P1012" s="94">
        <f t="shared" ca="1" si="295"/>
        <v>28.265749241644084</v>
      </c>
      <c r="Q1012" s="94">
        <f t="shared" ca="1" si="296"/>
        <v>27.788119352463475</v>
      </c>
      <c r="R1012" s="94">
        <f t="shared" ca="1" si="297"/>
        <v>2.8026934297053776</v>
      </c>
      <c r="S1012" s="94">
        <f t="shared" ca="1" si="298"/>
        <v>2.8265749241644089</v>
      </c>
      <c r="T1012" s="4">
        <f t="shared" ca="1" si="299"/>
        <v>0</v>
      </c>
      <c r="U1012" s="46">
        <f t="shared" ca="1" si="300"/>
        <v>1453.7163216869442</v>
      </c>
      <c r="V1012" s="4">
        <f t="shared" ca="1" si="301"/>
        <v>0</v>
      </c>
      <c r="W1012" s="13">
        <f t="shared" ca="1" si="302"/>
        <v>12644.365131457063</v>
      </c>
      <c r="X1012" s="4">
        <f t="shared" ca="1" si="303"/>
        <v>0</v>
      </c>
    </row>
    <row r="1013" spans="1:24">
      <c r="A1013">
        <v>3</v>
      </c>
      <c r="B1013">
        <v>2</v>
      </c>
      <c r="C1013">
        <f t="shared" si="285"/>
        <v>7</v>
      </c>
      <c r="D1013">
        <f t="shared" si="286"/>
        <v>5</v>
      </c>
      <c r="E1013">
        <f t="shared" si="287"/>
        <v>3</v>
      </c>
      <c r="F1013" s="100">
        <f t="shared" ca="1" si="288"/>
        <v>0</v>
      </c>
      <c r="G1013">
        <v>1</v>
      </c>
      <c r="H1013">
        <v>0</v>
      </c>
      <c r="I1013">
        <v>1</v>
      </c>
      <c r="J1013" s="1">
        <f t="shared" ca="1" si="289"/>
        <v>4.7025000000000207E-10</v>
      </c>
      <c r="K1013" s="1">
        <f t="shared" ca="1" si="290"/>
        <v>0</v>
      </c>
      <c r="L1013" s="13">
        <f t="shared" ca="1" si="291"/>
        <v>78</v>
      </c>
      <c r="M1013" s="7">
        <f t="shared" ca="1" si="292"/>
        <v>922</v>
      </c>
      <c r="N1013" s="44">
        <f t="shared" ca="1" si="293"/>
        <v>11</v>
      </c>
      <c r="O1013" s="94">
        <f t="shared" ca="1" si="294"/>
        <v>2.8265749241644089</v>
      </c>
      <c r="P1013" s="94">
        <f t="shared" ca="1" si="295"/>
        <v>28.265749241644084</v>
      </c>
      <c r="Q1013" s="94">
        <f t="shared" ca="1" si="296"/>
        <v>28.265749241644084</v>
      </c>
      <c r="R1013" s="94">
        <f t="shared" ca="1" si="297"/>
        <v>2.8265749241644085</v>
      </c>
      <c r="S1013" s="94">
        <f t="shared" ca="1" si="298"/>
        <v>2.8265749241644089</v>
      </c>
      <c r="T1013" s="4">
        <f t="shared" ca="1" si="299"/>
        <v>0</v>
      </c>
      <c r="U1013" s="46">
        <f t="shared" ca="1" si="300"/>
        <v>1440.7163216869442</v>
      </c>
      <c r="V1013" s="4">
        <f t="shared" ca="1" si="301"/>
        <v>0</v>
      </c>
      <c r="W1013" s="13">
        <f t="shared" ca="1" si="302"/>
        <v>11978.694835985181</v>
      </c>
      <c r="X1013" s="4">
        <f t="shared" ca="1" si="303"/>
        <v>0</v>
      </c>
    </row>
    <row r="1014" spans="1:24">
      <c r="A1014">
        <v>3</v>
      </c>
      <c r="B1014">
        <v>2</v>
      </c>
      <c r="C1014">
        <f t="shared" si="285"/>
        <v>7</v>
      </c>
      <c r="D1014">
        <f t="shared" si="286"/>
        <v>5</v>
      </c>
      <c r="E1014">
        <f t="shared" si="287"/>
        <v>3</v>
      </c>
      <c r="F1014" s="100">
        <f t="shared" ca="1" si="288"/>
        <v>0</v>
      </c>
      <c r="G1014">
        <v>1</v>
      </c>
      <c r="H1014">
        <v>0</v>
      </c>
      <c r="I1014">
        <v>0</v>
      </c>
      <c r="J1014" s="1">
        <f t="shared" ca="1" si="289"/>
        <v>9.5000000000000524E-13</v>
      </c>
      <c r="K1014" s="1">
        <f t="shared" ca="1" si="290"/>
        <v>0</v>
      </c>
      <c r="L1014" s="13">
        <f t="shared" ca="1" si="291"/>
        <v>65</v>
      </c>
      <c r="M1014" s="7">
        <f t="shared" ca="1" si="292"/>
        <v>935</v>
      </c>
      <c r="N1014" s="44">
        <f t="shared" ca="1" si="293"/>
        <v>11</v>
      </c>
      <c r="O1014" s="94">
        <f t="shared" ca="1" si="294"/>
        <v>2.8265749241644089</v>
      </c>
      <c r="P1014" s="94">
        <f t="shared" ca="1" si="295"/>
        <v>28.265749241644084</v>
      </c>
      <c r="Q1014" s="94">
        <f t="shared" ca="1" si="296"/>
        <v>28.265749241644084</v>
      </c>
      <c r="R1014" s="94">
        <f t="shared" ca="1" si="297"/>
        <v>2.8265749241644085</v>
      </c>
      <c r="S1014" s="94">
        <f t="shared" ca="1" si="298"/>
        <v>2.8265749241644089</v>
      </c>
      <c r="T1014" s="4">
        <f t="shared" ca="1" si="299"/>
        <v>0</v>
      </c>
      <c r="U1014" s="46">
        <f t="shared" ca="1" si="300"/>
        <v>1427.7163216869442</v>
      </c>
      <c r="V1014" s="4">
        <f t="shared" ca="1" si="301"/>
        <v>0</v>
      </c>
      <c r="W1014" s="13">
        <f t="shared" ca="1" si="302"/>
        <v>11313.024540513297</v>
      </c>
      <c r="X1014" s="4">
        <f t="shared" ca="1" si="303"/>
        <v>0</v>
      </c>
    </row>
    <row r="1015" spans="1:24">
      <c r="A1015">
        <v>3</v>
      </c>
      <c r="B1015">
        <v>2</v>
      </c>
      <c r="C1015">
        <f t="shared" si="285"/>
        <v>7</v>
      </c>
      <c r="D1015">
        <f t="shared" si="286"/>
        <v>5</v>
      </c>
      <c r="E1015">
        <f t="shared" si="287"/>
        <v>3</v>
      </c>
      <c r="F1015" s="100">
        <f t="shared" ca="1" si="288"/>
        <v>0</v>
      </c>
      <c r="G1015">
        <v>0</v>
      </c>
      <c r="H1015">
        <v>1</v>
      </c>
      <c r="I1015">
        <v>7</v>
      </c>
      <c r="J1015" s="1">
        <f t="shared" ca="1" si="289"/>
        <v>0</v>
      </c>
      <c r="K1015" s="1">
        <f t="shared" ca="1" si="290"/>
        <v>0</v>
      </c>
      <c r="L1015" s="13">
        <f t="shared" ca="1" si="291"/>
        <v>156</v>
      </c>
      <c r="M1015" s="7">
        <f t="shared" ca="1" si="292"/>
        <v>844</v>
      </c>
      <c r="N1015" s="44">
        <f t="shared" ca="1" si="293"/>
        <v>10</v>
      </c>
      <c r="O1015" s="94">
        <f t="shared" ca="1" si="294"/>
        <v>2.5877599795741038</v>
      </c>
      <c r="P1015" s="94">
        <f t="shared" ca="1" si="295"/>
        <v>25.877599795741034</v>
      </c>
      <c r="Q1015" s="94">
        <f t="shared" ca="1" si="296"/>
        <v>25.877599795741034</v>
      </c>
      <c r="R1015" s="94">
        <f t="shared" ca="1" si="297"/>
        <v>2.5877599795741033</v>
      </c>
      <c r="S1015" s="94">
        <f t="shared" ca="1" si="298"/>
        <v>2.5877599795741038</v>
      </c>
      <c r="T1015" s="4">
        <f t="shared" ca="1" si="299"/>
        <v>0</v>
      </c>
      <c r="U1015" s="46">
        <f t="shared" ca="1" si="300"/>
        <v>1420.8868633777442</v>
      </c>
      <c r="V1015" s="4">
        <f t="shared" ca="1" si="301"/>
        <v>0</v>
      </c>
      <c r="W1015" s="13">
        <f t="shared" ca="1" si="302"/>
        <v>5125.2361347438955</v>
      </c>
      <c r="X1015" s="4">
        <f t="shared" ca="1" si="303"/>
        <v>0</v>
      </c>
    </row>
    <row r="1016" spans="1:24">
      <c r="A1016">
        <v>3</v>
      </c>
      <c r="B1016">
        <v>2</v>
      </c>
      <c r="C1016">
        <f t="shared" si="285"/>
        <v>7</v>
      </c>
      <c r="D1016">
        <f t="shared" si="286"/>
        <v>5</v>
      </c>
      <c r="E1016">
        <f t="shared" si="287"/>
        <v>3</v>
      </c>
      <c r="F1016" s="100">
        <f t="shared" ca="1" si="288"/>
        <v>0</v>
      </c>
      <c r="G1016">
        <v>0</v>
      </c>
      <c r="H1016">
        <v>1</v>
      </c>
      <c r="I1016">
        <v>6</v>
      </c>
      <c r="J1016" s="1">
        <f t="shared" ca="1" si="289"/>
        <v>0</v>
      </c>
      <c r="K1016" s="1">
        <f t="shared" ca="1" si="290"/>
        <v>0</v>
      </c>
      <c r="L1016" s="13">
        <f t="shared" ca="1" si="291"/>
        <v>143</v>
      </c>
      <c r="M1016" s="7">
        <f t="shared" ca="1" si="292"/>
        <v>857</v>
      </c>
      <c r="N1016" s="44">
        <f t="shared" ca="1" si="293"/>
        <v>10</v>
      </c>
      <c r="O1016" s="94">
        <f t="shared" ca="1" si="294"/>
        <v>2.5877599795741038</v>
      </c>
      <c r="P1016" s="94">
        <f t="shared" ca="1" si="295"/>
        <v>25.877599795741034</v>
      </c>
      <c r="Q1016" s="94">
        <f t="shared" ca="1" si="296"/>
        <v>25.877599795741034</v>
      </c>
      <c r="R1016" s="94">
        <f t="shared" ca="1" si="297"/>
        <v>2.5877599795741033</v>
      </c>
      <c r="S1016" s="94">
        <f t="shared" ca="1" si="298"/>
        <v>2.5877599795741038</v>
      </c>
      <c r="T1016" s="4">
        <f t="shared" ca="1" si="299"/>
        <v>0</v>
      </c>
      <c r="U1016" s="46">
        <f t="shared" ca="1" si="300"/>
        <v>1407.8868633777442</v>
      </c>
      <c r="V1016" s="4">
        <f t="shared" ca="1" si="301"/>
        <v>0</v>
      </c>
      <c r="W1016" s="13">
        <f t="shared" ca="1" si="302"/>
        <v>4459.5658392720125</v>
      </c>
      <c r="X1016" s="4">
        <f t="shared" ca="1" si="303"/>
        <v>0</v>
      </c>
    </row>
    <row r="1017" spans="1:24">
      <c r="A1017">
        <v>3</v>
      </c>
      <c r="B1017">
        <v>2</v>
      </c>
      <c r="C1017">
        <f t="shared" si="285"/>
        <v>7</v>
      </c>
      <c r="D1017">
        <f t="shared" si="286"/>
        <v>5</v>
      </c>
      <c r="E1017">
        <f t="shared" si="287"/>
        <v>3</v>
      </c>
      <c r="F1017" s="100">
        <f t="shared" ca="1" si="288"/>
        <v>0</v>
      </c>
      <c r="G1017">
        <v>0</v>
      </c>
      <c r="H1017">
        <v>1</v>
      </c>
      <c r="I1017">
        <v>5</v>
      </c>
      <c r="J1017" s="1">
        <f t="shared" ca="1" si="289"/>
        <v>4.707400747005E-2</v>
      </c>
      <c r="K1017" s="1">
        <f t="shared" ca="1" si="290"/>
        <v>0</v>
      </c>
      <c r="L1017" s="13">
        <f t="shared" ca="1" si="291"/>
        <v>130</v>
      </c>
      <c r="M1017" s="7">
        <f t="shared" ca="1" si="292"/>
        <v>870</v>
      </c>
      <c r="N1017" s="44">
        <f t="shared" ca="1" si="293"/>
        <v>10</v>
      </c>
      <c r="O1017" s="94">
        <f t="shared" ca="1" si="294"/>
        <v>2.5877599795741038</v>
      </c>
      <c r="P1017" s="94">
        <f t="shared" ca="1" si="295"/>
        <v>25.877599795741034</v>
      </c>
      <c r="Q1017" s="94">
        <f t="shared" ca="1" si="296"/>
        <v>25.877599795741034</v>
      </c>
      <c r="R1017" s="94">
        <f t="shared" ca="1" si="297"/>
        <v>2.5877599795741033</v>
      </c>
      <c r="S1017" s="94">
        <f t="shared" ca="1" si="298"/>
        <v>2.5877599795741038</v>
      </c>
      <c r="T1017" s="4">
        <f t="shared" ca="1" si="299"/>
        <v>0</v>
      </c>
      <c r="U1017" s="46">
        <f t="shared" ca="1" si="300"/>
        <v>1394.8868633777442</v>
      </c>
      <c r="V1017" s="4">
        <f t="shared" ca="1" si="301"/>
        <v>0</v>
      </c>
      <c r="W1017" s="13">
        <f t="shared" ca="1" si="302"/>
        <v>3793.895543800129</v>
      </c>
      <c r="X1017" s="4">
        <f t="shared" ca="1" si="303"/>
        <v>0</v>
      </c>
    </row>
    <row r="1018" spans="1:24">
      <c r="A1018">
        <v>3</v>
      </c>
      <c r="B1018">
        <v>2</v>
      </c>
      <c r="C1018">
        <f t="shared" si="285"/>
        <v>7</v>
      </c>
      <c r="D1018">
        <f t="shared" si="286"/>
        <v>5</v>
      </c>
      <c r="E1018">
        <f t="shared" si="287"/>
        <v>3</v>
      </c>
      <c r="F1018" s="100">
        <f t="shared" ca="1" si="288"/>
        <v>0</v>
      </c>
      <c r="G1018">
        <v>0</v>
      </c>
      <c r="H1018">
        <v>1</v>
      </c>
      <c r="I1018">
        <v>4</v>
      </c>
      <c r="J1018" s="1">
        <f t="shared" ca="1" si="289"/>
        <v>2.377475124750002E-3</v>
      </c>
      <c r="K1018" s="1">
        <f t="shared" ca="1" si="290"/>
        <v>0</v>
      </c>
      <c r="L1018" s="13">
        <f t="shared" ca="1" si="291"/>
        <v>117</v>
      </c>
      <c r="M1018" s="7">
        <f t="shared" ca="1" si="292"/>
        <v>883</v>
      </c>
      <c r="N1018" s="44">
        <f t="shared" ca="1" si="293"/>
        <v>10</v>
      </c>
      <c r="O1018" s="94">
        <f t="shared" ca="1" si="294"/>
        <v>2.5877599795741038</v>
      </c>
      <c r="P1018" s="94">
        <f t="shared" ca="1" si="295"/>
        <v>25.877599795741034</v>
      </c>
      <c r="Q1018" s="94">
        <f t="shared" ca="1" si="296"/>
        <v>25.877599795741034</v>
      </c>
      <c r="R1018" s="94">
        <f t="shared" ca="1" si="297"/>
        <v>2.5877599795741033</v>
      </c>
      <c r="S1018" s="94">
        <f t="shared" ca="1" si="298"/>
        <v>2.5877599795741038</v>
      </c>
      <c r="T1018" s="4">
        <f t="shared" ca="1" si="299"/>
        <v>0</v>
      </c>
      <c r="U1018" s="46">
        <f t="shared" ca="1" si="300"/>
        <v>1381.8868633777442</v>
      </c>
      <c r="V1018" s="4">
        <f t="shared" ca="1" si="301"/>
        <v>0</v>
      </c>
      <c r="W1018" s="13">
        <f t="shared" ca="1" si="302"/>
        <v>3128.2252483282455</v>
      </c>
      <c r="X1018" s="4">
        <f t="shared" ca="1" si="303"/>
        <v>0</v>
      </c>
    </row>
    <row r="1019" spans="1:24">
      <c r="A1019">
        <v>3</v>
      </c>
      <c r="B1019">
        <v>2</v>
      </c>
      <c r="C1019">
        <f t="shared" si="285"/>
        <v>7</v>
      </c>
      <c r="D1019">
        <f t="shared" si="286"/>
        <v>5</v>
      </c>
      <c r="E1019">
        <f t="shared" si="287"/>
        <v>3</v>
      </c>
      <c r="F1019" s="100">
        <f t="shared" ca="1" si="288"/>
        <v>0</v>
      </c>
      <c r="G1019">
        <v>0</v>
      </c>
      <c r="H1019">
        <v>1</v>
      </c>
      <c r="I1019">
        <v>3</v>
      </c>
      <c r="J1019" s="1">
        <f t="shared" ca="1" si="289"/>
        <v>4.8029800500000085E-5</v>
      </c>
      <c r="K1019" s="1">
        <f t="shared" ca="1" si="290"/>
        <v>0</v>
      </c>
      <c r="L1019" s="13">
        <f t="shared" ca="1" si="291"/>
        <v>104</v>
      </c>
      <c r="M1019" s="7">
        <f t="shared" ca="1" si="292"/>
        <v>896</v>
      </c>
      <c r="N1019" s="44">
        <f t="shared" ca="1" si="293"/>
        <v>11</v>
      </c>
      <c r="O1019" s="94">
        <f t="shared" ca="1" si="294"/>
        <v>2.8265749241644089</v>
      </c>
      <c r="P1019" s="94">
        <f t="shared" ca="1" si="295"/>
        <v>27.071674518692554</v>
      </c>
      <c r="Q1019" s="94">
        <f t="shared" ca="1" si="296"/>
        <v>25.877599795741034</v>
      </c>
      <c r="R1019" s="94">
        <f t="shared" ca="1" si="297"/>
        <v>2.6474637157216794</v>
      </c>
      <c r="S1019" s="94">
        <f t="shared" ca="1" si="298"/>
        <v>2.8265749241644089</v>
      </c>
      <c r="T1019" s="4">
        <f t="shared" ca="1" si="299"/>
        <v>0</v>
      </c>
      <c r="U1019" s="46">
        <f t="shared" ca="1" si="300"/>
        <v>1466.7163216869442</v>
      </c>
      <c r="V1019" s="4">
        <f t="shared" ca="1" si="301"/>
        <v>0</v>
      </c>
      <c r="W1019" s="13">
        <f t="shared" ca="1" si="302"/>
        <v>2462.5549528563624</v>
      </c>
      <c r="X1019" s="4">
        <f t="shared" ca="1" si="303"/>
        <v>0</v>
      </c>
    </row>
    <row r="1020" spans="1:24">
      <c r="A1020">
        <v>3</v>
      </c>
      <c r="B1020">
        <v>2</v>
      </c>
      <c r="C1020">
        <f t="shared" si="285"/>
        <v>7</v>
      </c>
      <c r="D1020">
        <f t="shared" si="286"/>
        <v>5</v>
      </c>
      <c r="E1020">
        <f t="shared" si="287"/>
        <v>3</v>
      </c>
      <c r="F1020" s="100">
        <f t="shared" ca="1" si="288"/>
        <v>0</v>
      </c>
      <c r="G1020">
        <v>0</v>
      </c>
      <c r="H1020">
        <v>1</v>
      </c>
      <c r="I1020">
        <v>2</v>
      </c>
      <c r="J1020" s="1">
        <f t="shared" ca="1" si="289"/>
        <v>4.8514950000000139E-7</v>
      </c>
      <c r="K1020" s="1">
        <f t="shared" ca="1" si="290"/>
        <v>0</v>
      </c>
      <c r="L1020" s="13">
        <f t="shared" ca="1" si="291"/>
        <v>91</v>
      </c>
      <c r="M1020" s="7">
        <f t="shared" ca="1" si="292"/>
        <v>909</v>
      </c>
      <c r="N1020" s="44">
        <f t="shared" ca="1" si="293"/>
        <v>11</v>
      </c>
      <c r="O1020" s="94">
        <f t="shared" ca="1" si="294"/>
        <v>2.8265749241644089</v>
      </c>
      <c r="P1020" s="94">
        <f t="shared" ca="1" si="295"/>
        <v>28.265749241644084</v>
      </c>
      <c r="Q1020" s="94">
        <f t="shared" ca="1" si="296"/>
        <v>27.788119352463475</v>
      </c>
      <c r="R1020" s="94">
        <f t="shared" ca="1" si="297"/>
        <v>2.8026934297053776</v>
      </c>
      <c r="S1020" s="94">
        <f t="shared" ca="1" si="298"/>
        <v>2.8265749241644089</v>
      </c>
      <c r="T1020" s="4">
        <f t="shared" ca="1" si="299"/>
        <v>0</v>
      </c>
      <c r="U1020" s="46">
        <f t="shared" ca="1" si="300"/>
        <v>1453.7163216869442</v>
      </c>
      <c r="V1020" s="4">
        <f t="shared" ca="1" si="301"/>
        <v>0</v>
      </c>
      <c r="W1020" s="13">
        <f t="shared" ca="1" si="302"/>
        <v>1796.8846573844794</v>
      </c>
      <c r="X1020" s="4">
        <f t="shared" ca="1" si="303"/>
        <v>0</v>
      </c>
    </row>
    <row r="1021" spans="1:24">
      <c r="A1021">
        <v>3</v>
      </c>
      <c r="B1021">
        <v>2</v>
      </c>
      <c r="C1021">
        <f t="shared" si="285"/>
        <v>7</v>
      </c>
      <c r="D1021">
        <f t="shared" si="286"/>
        <v>5</v>
      </c>
      <c r="E1021">
        <f t="shared" si="287"/>
        <v>3</v>
      </c>
      <c r="F1021" s="100">
        <f t="shared" ca="1" si="288"/>
        <v>0</v>
      </c>
      <c r="G1021">
        <v>0</v>
      </c>
      <c r="H1021">
        <v>1</v>
      </c>
      <c r="I1021">
        <v>1</v>
      </c>
      <c r="J1021" s="1">
        <f t="shared" ca="1" si="289"/>
        <v>2.450250000000009E-9</v>
      </c>
      <c r="K1021" s="1">
        <f t="shared" ca="1" si="290"/>
        <v>0</v>
      </c>
      <c r="L1021" s="13">
        <f t="shared" ca="1" si="291"/>
        <v>78</v>
      </c>
      <c r="M1021" s="7">
        <f t="shared" ca="1" si="292"/>
        <v>922</v>
      </c>
      <c r="N1021" s="44">
        <f t="shared" ca="1" si="293"/>
        <v>11</v>
      </c>
      <c r="O1021" s="94">
        <f t="shared" ca="1" si="294"/>
        <v>2.8265749241644089</v>
      </c>
      <c r="P1021" s="94">
        <f t="shared" ca="1" si="295"/>
        <v>28.265749241644084</v>
      </c>
      <c r="Q1021" s="94">
        <f t="shared" ca="1" si="296"/>
        <v>28.265749241644084</v>
      </c>
      <c r="R1021" s="94">
        <f t="shared" ca="1" si="297"/>
        <v>2.8265749241644085</v>
      </c>
      <c r="S1021" s="94">
        <f t="shared" ca="1" si="298"/>
        <v>2.8265749241644089</v>
      </c>
      <c r="T1021" s="4">
        <f t="shared" ca="1" si="299"/>
        <v>0</v>
      </c>
      <c r="U1021" s="46">
        <f t="shared" ca="1" si="300"/>
        <v>1440.7163216869442</v>
      </c>
      <c r="V1021" s="4">
        <f t="shared" ca="1" si="301"/>
        <v>0</v>
      </c>
      <c r="W1021" s="13">
        <f t="shared" ca="1" si="302"/>
        <v>1131.2143619125961</v>
      </c>
      <c r="X1021" s="4">
        <f t="shared" ca="1" si="303"/>
        <v>0</v>
      </c>
    </row>
    <row r="1022" spans="1:24">
      <c r="A1022">
        <v>3</v>
      </c>
      <c r="B1022">
        <v>2</v>
      </c>
      <c r="C1022">
        <f t="shared" si="285"/>
        <v>7</v>
      </c>
      <c r="D1022">
        <f t="shared" si="286"/>
        <v>5</v>
      </c>
      <c r="E1022">
        <f t="shared" si="287"/>
        <v>3</v>
      </c>
      <c r="F1022" s="100">
        <f t="shared" ca="1" si="288"/>
        <v>0</v>
      </c>
      <c r="G1022">
        <v>0</v>
      </c>
      <c r="H1022">
        <v>1</v>
      </c>
      <c r="I1022">
        <v>0</v>
      </c>
      <c r="J1022" s="1">
        <f t="shared" ca="1" si="289"/>
        <v>4.9500000000000231E-12</v>
      </c>
      <c r="K1022" s="1">
        <f t="shared" ca="1" si="290"/>
        <v>0</v>
      </c>
      <c r="L1022" s="13">
        <f t="shared" ca="1" si="291"/>
        <v>65</v>
      </c>
      <c r="M1022" s="7">
        <f t="shared" ca="1" si="292"/>
        <v>935</v>
      </c>
      <c r="N1022" s="44">
        <f t="shared" ca="1" si="293"/>
        <v>11</v>
      </c>
      <c r="O1022" s="94">
        <f t="shared" ca="1" si="294"/>
        <v>2.8265749241644089</v>
      </c>
      <c r="P1022" s="94">
        <f t="shared" ca="1" si="295"/>
        <v>28.265749241644084</v>
      </c>
      <c r="Q1022" s="94">
        <f t="shared" ca="1" si="296"/>
        <v>28.265749241644084</v>
      </c>
      <c r="R1022" s="94">
        <f t="shared" ca="1" si="297"/>
        <v>2.8265749241644085</v>
      </c>
      <c r="S1022" s="94">
        <f t="shared" ca="1" si="298"/>
        <v>2.8265749241644089</v>
      </c>
      <c r="T1022" s="4">
        <f t="shared" ca="1" si="299"/>
        <v>0</v>
      </c>
      <c r="U1022" s="46">
        <f t="shared" ca="1" si="300"/>
        <v>1427.7163216869442</v>
      </c>
      <c r="V1022" s="4">
        <f t="shared" ca="1" si="301"/>
        <v>0</v>
      </c>
      <c r="W1022" s="13">
        <f t="shared" ca="1" si="302"/>
        <v>465.54406644071304</v>
      </c>
      <c r="X1022" s="4">
        <f t="shared" ca="1" si="303"/>
        <v>0</v>
      </c>
    </row>
    <row r="1023" spans="1:24">
      <c r="A1023">
        <v>3</v>
      </c>
      <c r="B1023">
        <v>2</v>
      </c>
      <c r="C1023">
        <f t="shared" si="285"/>
        <v>7</v>
      </c>
      <c r="D1023">
        <f t="shared" si="286"/>
        <v>5</v>
      </c>
      <c r="E1023">
        <f t="shared" si="287"/>
        <v>3</v>
      </c>
      <c r="F1023" s="100">
        <f t="shared" ca="1" si="288"/>
        <v>0</v>
      </c>
      <c r="G1023">
        <v>0</v>
      </c>
      <c r="H1023">
        <v>0</v>
      </c>
      <c r="I1023">
        <v>7</v>
      </c>
      <c r="J1023" s="1">
        <f t="shared" ca="1" si="289"/>
        <v>0</v>
      </c>
      <c r="K1023" s="1">
        <f t="shared" ca="1" si="290"/>
        <v>0</v>
      </c>
      <c r="L1023" s="13">
        <f t="shared" ca="1" si="291"/>
        <v>91</v>
      </c>
      <c r="M1023" s="7">
        <f t="shared" ca="1" si="292"/>
        <v>909</v>
      </c>
      <c r="N1023" s="44">
        <f t="shared" ca="1" si="293"/>
        <v>11</v>
      </c>
      <c r="O1023" s="94">
        <f t="shared" ca="1" si="294"/>
        <v>2.8265749241644089</v>
      </c>
      <c r="P1023" s="94">
        <f t="shared" ca="1" si="295"/>
        <v>28.265749241644084</v>
      </c>
      <c r="Q1023" s="94">
        <f t="shared" ca="1" si="296"/>
        <v>27.788119352463475</v>
      </c>
      <c r="R1023" s="94">
        <f t="shared" ca="1" si="297"/>
        <v>2.8026934297053776</v>
      </c>
      <c r="S1023" s="94">
        <f t="shared" ca="1" si="298"/>
        <v>2.8265749241644089</v>
      </c>
      <c r="T1023" s="4">
        <f t="shared" ca="1" si="299"/>
        <v>0</v>
      </c>
      <c r="U1023" s="46">
        <f t="shared" ca="1" si="300"/>
        <v>1453.7163216869442</v>
      </c>
      <c r="V1023" s="4">
        <f t="shared" ca="1" si="301"/>
        <v>0</v>
      </c>
      <c r="W1023" s="13">
        <f t="shared" ca="1" si="302"/>
        <v>4659.6920683031822</v>
      </c>
      <c r="X1023" s="4">
        <f t="shared" ca="1" si="303"/>
        <v>0</v>
      </c>
    </row>
    <row r="1024" spans="1:24">
      <c r="A1024">
        <v>3</v>
      </c>
      <c r="B1024">
        <v>2</v>
      </c>
      <c r="C1024">
        <f t="shared" si="285"/>
        <v>7</v>
      </c>
      <c r="D1024">
        <f t="shared" si="286"/>
        <v>5</v>
      </c>
      <c r="E1024">
        <f t="shared" si="287"/>
        <v>3</v>
      </c>
      <c r="F1024" s="100">
        <f t="shared" ca="1" si="288"/>
        <v>0</v>
      </c>
      <c r="G1024">
        <v>0</v>
      </c>
      <c r="H1024">
        <v>0</v>
      </c>
      <c r="I1024">
        <v>6</v>
      </c>
      <c r="J1024" s="1">
        <f t="shared" ca="1" si="289"/>
        <v>0</v>
      </c>
      <c r="K1024" s="1">
        <f t="shared" ca="1" si="290"/>
        <v>0</v>
      </c>
      <c r="L1024" s="13">
        <f t="shared" ca="1" si="291"/>
        <v>78</v>
      </c>
      <c r="M1024" s="7">
        <f t="shared" ca="1" si="292"/>
        <v>922</v>
      </c>
      <c r="N1024" s="44">
        <f t="shared" ca="1" si="293"/>
        <v>11</v>
      </c>
      <c r="O1024" s="94">
        <f t="shared" ca="1" si="294"/>
        <v>2.8265749241644089</v>
      </c>
      <c r="P1024" s="94">
        <f t="shared" ca="1" si="295"/>
        <v>28.265749241644084</v>
      </c>
      <c r="Q1024" s="94">
        <f t="shared" ca="1" si="296"/>
        <v>28.265749241644084</v>
      </c>
      <c r="R1024" s="94">
        <f t="shared" ca="1" si="297"/>
        <v>2.8265749241644085</v>
      </c>
      <c r="S1024" s="94">
        <f t="shared" ca="1" si="298"/>
        <v>2.8265749241644089</v>
      </c>
      <c r="T1024" s="4">
        <f t="shared" ca="1" si="299"/>
        <v>0</v>
      </c>
      <c r="U1024" s="46">
        <f t="shared" ca="1" si="300"/>
        <v>1440.7163216869442</v>
      </c>
      <c r="V1024" s="4">
        <f t="shared" ca="1" si="301"/>
        <v>0</v>
      </c>
      <c r="W1024" s="13">
        <f t="shared" ca="1" si="302"/>
        <v>3994.0217728312991</v>
      </c>
      <c r="X1024" s="4">
        <f t="shared" ca="1" si="303"/>
        <v>0</v>
      </c>
    </row>
    <row r="1025" spans="1:24">
      <c r="A1025">
        <v>3</v>
      </c>
      <c r="B1025">
        <v>2</v>
      </c>
      <c r="C1025">
        <f t="shared" si="285"/>
        <v>7</v>
      </c>
      <c r="D1025">
        <f t="shared" si="286"/>
        <v>5</v>
      </c>
      <c r="E1025">
        <f t="shared" si="287"/>
        <v>3</v>
      </c>
      <c r="F1025" s="100">
        <f t="shared" ca="1" si="288"/>
        <v>0</v>
      </c>
      <c r="G1025">
        <v>0</v>
      </c>
      <c r="H1025">
        <v>0</v>
      </c>
      <c r="I1025">
        <v>5</v>
      </c>
      <c r="J1025" s="1">
        <f t="shared" ca="1" si="289"/>
        <v>4.7549502495000039E-4</v>
      </c>
      <c r="K1025" s="1">
        <f t="shared" ca="1" si="290"/>
        <v>0</v>
      </c>
      <c r="L1025" s="13">
        <f t="shared" ca="1" si="291"/>
        <v>65</v>
      </c>
      <c r="M1025" s="7">
        <f t="shared" ca="1" si="292"/>
        <v>935</v>
      </c>
      <c r="N1025" s="44">
        <f t="shared" ca="1" si="293"/>
        <v>11</v>
      </c>
      <c r="O1025" s="94">
        <f t="shared" ca="1" si="294"/>
        <v>2.8265749241644089</v>
      </c>
      <c r="P1025" s="94">
        <f t="shared" ca="1" si="295"/>
        <v>28.265749241644084</v>
      </c>
      <c r="Q1025" s="94">
        <f t="shared" ca="1" si="296"/>
        <v>28.265749241644084</v>
      </c>
      <c r="R1025" s="94">
        <f t="shared" ca="1" si="297"/>
        <v>2.8265749241644085</v>
      </c>
      <c r="S1025" s="94">
        <f t="shared" ca="1" si="298"/>
        <v>2.8265749241644089</v>
      </c>
      <c r="T1025" s="4">
        <f t="shared" ca="1" si="299"/>
        <v>0</v>
      </c>
      <c r="U1025" s="46">
        <f t="shared" ca="1" si="300"/>
        <v>1427.7163216869442</v>
      </c>
      <c r="V1025" s="4">
        <f t="shared" ca="1" si="301"/>
        <v>0</v>
      </c>
      <c r="W1025" s="13">
        <f t="shared" ca="1" si="302"/>
        <v>3328.3514773594161</v>
      </c>
      <c r="X1025" s="4">
        <f t="shared" ca="1" si="303"/>
        <v>0</v>
      </c>
    </row>
    <row r="1026" spans="1:24">
      <c r="A1026">
        <v>3</v>
      </c>
      <c r="B1026">
        <v>2</v>
      </c>
      <c r="C1026">
        <f t="shared" si="285"/>
        <v>7</v>
      </c>
      <c r="D1026">
        <f t="shared" si="286"/>
        <v>5</v>
      </c>
      <c r="E1026">
        <f t="shared" si="287"/>
        <v>3</v>
      </c>
      <c r="F1026" s="100">
        <f t="shared" ca="1" si="288"/>
        <v>0</v>
      </c>
      <c r="G1026">
        <v>0</v>
      </c>
      <c r="H1026">
        <v>0</v>
      </c>
      <c r="I1026">
        <v>4</v>
      </c>
      <c r="J1026" s="1">
        <f t="shared" ca="1" si="289"/>
        <v>2.4014900250000042E-5</v>
      </c>
      <c r="K1026" s="1">
        <f t="shared" ca="1" si="290"/>
        <v>0</v>
      </c>
      <c r="L1026" s="13">
        <f t="shared" ca="1" si="291"/>
        <v>52</v>
      </c>
      <c r="M1026" s="7">
        <f t="shared" ca="1" si="292"/>
        <v>948</v>
      </c>
      <c r="N1026" s="44">
        <f t="shared" ca="1" si="293"/>
        <v>11</v>
      </c>
      <c r="O1026" s="94">
        <f t="shared" ca="1" si="294"/>
        <v>2.8265749241644089</v>
      </c>
      <c r="P1026" s="94">
        <f t="shared" ca="1" si="295"/>
        <v>28.265749241644084</v>
      </c>
      <c r="Q1026" s="94">
        <f t="shared" ca="1" si="296"/>
        <v>28.265749241644084</v>
      </c>
      <c r="R1026" s="94">
        <f t="shared" ca="1" si="297"/>
        <v>2.8265749241644085</v>
      </c>
      <c r="S1026" s="94">
        <f t="shared" ca="1" si="298"/>
        <v>2.8265749241644089</v>
      </c>
      <c r="T1026" s="4">
        <f t="shared" ca="1" si="299"/>
        <v>0</v>
      </c>
      <c r="U1026" s="46">
        <f t="shared" ca="1" si="300"/>
        <v>1414.7163216869442</v>
      </c>
      <c r="V1026" s="4">
        <f t="shared" ca="1" si="301"/>
        <v>0</v>
      </c>
      <c r="W1026" s="13">
        <f t="shared" ca="1" si="302"/>
        <v>2662.6811818875326</v>
      </c>
      <c r="X1026" s="4">
        <f t="shared" ca="1" si="303"/>
        <v>0</v>
      </c>
    </row>
    <row r="1027" spans="1:24">
      <c r="A1027">
        <v>3</v>
      </c>
      <c r="B1027">
        <v>2</v>
      </c>
      <c r="C1027">
        <f t="shared" si="285"/>
        <v>7</v>
      </c>
      <c r="D1027">
        <f t="shared" si="286"/>
        <v>5</v>
      </c>
      <c r="E1027">
        <f t="shared" si="287"/>
        <v>3</v>
      </c>
      <c r="F1027" s="100">
        <f t="shared" ca="1" si="288"/>
        <v>0</v>
      </c>
      <c r="G1027">
        <v>0</v>
      </c>
      <c r="H1027">
        <v>0</v>
      </c>
      <c r="I1027">
        <v>3</v>
      </c>
      <c r="J1027" s="1">
        <f t="shared" ca="1" si="289"/>
        <v>4.8514950000000128E-7</v>
      </c>
      <c r="K1027" s="1">
        <f t="shared" ca="1" si="290"/>
        <v>0</v>
      </c>
      <c r="L1027" s="13">
        <f t="shared" ca="1" si="291"/>
        <v>39</v>
      </c>
      <c r="M1027" s="7">
        <f t="shared" ca="1" si="292"/>
        <v>961</v>
      </c>
      <c r="N1027" s="44">
        <f t="shared" ca="1" si="293"/>
        <v>11</v>
      </c>
      <c r="O1027" s="94">
        <f t="shared" ca="1" si="294"/>
        <v>2.8265749241644089</v>
      </c>
      <c r="P1027" s="94">
        <f t="shared" ca="1" si="295"/>
        <v>28.265749241644084</v>
      </c>
      <c r="Q1027" s="94">
        <f t="shared" ca="1" si="296"/>
        <v>28.265749241644084</v>
      </c>
      <c r="R1027" s="94">
        <f t="shared" ca="1" si="297"/>
        <v>2.8265749241644085</v>
      </c>
      <c r="S1027" s="94">
        <f t="shared" ca="1" si="298"/>
        <v>2.8265749241644089</v>
      </c>
      <c r="T1027" s="4">
        <f t="shared" ca="1" si="299"/>
        <v>0</v>
      </c>
      <c r="U1027" s="46">
        <f t="shared" ca="1" si="300"/>
        <v>1401.7163216869442</v>
      </c>
      <c r="V1027" s="4">
        <f t="shared" ca="1" si="301"/>
        <v>0</v>
      </c>
      <c r="W1027" s="13">
        <f t="shared" ca="1" si="302"/>
        <v>1997.0108864156496</v>
      </c>
      <c r="X1027" s="4">
        <f t="shared" ca="1" si="303"/>
        <v>0</v>
      </c>
    </row>
    <row r="1028" spans="1:24">
      <c r="A1028">
        <v>3</v>
      </c>
      <c r="B1028">
        <v>2</v>
      </c>
      <c r="C1028">
        <f t="shared" si="285"/>
        <v>7</v>
      </c>
      <c r="D1028">
        <f t="shared" si="286"/>
        <v>5</v>
      </c>
      <c r="E1028">
        <f t="shared" si="287"/>
        <v>3</v>
      </c>
      <c r="F1028" s="100">
        <f t="shared" ca="1" si="288"/>
        <v>0</v>
      </c>
      <c r="G1028">
        <v>0</v>
      </c>
      <c r="H1028">
        <v>0</v>
      </c>
      <c r="I1028">
        <v>2</v>
      </c>
      <c r="J1028" s="1">
        <f t="shared" ca="1" si="289"/>
        <v>4.900500000000018E-9</v>
      </c>
      <c r="K1028" s="1">
        <f t="shared" ca="1" si="290"/>
        <v>0</v>
      </c>
      <c r="L1028" s="13">
        <f t="shared" ca="1" si="291"/>
        <v>26</v>
      </c>
      <c r="M1028" s="7">
        <f t="shared" ca="1" si="292"/>
        <v>974</v>
      </c>
      <c r="N1028" s="44">
        <f t="shared" ca="1" si="293"/>
        <v>11</v>
      </c>
      <c r="O1028" s="94">
        <f t="shared" ca="1" si="294"/>
        <v>2.8265749241644089</v>
      </c>
      <c r="P1028" s="94">
        <f t="shared" ca="1" si="295"/>
        <v>28.265749241644084</v>
      </c>
      <c r="Q1028" s="94">
        <f t="shared" ca="1" si="296"/>
        <v>28.265749241644084</v>
      </c>
      <c r="R1028" s="94">
        <f t="shared" ca="1" si="297"/>
        <v>2.8265749241644085</v>
      </c>
      <c r="S1028" s="94">
        <f t="shared" ca="1" si="298"/>
        <v>2.8265749241644089</v>
      </c>
      <c r="T1028" s="4">
        <f t="shared" ca="1" si="299"/>
        <v>0</v>
      </c>
      <c r="U1028" s="46">
        <f t="shared" ca="1" si="300"/>
        <v>1388.7163216869442</v>
      </c>
      <c r="V1028" s="4">
        <f t="shared" ca="1" si="301"/>
        <v>0</v>
      </c>
      <c r="W1028" s="13">
        <f t="shared" ca="1" si="302"/>
        <v>1331.3405909437663</v>
      </c>
      <c r="X1028" s="4">
        <f t="shared" ca="1" si="303"/>
        <v>0</v>
      </c>
    </row>
    <row r="1029" spans="1:24">
      <c r="A1029">
        <v>3</v>
      </c>
      <c r="B1029">
        <v>2</v>
      </c>
      <c r="C1029">
        <f t="shared" si="285"/>
        <v>7</v>
      </c>
      <c r="D1029">
        <f t="shared" si="286"/>
        <v>5</v>
      </c>
      <c r="E1029">
        <f t="shared" si="287"/>
        <v>3</v>
      </c>
      <c r="F1029" s="100">
        <f t="shared" ca="1" si="288"/>
        <v>0</v>
      </c>
      <c r="G1029">
        <v>0</v>
      </c>
      <c r="H1029">
        <v>0</v>
      </c>
      <c r="I1029">
        <v>1</v>
      </c>
      <c r="J1029" s="1">
        <f t="shared" ca="1" si="289"/>
        <v>2.4750000000000112E-11</v>
      </c>
      <c r="K1029" s="1">
        <f t="shared" ca="1" si="290"/>
        <v>0</v>
      </c>
      <c r="L1029" s="13">
        <f t="shared" ca="1" si="291"/>
        <v>13</v>
      </c>
      <c r="M1029" s="7">
        <f t="shared" ca="1" si="292"/>
        <v>987</v>
      </c>
      <c r="N1029" s="44">
        <f t="shared" ca="1" si="293"/>
        <v>12</v>
      </c>
      <c r="O1029" s="94">
        <f t="shared" ca="1" si="294"/>
        <v>3.049271339469791</v>
      </c>
      <c r="P1029" s="94">
        <f t="shared" ca="1" si="295"/>
        <v>29.824624148781758</v>
      </c>
      <c r="Q1029" s="94">
        <f t="shared" ca="1" si="296"/>
        <v>28.265749241644084</v>
      </c>
      <c r="R1029" s="94">
        <f t="shared" ca="1" si="297"/>
        <v>2.9045186695212921</v>
      </c>
      <c r="S1029" s="94">
        <f t="shared" ca="1" si="298"/>
        <v>3.049271339469791</v>
      </c>
      <c r="T1029" s="4">
        <f t="shared" ca="1" si="299"/>
        <v>0</v>
      </c>
      <c r="U1029" s="46">
        <f t="shared" ca="1" si="300"/>
        <v>1466.9428976204611</v>
      </c>
      <c r="V1029" s="4">
        <f t="shared" ca="1" si="301"/>
        <v>0</v>
      </c>
      <c r="W1029" s="13">
        <f t="shared" ca="1" si="302"/>
        <v>665.67029547188315</v>
      </c>
      <c r="X1029" s="4">
        <f t="shared" ca="1" si="303"/>
        <v>0</v>
      </c>
    </row>
    <row r="1030" spans="1:24">
      <c r="A1030">
        <v>3</v>
      </c>
      <c r="B1030">
        <v>2</v>
      </c>
      <c r="C1030">
        <f t="shared" si="285"/>
        <v>7</v>
      </c>
      <c r="D1030">
        <f t="shared" si="286"/>
        <v>5</v>
      </c>
      <c r="E1030">
        <f t="shared" si="287"/>
        <v>3</v>
      </c>
      <c r="F1030" s="100">
        <f t="shared" ca="1" si="288"/>
        <v>0</v>
      </c>
      <c r="G1030">
        <v>0</v>
      </c>
      <c r="H1030">
        <v>0</v>
      </c>
      <c r="I1030">
        <v>0</v>
      </c>
      <c r="J1030" s="1">
        <f t="shared" ca="1" si="289"/>
        <v>5.0000000000000273E-14</v>
      </c>
      <c r="K1030" s="1">
        <f t="shared" ca="1" si="290"/>
        <v>0</v>
      </c>
      <c r="L1030" s="13">
        <f t="shared" ca="1" si="291"/>
        <v>0</v>
      </c>
      <c r="M1030" s="7">
        <f t="shared" ca="1" si="292"/>
        <v>1000</v>
      </c>
      <c r="N1030" s="44">
        <f t="shared" ca="1" si="293"/>
        <v>12</v>
      </c>
      <c r="O1030" s="94">
        <f t="shared" ca="1" si="294"/>
        <v>3.049271339469791</v>
      </c>
      <c r="P1030" s="94">
        <f t="shared" ca="1" si="295"/>
        <v>30.492713394697905</v>
      </c>
      <c r="Q1030" s="94">
        <f t="shared" ca="1" si="296"/>
        <v>30.492713394697905</v>
      </c>
      <c r="R1030" s="94">
        <f t="shared" ca="1" si="297"/>
        <v>3.0492713394697906</v>
      </c>
      <c r="S1030" s="94">
        <f t="shared" ca="1" si="298"/>
        <v>3.049271339469791</v>
      </c>
      <c r="T1030" s="4">
        <f t="shared" ca="1" si="299"/>
        <v>0</v>
      </c>
      <c r="U1030" s="46">
        <f t="shared" ca="1" si="300"/>
        <v>1453.9428976204611</v>
      </c>
      <c r="V1030" s="4">
        <f t="shared" ca="1" si="301"/>
        <v>0</v>
      </c>
      <c r="W1030" s="13">
        <f t="shared" ca="1" si="302"/>
        <v>0</v>
      </c>
      <c r="X1030" s="4">
        <f t="shared" ca="1" si="303"/>
        <v>0</v>
      </c>
    </row>
    <row r="1031" spans="1:24">
      <c r="A1031">
        <v>3</v>
      </c>
      <c r="B1031">
        <v>3</v>
      </c>
      <c r="C1031">
        <f t="shared" si="285"/>
        <v>8</v>
      </c>
      <c r="D1031">
        <f t="shared" si="286"/>
        <v>6</v>
      </c>
      <c r="E1031">
        <f t="shared" si="287"/>
        <v>3</v>
      </c>
      <c r="F1031" s="100">
        <f t="shared" ca="1" si="288"/>
        <v>0</v>
      </c>
      <c r="G1031">
        <v>1</v>
      </c>
      <c r="H1031">
        <v>1</v>
      </c>
      <c r="I1031">
        <v>7</v>
      </c>
      <c r="J1031" s="1">
        <f t="shared" ca="1" si="289"/>
        <v>0</v>
      </c>
      <c r="K1031" s="1">
        <f t="shared" ca="1" si="290"/>
        <v>0</v>
      </c>
      <c r="L1031" s="13">
        <f t="shared" ca="1" si="291"/>
        <v>221</v>
      </c>
      <c r="M1031" s="7">
        <f t="shared" ca="1" si="292"/>
        <v>779</v>
      </c>
      <c r="N1031" s="44">
        <f t="shared" ca="1" si="293"/>
        <v>9</v>
      </c>
      <c r="O1031" s="94">
        <f t="shared" ca="1" si="294"/>
        <v>2.3639647217884514</v>
      </c>
      <c r="P1031" s="94">
        <f t="shared" ca="1" si="295"/>
        <v>23.639647217884519</v>
      </c>
      <c r="Q1031" s="94">
        <f t="shared" ca="1" si="296"/>
        <v>23.639647217884519</v>
      </c>
      <c r="R1031" s="94">
        <f t="shared" ca="1" si="297"/>
        <v>2.3639647217884519</v>
      </c>
      <c r="S1031" s="94">
        <f t="shared" ca="1" si="298"/>
        <v>2.3639647217884514</v>
      </c>
      <c r="T1031" s="4">
        <f t="shared" ca="1" si="299"/>
        <v>0</v>
      </c>
      <c r="U1031" s="46">
        <f t="shared" ca="1" si="300"/>
        <v>1394.2101516087316</v>
      </c>
      <c r="V1031" s="4">
        <f t="shared" ca="1" si="301"/>
        <v>0</v>
      </c>
      <c r="W1031" s="13">
        <f t="shared" ca="1" si="302"/>
        <v>16438.260675257192</v>
      </c>
      <c r="X1031" s="4">
        <f t="shared" ca="1" si="303"/>
        <v>0</v>
      </c>
    </row>
    <row r="1032" spans="1:24">
      <c r="A1032">
        <v>3</v>
      </c>
      <c r="B1032">
        <v>3</v>
      </c>
      <c r="C1032">
        <f t="shared" si="285"/>
        <v>8</v>
      </c>
      <c r="D1032">
        <f t="shared" si="286"/>
        <v>6</v>
      </c>
      <c r="E1032">
        <f t="shared" si="287"/>
        <v>3</v>
      </c>
      <c r="F1032" s="100">
        <f t="shared" ca="1" si="288"/>
        <v>0</v>
      </c>
      <c r="G1032">
        <v>1</v>
      </c>
      <c r="H1032">
        <v>1</v>
      </c>
      <c r="I1032">
        <v>6</v>
      </c>
      <c r="J1032" s="1">
        <f t="shared" ca="1" si="289"/>
        <v>0.88546208051164044</v>
      </c>
      <c r="K1032" s="1">
        <f t="shared" ca="1" si="290"/>
        <v>0</v>
      </c>
      <c r="L1032" s="13">
        <f t="shared" ca="1" si="291"/>
        <v>208</v>
      </c>
      <c r="M1032" s="7">
        <f t="shared" ca="1" si="292"/>
        <v>792</v>
      </c>
      <c r="N1032" s="44">
        <f t="shared" ca="1" si="293"/>
        <v>9</v>
      </c>
      <c r="O1032" s="94">
        <f t="shared" ca="1" si="294"/>
        <v>2.3639647217884514</v>
      </c>
      <c r="P1032" s="94">
        <f t="shared" ca="1" si="295"/>
        <v>23.639647217884519</v>
      </c>
      <c r="Q1032" s="94">
        <f t="shared" ca="1" si="296"/>
        <v>23.639647217884519</v>
      </c>
      <c r="R1032" s="94">
        <f t="shared" ca="1" si="297"/>
        <v>2.3639647217884519</v>
      </c>
      <c r="S1032" s="94">
        <f t="shared" ca="1" si="298"/>
        <v>2.3639647217884514</v>
      </c>
      <c r="T1032" s="4">
        <f t="shared" ca="1" si="299"/>
        <v>0</v>
      </c>
      <c r="U1032" s="46">
        <f t="shared" ca="1" si="300"/>
        <v>1381.2101516087316</v>
      </c>
      <c r="V1032" s="4">
        <f t="shared" ca="1" si="301"/>
        <v>0</v>
      </c>
      <c r="W1032" s="13">
        <f t="shared" ca="1" si="302"/>
        <v>15772.59037978531</v>
      </c>
      <c r="X1032" s="4">
        <f t="shared" ca="1" si="303"/>
        <v>0</v>
      </c>
    </row>
    <row r="1033" spans="1:24">
      <c r="A1033">
        <v>3</v>
      </c>
      <c r="B1033">
        <v>3</v>
      </c>
      <c r="C1033">
        <f t="shared" si="285"/>
        <v>8</v>
      </c>
      <c r="D1033">
        <f t="shared" si="286"/>
        <v>6</v>
      </c>
      <c r="E1033">
        <f t="shared" si="287"/>
        <v>3</v>
      </c>
      <c r="F1033" s="100">
        <f t="shared" ca="1" si="288"/>
        <v>0</v>
      </c>
      <c r="G1033">
        <v>1</v>
      </c>
      <c r="H1033">
        <v>1</v>
      </c>
      <c r="I1033">
        <v>5</v>
      </c>
      <c r="J1033" s="1">
        <f t="shared" ca="1" si="289"/>
        <v>5.3664368515857042E-2</v>
      </c>
      <c r="K1033" s="1">
        <f t="shared" ca="1" si="290"/>
        <v>0</v>
      </c>
      <c r="L1033" s="13">
        <f t="shared" ca="1" si="291"/>
        <v>195</v>
      </c>
      <c r="M1033" s="7">
        <f t="shared" ca="1" si="292"/>
        <v>805</v>
      </c>
      <c r="N1033" s="44">
        <f t="shared" ca="1" si="293"/>
        <v>10</v>
      </c>
      <c r="O1033" s="94">
        <f t="shared" ca="1" si="294"/>
        <v>2.5877599795741038</v>
      </c>
      <c r="P1033" s="94">
        <f t="shared" ca="1" si="295"/>
        <v>24.311032991241476</v>
      </c>
      <c r="Q1033" s="94">
        <f t="shared" ca="1" si="296"/>
        <v>23.639647217884519</v>
      </c>
      <c r="R1033" s="94">
        <f t="shared" ca="1" si="297"/>
        <v>2.3975340104562997</v>
      </c>
      <c r="S1033" s="94">
        <f t="shared" ca="1" si="298"/>
        <v>2.5877599795741038</v>
      </c>
      <c r="T1033" s="4">
        <f t="shared" ca="1" si="299"/>
        <v>0</v>
      </c>
      <c r="U1033" s="46">
        <f t="shared" ca="1" si="300"/>
        <v>1459.8868633777442</v>
      </c>
      <c r="V1033" s="4">
        <f t="shared" ca="1" si="301"/>
        <v>0</v>
      </c>
      <c r="W1033" s="13">
        <f t="shared" ca="1" si="302"/>
        <v>15106.920084313426</v>
      </c>
      <c r="X1033" s="4">
        <f t="shared" ca="1" si="303"/>
        <v>0</v>
      </c>
    </row>
    <row r="1034" spans="1:24">
      <c r="A1034">
        <v>3</v>
      </c>
      <c r="B1034">
        <v>3</v>
      </c>
      <c r="C1034">
        <f t="shared" si="285"/>
        <v>8</v>
      </c>
      <c r="D1034">
        <f t="shared" si="286"/>
        <v>6</v>
      </c>
      <c r="E1034">
        <f t="shared" si="287"/>
        <v>3</v>
      </c>
      <c r="F1034" s="100">
        <f t="shared" ca="1" si="288"/>
        <v>0</v>
      </c>
      <c r="G1034">
        <v>1</v>
      </c>
      <c r="H1034">
        <v>1</v>
      </c>
      <c r="I1034">
        <v>4</v>
      </c>
      <c r="J1034" s="1">
        <f t="shared" ca="1" si="289"/>
        <v>1.3551608211075025E-3</v>
      </c>
      <c r="K1034" s="1">
        <f t="shared" ca="1" si="290"/>
        <v>0</v>
      </c>
      <c r="L1034" s="13">
        <f t="shared" ca="1" si="291"/>
        <v>182</v>
      </c>
      <c r="M1034" s="7">
        <f t="shared" ca="1" si="292"/>
        <v>818</v>
      </c>
      <c r="N1034" s="44">
        <f t="shared" ca="1" si="293"/>
        <v>10</v>
      </c>
      <c r="O1034" s="94">
        <f t="shared" ca="1" si="294"/>
        <v>2.5877599795741038</v>
      </c>
      <c r="P1034" s="94">
        <f t="shared" ca="1" si="295"/>
        <v>25.877599795741034</v>
      </c>
      <c r="Q1034" s="94">
        <f t="shared" ca="1" si="296"/>
        <v>24.982418764598432</v>
      </c>
      <c r="R1034" s="94">
        <f t="shared" ca="1" si="297"/>
        <v>2.5430009280169736</v>
      </c>
      <c r="S1034" s="94">
        <f t="shared" ca="1" si="298"/>
        <v>2.5877599795741038</v>
      </c>
      <c r="T1034" s="4">
        <f t="shared" ca="1" si="299"/>
        <v>0</v>
      </c>
      <c r="U1034" s="46">
        <f t="shared" ca="1" si="300"/>
        <v>1446.8868633777442</v>
      </c>
      <c r="V1034" s="4">
        <f t="shared" ca="1" si="301"/>
        <v>0</v>
      </c>
      <c r="W1034" s="13">
        <f t="shared" ca="1" si="302"/>
        <v>14441.249788841542</v>
      </c>
      <c r="X1034" s="4">
        <f t="shared" ca="1" si="303"/>
        <v>0</v>
      </c>
    </row>
    <row r="1035" spans="1:24">
      <c r="A1035">
        <v>3</v>
      </c>
      <c r="B1035">
        <v>3</v>
      </c>
      <c r="C1035">
        <f t="shared" si="285"/>
        <v>8</v>
      </c>
      <c r="D1035">
        <f t="shared" si="286"/>
        <v>6</v>
      </c>
      <c r="E1035">
        <f t="shared" si="287"/>
        <v>3</v>
      </c>
      <c r="F1035" s="100">
        <f t="shared" ca="1" si="288"/>
        <v>0</v>
      </c>
      <c r="G1035">
        <v>1</v>
      </c>
      <c r="H1035">
        <v>1</v>
      </c>
      <c r="I1035">
        <v>3</v>
      </c>
      <c r="J1035" s="1">
        <f t="shared" ca="1" si="289"/>
        <v>1.8251324190000046E-5</v>
      </c>
      <c r="K1035" s="1">
        <f t="shared" ca="1" si="290"/>
        <v>0</v>
      </c>
      <c r="L1035" s="13">
        <f t="shared" ca="1" si="291"/>
        <v>169</v>
      </c>
      <c r="M1035" s="7">
        <f t="shared" ca="1" si="292"/>
        <v>831</v>
      </c>
      <c r="N1035" s="44">
        <f t="shared" ca="1" si="293"/>
        <v>10</v>
      </c>
      <c r="O1035" s="94">
        <f t="shared" ca="1" si="294"/>
        <v>2.5877599795741038</v>
      </c>
      <c r="P1035" s="94">
        <f t="shared" ca="1" si="295"/>
        <v>25.877599795741034</v>
      </c>
      <c r="Q1035" s="94">
        <f t="shared" ca="1" si="296"/>
        <v>25.877599795741034</v>
      </c>
      <c r="R1035" s="94">
        <f t="shared" ca="1" si="297"/>
        <v>2.5877599795741033</v>
      </c>
      <c r="S1035" s="94">
        <f t="shared" ca="1" si="298"/>
        <v>2.5877599795741038</v>
      </c>
      <c r="T1035" s="4">
        <f t="shared" ca="1" si="299"/>
        <v>0</v>
      </c>
      <c r="U1035" s="46">
        <f t="shared" ca="1" si="300"/>
        <v>1433.8868633777442</v>
      </c>
      <c r="V1035" s="4">
        <f t="shared" ca="1" si="301"/>
        <v>0</v>
      </c>
      <c r="W1035" s="13">
        <f t="shared" ca="1" si="302"/>
        <v>13775.57949336966</v>
      </c>
      <c r="X1035" s="4">
        <f t="shared" ca="1" si="303"/>
        <v>0</v>
      </c>
    </row>
    <row r="1036" spans="1:24">
      <c r="A1036">
        <v>3</v>
      </c>
      <c r="B1036">
        <v>3</v>
      </c>
      <c r="C1036">
        <f t="shared" si="285"/>
        <v>8</v>
      </c>
      <c r="D1036">
        <f t="shared" si="286"/>
        <v>6</v>
      </c>
      <c r="E1036">
        <f t="shared" si="287"/>
        <v>3</v>
      </c>
      <c r="F1036" s="100">
        <f t="shared" ca="1" si="288"/>
        <v>0</v>
      </c>
      <c r="G1036">
        <v>1</v>
      </c>
      <c r="H1036">
        <v>1</v>
      </c>
      <c r="I1036">
        <v>2</v>
      </c>
      <c r="J1036" s="1">
        <f t="shared" ca="1" si="289"/>
        <v>1.3826760750000051E-7</v>
      </c>
      <c r="K1036" s="1">
        <f t="shared" ca="1" si="290"/>
        <v>0</v>
      </c>
      <c r="L1036" s="13">
        <f t="shared" ca="1" si="291"/>
        <v>156</v>
      </c>
      <c r="M1036" s="7">
        <f t="shared" ca="1" si="292"/>
        <v>844</v>
      </c>
      <c r="N1036" s="44">
        <f t="shared" ca="1" si="293"/>
        <v>10</v>
      </c>
      <c r="O1036" s="94">
        <f t="shared" ca="1" si="294"/>
        <v>2.5877599795741038</v>
      </c>
      <c r="P1036" s="94">
        <f t="shared" ca="1" si="295"/>
        <v>25.877599795741034</v>
      </c>
      <c r="Q1036" s="94">
        <f t="shared" ca="1" si="296"/>
        <v>25.877599795741034</v>
      </c>
      <c r="R1036" s="94">
        <f t="shared" ca="1" si="297"/>
        <v>2.5877599795741033</v>
      </c>
      <c r="S1036" s="94">
        <f t="shared" ca="1" si="298"/>
        <v>2.5877599795741038</v>
      </c>
      <c r="T1036" s="4">
        <f t="shared" ca="1" si="299"/>
        <v>0</v>
      </c>
      <c r="U1036" s="46">
        <f t="shared" ca="1" si="300"/>
        <v>1420.8868633777442</v>
      </c>
      <c r="V1036" s="4">
        <f t="shared" ca="1" si="301"/>
        <v>0</v>
      </c>
      <c r="W1036" s="13">
        <f t="shared" ca="1" si="302"/>
        <v>13109.909197897776</v>
      </c>
      <c r="X1036" s="4">
        <f t="shared" ca="1" si="303"/>
        <v>0</v>
      </c>
    </row>
    <row r="1037" spans="1:24">
      <c r="A1037">
        <v>3</v>
      </c>
      <c r="B1037">
        <v>3</v>
      </c>
      <c r="C1037">
        <f t="shared" si="285"/>
        <v>8</v>
      </c>
      <c r="D1037">
        <f t="shared" si="286"/>
        <v>6</v>
      </c>
      <c r="E1037">
        <f t="shared" si="287"/>
        <v>3</v>
      </c>
      <c r="F1037" s="100">
        <f t="shared" ca="1" si="288"/>
        <v>0</v>
      </c>
      <c r="G1037">
        <v>1</v>
      </c>
      <c r="H1037">
        <v>1</v>
      </c>
      <c r="I1037">
        <v>1</v>
      </c>
      <c r="J1037" s="1">
        <f t="shared" ca="1" si="289"/>
        <v>5.5865700000000257E-10</v>
      </c>
      <c r="K1037" s="1">
        <f t="shared" ca="1" si="290"/>
        <v>0</v>
      </c>
      <c r="L1037" s="13">
        <f t="shared" ca="1" si="291"/>
        <v>143</v>
      </c>
      <c r="M1037" s="7">
        <f t="shared" ca="1" si="292"/>
        <v>857</v>
      </c>
      <c r="N1037" s="44">
        <f t="shared" ca="1" si="293"/>
        <v>10</v>
      </c>
      <c r="O1037" s="94">
        <f t="shared" ca="1" si="294"/>
        <v>2.5877599795741038</v>
      </c>
      <c r="P1037" s="94">
        <f t="shared" ca="1" si="295"/>
        <v>25.877599795741034</v>
      </c>
      <c r="Q1037" s="94">
        <f t="shared" ca="1" si="296"/>
        <v>25.877599795741034</v>
      </c>
      <c r="R1037" s="94">
        <f t="shared" ca="1" si="297"/>
        <v>2.5877599795741033</v>
      </c>
      <c r="S1037" s="94">
        <f t="shared" ca="1" si="298"/>
        <v>2.5877599795741038</v>
      </c>
      <c r="T1037" s="4">
        <f t="shared" ca="1" si="299"/>
        <v>0</v>
      </c>
      <c r="U1037" s="46">
        <f t="shared" ca="1" si="300"/>
        <v>1407.8868633777442</v>
      </c>
      <c r="V1037" s="4">
        <f t="shared" ca="1" si="301"/>
        <v>0</v>
      </c>
      <c r="W1037" s="13">
        <f t="shared" ca="1" si="302"/>
        <v>12444.238902425894</v>
      </c>
      <c r="X1037" s="4">
        <f t="shared" ca="1" si="303"/>
        <v>0</v>
      </c>
    </row>
    <row r="1038" spans="1:24">
      <c r="A1038">
        <v>3</v>
      </c>
      <c r="B1038">
        <v>3</v>
      </c>
      <c r="C1038">
        <f t="shared" si="285"/>
        <v>8</v>
      </c>
      <c r="D1038">
        <f t="shared" si="286"/>
        <v>6</v>
      </c>
      <c r="E1038">
        <f t="shared" si="287"/>
        <v>3</v>
      </c>
      <c r="F1038" s="100">
        <f t="shared" ca="1" si="288"/>
        <v>0</v>
      </c>
      <c r="G1038">
        <v>1</v>
      </c>
      <c r="H1038">
        <v>1</v>
      </c>
      <c r="I1038">
        <v>0</v>
      </c>
      <c r="J1038" s="1">
        <f t="shared" ca="1" si="289"/>
        <v>9.4050000000000513E-13</v>
      </c>
      <c r="K1038" s="1">
        <f t="shared" ca="1" si="290"/>
        <v>0</v>
      </c>
      <c r="L1038" s="13">
        <f t="shared" ca="1" si="291"/>
        <v>130</v>
      </c>
      <c r="M1038" s="7">
        <f t="shared" ca="1" si="292"/>
        <v>870</v>
      </c>
      <c r="N1038" s="44">
        <f t="shared" ca="1" si="293"/>
        <v>10</v>
      </c>
      <c r="O1038" s="94">
        <f t="shared" ca="1" si="294"/>
        <v>2.5877599795741038</v>
      </c>
      <c r="P1038" s="94">
        <f t="shared" ca="1" si="295"/>
        <v>25.877599795741034</v>
      </c>
      <c r="Q1038" s="94">
        <f t="shared" ca="1" si="296"/>
        <v>25.877599795741034</v>
      </c>
      <c r="R1038" s="94">
        <f t="shared" ca="1" si="297"/>
        <v>2.5877599795741033</v>
      </c>
      <c r="S1038" s="94">
        <f t="shared" ca="1" si="298"/>
        <v>2.5877599795741038</v>
      </c>
      <c r="T1038" s="4">
        <f t="shared" ca="1" si="299"/>
        <v>0</v>
      </c>
      <c r="U1038" s="46">
        <f t="shared" ca="1" si="300"/>
        <v>1394.8868633777442</v>
      </c>
      <c r="V1038" s="4">
        <f t="shared" ca="1" si="301"/>
        <v>0</v>
      </c>
      <c r="W1038" s="13">
        <f t="shared" ca="1" si="302"/>
        <v>11778.56860695401</v>
      </c>
      <c r="X1038" s="4">
        <f t="shared" ca="1" si="303"/>
        <v>0</v>
      </c>
    </row>
    <row r="1039" spans="1:24">
      <c r="A1039">
        <v>3</v>
      </c>
      <c r="B1039">
        <v>3</v>
      </c>
      <c r="C1039">
        <f t="shared" si="285"/>
        <v>8</v>
      </c>
      <c r="D1039">
        <f t="shared" si="286"/>
        <v>6</v>
      </c>
      <c r="E1039">
        <f t="shared" si="287"/>
        <v>3</v>
      </c>
      <c r="F1039" s="100">
        <f t="shared" ca="1" si="288"/>
        <v>0</v>
      </c>
      <c r="G1039">
        <v>1</v>
      </c>
      <c r="H1039">
        <v>0</v>
      </c>
      <c r="I1039">
        <v>7</v>
      </c>
      <c r="J1039" s="1">
        <f t="shared" ca="1" si="289"/>
        <v>0</v>
      </c>
      <c r="K1039" s="1">
        <f t="shared" ca="1" si="290"/>
        <v>0</v>
      </c>
      <c r="L1039" s="13">
        <f t="shared" ca="1" si="291"/>
        <v>156</v>
      </c>
      <c r="M1039" s="7">
        <f t="shared" ca="1" si="292"/>
        <v>844</v>
      </c>
      <c r="N1039" s="44">
        <f t="shared" ca="1" si="293"/>
        <v>10</v>
      </c>
      <c r="O1039" s="94">
        <f t="shared" ca="1" si="294"/>
        <v>2.5877599795741038</v>
      </c>
      <c r="P1039" s="94">
        <f t="shared" ca="1" si="295"/>
        <v>25.877599795741034</v>
      </c>
      <c r="Q1039" s="94">
        <f t="shared" ca="1" si="296"/>
        <v>25.877599795741034</v>
      </c>
      <c r="R1039" s="94">
        <f t="shared" ca="1" si="297"/>
        <v>2.5877599795741033</v>
      </c>
      <c r="S1039" s="94">
        <f t="shared" ca="1" si="298"/>
        <v>2.5877599795741038</v>
      </c>
      <c r="T1039" s="4">
        <f t="shared" ca="1" si="299"/>
        <v>0</v>
      </c>
      <c r="U1039" s="46">
        <f t="shared" ca="1" si="300"/>
        <v>1420.8868633777442</v>
      </c>
      <c r="V1039" s="4">
        <f t="shared" ca="1" si="301"/>
        <v>0</v>
      </c>
      <c r="W1039" s="13">
        <f t="shared" ca="1" si="302"/>
        <v>15972.716608816479</v>
      </c>
      <c r="X1039" s="4">
        <f t="shared" ca="1" si="303"/>
        <v>0</v>
      </c>
    </row>
    <row r="1040" spans="1:24">
      <c r="A1040">
        <v>3</v>
      </c>
      <c r="B1040">
        <v>3</v>
      </c>
      <c r="C1040">
        <f t="shared" si="285"/>
        <v>8</v>
      </c>
      <c r="D1040">
        <f t="shared" si="286"/>
        <v>6</v>
      </c>
      <c r="E1040">
        <f t="shared" si="287"/>
        <v>3</v>
      </c>
      <c r="F1040" s="100">
        <f t="shared" ca="1" si="288"/>
        <v>0</v>
      </c>
      <c r="G1040">
        <v>1</v>
      </c>
      <c r="H1040">
        <v>0</v>
      </c>
      <c r="I1040">
        <v>6</v>
      </c>
      <c r="J1040" s="1">
        <f t="shared" ca="1" si="289"/>
        <v>8.9440614193095069E-3</v>
      </c>
      <c r="K1040" s="1">
        <f t="shared" ca="1" si="290"/>
        <v>0</v>
      </c>
      <c r="L1040" s="13">
        <f t="shared" ca="1" si="291"/>
        <v>143</v>
      </c>
      <c r="M1040" s="7">
        <f t="shared" ca="1" si="292"/>
        <v>857</v>
      </c>
      <c r="N1040" s="44">
        <f t="shared" ca="1" si="293"/>
        <v>10</v>
      </c>
      <c r="O1040" s="94">
        <f t="shared" ca="1" si="294"/>
        <v>2.5877599795741038</v>
      </c>
      <c r="P1040" s="94">
        <f t="shared" ca="1" si="295"/>
        <v>25.877599795741034</v>
      </c>
      <c r="Q1040" s="94">
        <f t="shared" ca="1" si="296"/>
        <v>25.877599795741034</v>
      </c>
      <c r="R1040" s="94">
        <f t="shared" ca="1" si="297"/>
        <v>2.5877599795741033</v>
      </c>
      <c r="S1040" s="94">
        <f t="shared" ca="1" si="298"/>
        <v>2.5877599795741038</v>
      </c>
      <c r="T1040" s="4">
        <f t="shared" ca="1" si="299"/>
        <v>0</v>
      </c>
      <c r="U1040" s="46">
        <f t="shared" ca="1" si="300"/>
        <v>1407.8868633777442</v>
      </c>
      <c r="V1040" s="4">
        <f t="shared" ca="1" si="301"/>
        <v>0</v>
      </c>
      <c r="W1040" s="13">
        <f t="shared" ca="1" si="302"/>
        <v>15307.046313344596</v>
      </c>
      <c r="X1040" s="4">
        <f t="shared" ca="1" si="303"/>
        <v>0</v>
      </c>
    </row>
    <row r="1041" spans="1:24">
      <c r="A1041">
        <v>3</v>
      </c>
      <c r="B1041">
        <v>3</v>
      </c>
      <c r="C1041">
        <f t="shared" si="285"/>
        <v>8</v>
      </c>
      <c r="D1041">
        <f t="shared" si="286"/>
        <v>6</v>
      </c>
      <c r="E1041">
        <f t="shared" si="287"/>
        <v>3</v>
      </c>
      <c r="F1041" s="100">
        <f t="shared" ca="1" si="288"/>
        <v>0</v>
      </c>
      <c r="G1041">
        <v>1</v>
      </c>
      <c r="H1041">
        <v>0</v>
      </c>
      <c r="I1041">
        <v>5</v>
      </c>
      <c r="J1041" s="1">
        <f t="shared" ca="1" si="289"/>
        <v>5.4206432844300086E-4</v>
      </c>
      <c r="K1041" s="1">
        <f t="shared" ca="1" si="290"/>
        <v>0</v>
      </c>
      <c r="L1041" s="13">
        <f t="shared" ca="1" si="291"/>
        <v>130</v>
      </c>
      <c r="M1041" s="7">
        <f t="shared" ca="1" si="292"/>
        <v>870</v>
      </c>
      <c r="N1041" s="44">
        <f t="shared" ca="1" si="293"/>
        <v>10</v>
      </c>
      <c r="O1041" s="94">
        <f t="shared" ca="1" si="294"/>
        <v>2.5877599795741038</v>
      </c>
      <c r="P1041" s="94">
        <f t="shared" ca="1" si="295"/>
        <v>25.877599795741034</v>
      </c>
      <c r="Q1041" s="94">
        <f t="shared" ca="1" si="296"/>
        <v>25.877599795741034</v>
      </c>
      <c r="R1041" s="94">
        <f t="shared" ca="1" si="297"/>
        <v>2.5877599795741033</v>
      </c>
      <c r="S1041" s="94">
        <f t="shared" ca="1" si="298"/>
        <v>2.5877599795741038</v>
      </c>
      <c r="T1041" s="4">
        <f t="shared" ca="1" si="299"/>
        <v>0</v>
      </c>
      <c r="U1041" s="46">
        <f t="shared" ca="1" si="300"/>
        <v>1394.8868633777442</v>
      </c>
      <c r="V1041" s="4">
        <f t="shared" ca="1" si="301"/>
        <v>0</v>
      </c>
      <c r="W1041" s="13">
        <f t="shared" ca="1" si="302"/>
        <v>14641.376017872713</v>
      </c>
      <c r="X1041" s="4">
        <f t="shared" ca="1" si="303"/>
        <v>0</v>
      </c>
    </row>
    <row r="1042" spans="1:24">
      <c r="A1042">
        <v>3</v>
      </c>
      <c r="B1042">
        <v>3</v>
      </c>
      <c r="C1042">
        <f t="shared" si="285"/>
        <v>8</v>
      </c>
      <c r="D1042">
        <f t="shared" si="286"/>
        <v>6</v>
      </c>
      <c r="E1042">
        <f t="shared" si="287"/>
        <v>3</v>
      </c>
      <c r="F1042" s="100">
        <f t="shared" ca="1" si="288"/>
        <v>0</v>
      </c>
      <c r="G1042">
        <v>1</v>
      </c>
      <c r="H1042">
        <v>0</v>
      </c>
      <c r="I1042">
        <v>4</v>
      </c>
      <c r="J1042" s="1">
        <f t="shared" ca="1" si="289"/>
        <v>1.3688493142500038E-5</v>
      </c>
      <c r="K1042" s="1">
        <f t="shared" ca="1" si="290"/>
        <v>0</v>
      </c>
      <c r="L1042" s="13">
        <f t="shared" ca="1" si="291"/>
        <v>117</v>
      </c>
      <c r="M1042" s="7">
        <f t="shared" ca="1" si="292"/>
        <v>883</v>
      </c>
      <c r="N1042" s="44">
        <f t="shared" ca="1" si="293"/>
        <v>10</v>
      </c>
      <c r="O1042" s="94">
        <f t="shared" ca="1" si="294"/>
        <v>2.5877599795741038</v>
      </c>
      <c r="P1042" s="94">
        <f t="shared" ca="1" si="295"/>
        <v>25.877599795741034</v>
      </c>
      <c r="Q1042" s="94">
        <f t="shared" ca="1" si="296"/>
        <v>25.877599795741034</v>
      </c>
      <c r="R1042" s="94">
        <f t="shared" ca="1" si="297"/>
        <v>2.5877599795741033</v>
      </c>
      <c r="S1042" s="94">
        <f t="shared" ca="1" si="298"/>
        <v>2.5877599795741038</v>
      </c>
      <c r="T1042" s="4">
        <f t="shared" ca="1" si="299"/>
        <v>0</v>
      </c>
      <c r="U1042" s="46">
        <f t="shared" ca="1" si="300"/>
        <v>1381.8868633777442</v>
      </c>
      <c r="V1042" s="4">
        <f t="shared" ca="1" si="301"/>
        <v>0</v>
      </c>
      <c r="W1042" s="13">
        <f t="shared" ca="1" si="302"/>
        <v>13975.705722400829</v>
      </c>
      <c r="X1042" s="4">
        <f t="shared" ca="1" si="303"/>
        <v>0</v>
      </c>
    </row>
    <row r="1043" spans="1:24">
      <c r="A1043">
        <v>3</v>
      </c>
      <c r="B1043">
        <v>3</v>
      </c>
      <c r="C1043">
        <f t="shared" si="285"/>
        <v>8</v>
      </c>
      <c r="D1043">
        <f t="shared" si="286"/>
        <v>6</v>
      </c>
      <c r="E1043">
        <f t="shared" si="287"/>
        <v>3</v>
      </c>
      <c r="F1043" s="100">
        <f t="shared" ca="1" si="288"/>
        <v>0</v>
      </c>
      <c r="G1043">
        <v>1</v>
      </c>
      <c r="H1043">
        <v>0</v>
      </c>
      <c r="I1043">
        <v>3</v>
      </c>
      <c r="J1043" s="1">
        <f t="shared" ca="1" si="289"/>
        <v>1.8435681000000062E-7</v>
      </c>
      <c r="K1043" s="1">
        <f t="shared" ca="1" si="290"/>
        <v>0</v>
      </c>
      <c r="L1043" s="13">
        <f t="shared" ca="1" si="291"/>
        <v>104</v>
      </c>
      <c r="M1043" s="7">
        <f t="shared" ca="1" si="292"/>
        <v>896</v>
      </c>
      <c r="N1043" s="44">
        <f t="shared" ca="1" si="293"/>
        <v>11</v>
      </c>
      <c r="O1043" s="94">
        <f t="shared" ca="1" si="294"/>
        <v>2.8265749241644089</v>
      </c>
      <c r="P1043" s="94">
        <f t="shared" ca="1" si="295"/>
        <v>27.071674518692554</v>
      </c>
      <c r="Q1043" s="94">
        <f t="shared" ca="1" si="296"/>
        <v>25.877599795741034</v>
      </c>
      <c r="R1043" s="94">
        <f t="shared" ca="1" si="297"/>
        <v>2.6474637157216794</v>
      </c>
      <c r="S1043" s="94">
        <f t="shared" ca="1" si="298"/>
        <v>2.8265749241644089</v>
      </c>
      <c r="T1043" s="4">
        <f t="shared" ca="1" si="299"/>
        <v>0</v>
      </c>
      <c r="U1043" s="46">
        <f t="shared" ca="1" si="300"/>
        <v>1466.7163216869442</v>
      </c>
      <c r="V1043" s="4">
        <f t="shared" ca="1" si="301"/>
        <v>0</v>
      </c>
      <c r="W1043" s="13">
        <f t="shared" ca="1" si="302"/>
        <v>13310.035426928947</v>
      </c>
      <c r="X1043" s="4">
        <f t="shared" ca="1" si="303"/>
        <v>0</v>
      </c>
    </row>
    <row r="1044" spans="1:24">
      <c r="A1044">
        <v>3</v>
      </c>
      <c r="B1044">
        <v>3</v>
      </c>
      <c r="C1044">
        <f t="shared" si="285"/>
        <v>8</v>
      </c>
      <c r="D1044">
        <f t="shared" si="286"/>
        <v>6</v>
      </c>
      <c r="E1044">
        <f t="shared" si="287"/>
        <v>3</v>
      </c>
      <c r="F1044" s="100">
        <f t="shared" ca="1" si="288"/>
        <v>0</v>
      </c>
      <c r="G1044">
        <v>1</v>
      </c>
      <c r="H1044">
        <v>0</v>
      </c>
      <c r="I1044">
        <v>2</v>
      </c>
      <c r="J1044" s="1">
        <f t="shared" ca="1" si="289"/>
        <v>1.3966425000000064E-9</v>
      </c>
      <c r="K1044" s="1">
        <f t="shared" ca="1" si="290"/>
        <v>0</v>
      </c>
      <c r="L1044" s="13">
        <f t="shared" ca="1" si="291"/>
        <v>91</v>
      </c>
      <c r="M1044" s="7">
        <f t="shared" ca="1" si="292"/>
        <v>909</v>
      </c>
      <c r="N1044" s="44">
        <f t="shared" ca="1" si="293"/>
        <v>11</v>
      </c>
      <c r="O1044" s="94">
        <f t="shared" ca="1" si="294"/>
        <v>2.8265749241644089</v>
      </c>
      <c r="P1044" s="94">
        <f t="shared" ca="1" si="295"/>
        <v>28.265749241644084</v>
      </c>
      <c r="Q1044" s="94">
        <f t="shared" ca="1" si="296"/>
        <v>27.788119352463475</v>
      </c>
      <c r="R1044" s="94">
        <f t="shared" ca="1" si="297"/>
        <v>2.8026934297053776</v>
      </c>
      <c r="S1044" s="94">
        <f t="shared" ca="1" si="298"/>
        <v>2.8265749241644089</v>
      </c>
      <c r="T1044" s="4">
        <f t="shared" ca="1" si="299"/>
        <v>0</v>
      </c>
      <c r="U1044" s="46">
        <f t="shared" ca="1" si="300"/>
        <v>1453.7163216869442</v>
      </c>
      <c r="V1044" s="4">
        <f t="shared" ca="1" si="301"/>
        <v>0</v>
      </c>
      <c r="W1044" s="13">
        <f t="shared" ca="1" si="302"/>
        <v>12644.365131457063</v>
      </c>
      <c r="X1044" s="4">
        <f t="shared" ca="1" si="303"/>
        <v>0</v>
      </c>
    </row>
    <row r="1045" spans="1:24">
      <c r="A1045">
        <v>3</v>
      </c>
      <c r="B1045">
        <v>3</v>
      </c>
      <c r="C1045">
        <f t="shared" si="285"/>
        <v>8</v>
      </c>
      <c r="D1045">
        <f t="shared" si="286"/>
        <v>6</v>
      </c>
      <c r="E1045">
        <f t="shared" si="287"/>
        <v>3</v>
      </c>
      <c r="F1045" s="100">
        <f t="shared" ca="1" si="288"/>
        <v>0</v>
      </c>
      <c r="G1045">
        <v>1</v>
      </c>
      <c r="H1045">
        <v>0</v>
      </c>
      <c r="I1045">
        <v>1</v>
      </c>
      <c r="J1045" s="1">
        <f t="shared" ca="1" si="289"/>
        <v>5.6430000000000308E-12</v>
      </c>
      <c r="K1045" s="1">
        <f t="shared" ca="1" si="290"/>
        <v>0</v>
      </c>
      <c r="L1045" s="13">
        <f t="shared" ca="1" si="291"/>
        <v>78</v>
      </c>
      <c r="M1045" s="7">
        <f t="shared" ca="1" si="292"/>
        <v>922</v>
      </c>
      <c r="N1045" s="44">
        <f t="shared" ca="1" si="293"/>
        <v>11</v>
      </c>
      <c r="O1045" s="94">
        <f t="shared" ca="1" si="294"/>
        <v>2.8265749241644089</v>
      </c>
      <c r="P1045" s="94">
        <f t="shared" ca="1" si="295"/>
        <v>28.265749241644084</v>
      </c>
      <c r="Q1045" s="94">
        <f t="shared" ca="1" si="296"/>
        <v>28.265749241644084</v>
      </c>
      <c r="R1045" s="94">
        <f t="shared" ca="1" si="297"/>
        <v>2.8265749241644085</v>
      </c>
      <c r="S1045" s="94">
        <f t="shared" ca="1" si="298"/>
        <v>2.8265749241644089</v>
      </c>
      <c r="T1045" s="4">
        <f t="shared" ca="1" si="299"/>
        <v>0</v>
      </c>
      <c r="U1045" s="46">
        <f t="shared" ca="1" si="300"/>
        <v>1440.7163216869442</v>
      </c>
      <c r="V1045" s="4">
        <f t="shared" ca="1" si="301"/>
        <v>0</v>
      </c>
      <c r="W1045" s="13">
        <f t="shared" ca="1" si="302"/>
        <v>11978.694835985181</v>
      </c>
      <c r="X1045" s="4">
        <f t="shared" ca="1" si="303"/>
        <v>0</v>
      </c>
    </row>
    <row r="1046" spans="1:24">
      <c r="A1046">
        <v>3</v>
      </c>
      <c r="B1046">
        <v>3</v>
      </c>
      <c r="C1046">
        <f t="shared" si="285"/>
        <v>8</v>
      </c>
      <c r="D1046">
        <f t="shared" si="286"/>
        <v>6</v>
      </c>
      <c r="E1046">
        <f t="shared" si="287"/>
        <v>3</v>
      </c>
      <c r="F1046" s="100">
        <f t="shared" ca="1" si="288"/>
        <v>0</v>
      </c>
      <c r="G1046">
        <v>1</v>
      </c>
      <c r="H1046">
        <v>0</v>
      </c>
      <c r="I1046">
        <v>0</v>
      </c>
      <c r="J1046" s="1">
        <f t="shared" ca="1" si="289"/>
        <v>9.5000000000000605E-15</v>
      </c>
      <c r="K1046" s="1">
        <f t="shared" ca="1" si="290"/>
        <v>0</v>
      </c>
      <c r="L1046" s="13">
        <f t="shared" ca="1" si="291"/>
        <v>65</v>
      </c>
      <c r="M1046" s="7">
        <f t="shared" ca="1" si="292"/>
        <v>935</v>
      </c>
      <c r="N1046" s="44">
        <f t="shared" ca="1" si="293"/>
        <v>11</v>
      </c>
      <c r="O1046" s="94">
        <f t="shared" ca="1" si="294"/>
        <v>2.8265749241644089</v>
      </c>
      <c r="P1046" s="94">
        <f t="shared" ca="1" si="295"/>
        <v>28.265749241644084</v>
      </c>
      <c r="Q1046" s="94">
        <f t="shared" ca="1" si="296"/>
        <v>28.265749241644084</v>
      </c>
      <c r="R1046" s="94">
        <f t="shared" ca="1" si="297"/>
        <v>2.8265749241644085</v>
      </c>
      <c r="S1046" s="94">
        <f t="shared" ca="1" si="298"/>
        <v>2.8265749241644089</v>
      </c>
      <c r="T1046" s="4">
        <f t="shared" ca="1" si="299"/>
        <v>0</v>
      </c>
      <c r="U1046" s="46">
        <f t="shared" ca="1" si="300"/>
        <v>1427.7163216869442</v>
      </c>
      <c r="V1046" s="4">
        <f t="shared" ca="1" si="301"/>
        <v>0</v>
      </c>
      <c r="W1046" s="13">
        <f t="shared" ca="1" si="302"/>
        <v>11313.024540513297</v>
      </c>
      <c r="X1046" s="4">
        <f t="shared" ca="1" si="303"/>
        <v>0</v>
      </c>
    </row>
    <row r="1047" spans="1:24">
      <c r="A1047">
        <v>3</v>
      </c>
      <c r="B1047">
        <v>3</v>
      </c>
      <c r="C1047">
        <f t="shared" si="285"/>
        <v>8</v>
      </c>
      <c r="D1047">
        <f t="shared" si="286"/>
        <v>6</v>
      </c>
      <c r="E1047">
        <f t="shared" si="287"/>
        <v>3</v>
      </c>
      <c r="F1047" s="100">
        <f t="shared" ca="1" si="288"/>
        <v>0</v>
      </c>
      <c r="G1047">
        <v>0</v>
      </c>
      <c r="H1047">
        <v>1</v>
      </c>
      <c r="I1047">
        <v>7</v>
      </c>
      <c r="J1047" s="1">
        <f t="shared" ca="1" si="289"/>
        <v>0</v>
      </c>
      <c r="K1047" s="1">
        <f t="shared" ca="1" si="290"/>
        <v>0</v>
      </c>
      <c r="L1047" s="13">
        <f t="shared" ca="1" si="291"/>
        <v>156</v>
      </c>
      <c r="M1047" s="7">
        <f t="shared" ca="1" si="292"/>
        <v>844</v>
      </c>
      <c r="N1047" s="44">
        <f t="shared" ca="1" si="293"/>
        <v>10</v>
      </c>
      <c r="O1047" s="94">
        <f t="shared" ca="1" si="294"/>
        <v>2.5877599795741038</v>
      </c>
      <c r="P1047" s="94">
        <f t="shared" ca="1" si="295"/>
        <v>25.877599795741034</v>
      </c>
      <c r="Q1047" s="94">
        <f t="shared" ca="1" si="296"/>
        <v>25.877599795741034</v>
      </c>
      <c r="R1047" s="94">
        <f t="shared" ca="1" si="297"/>
        <v>2.5877599795741033</v>
      </c>
      <c r="S1047" s="94">
        <f t="shared" ca="1" si="298"/>
        <v>2.5877599795741038</v>
      </c>
      <c r="T1047" s="4">
        <f t="shared" ca="1" si="299"/>
        <v>0</v>
      </c>
      <c r="U1047" s="46">
        <f t="shared" ca="1" si="300"/>
        <v>1420.8868633777442</v>
      </c>
      <c r="V1047" s="4">
        <f t="shared" ca="1" si="301"/>
        <v>0</v>
      </c>
      <c r="W1047" s="13">
        <f t="shared" ca="1" si="302"/>
        <v>5125.2361347438955</v>
      </c>
      <c r="X1047" s="4">
        <f t="shared" ca="1" si="303"/>
        <v>0</v>
      </c>
    </row>
    <row r="1048" spans="1:24">
      <c r="A1048">
        <v>3</v>
      </c>
      <c r="B1048">
        <v>3</v>
      </c>
      <c r="C1048">
        <f t="shared" si="285"/>
        <v>8</v>
      </c>
      <c r="D1048">
        <f t="shared" si="286"/>
        <v>6</v>
      </c>
      <c r="E1048">
        <f t="shared" si="287"/>
        <v>3</v>
      </c>
      <c r="F1048" s="100">
        <f t="shared" ca="1" si="288"/>
        <v>0</v>
      </c>
      <c r="G1048">
        <v>0</v>
      </c>
      <c r="H1048">
        <v>1</v>
      </c>
      <c r="I1048">
        <v>6</v>
      </c>
      <c r="J1048" s="1">
        <f t="shared" ca="1" si="289"/>
        <v>4.66032673953495E-2</v>
      </c>
      <c r="K1048" s="1">
        <f t="shared" ca="1" si="290"/>
        <v>0</v>
      </c>
      <c r="L1048" s="13">
        <f t="shared" ca="1" si="291"/>
        <v>143</v>
      </c>
      <c r="M1048" s="7">
        <f t="shared" ca="1" si="292"/>
        <v>857</v>
      </c>
      <c r="N1048" s="44">
        <f t="shared" ca="1" si="293"/>
        <v>10</v>
      </c>
      <c r="O1048" s="94">
        <f t="shared" ca="1" si="294"/>
        <v>2.5877599795741038</v>
      </c>
      <c r="P1048" s="94">
        <f t="shared" ca="1" si="295"/>
        <v>25.877599795741034</v>
      </c>
      <c r="Q1048" s="94">
        <f t="shared" ca="1" si="296"/>
        <v>25.877599795741034</v>
      </c>
      <c r="R1048" s="94">
        <f t="shared" ca="1" si="297"/>
        <v>2.5877599795741033</v>
      </c>
      <c r="S1048" s="94">
        <f t="shared" ca="1" si="298"/>
        <v>2.5877599795741038</v>
      </c>
      <c r="T1048" s="4">
        <f t="shared" ca="1" si="299"/>
        <v>0</v>
      </c>
      <c r="U1048" s="46">
        <f t="shared" ca="1" si="300"/>
        <v>1407.8868633777442</v>
      </c>
      <c r="V1048" s="4">
        <f t="shared" ca="1" si="301"/>
        <v>0</v>
      </c>
      <c r="W1048" s="13">
        <f t="shared" ca="1" si="302"/>
        <v>4459.5658392720125</v>
      </c>
      <c r="X1048" s="4">
        <f t="shared" ca="1" si="303"/>
        <v>0</v>
      </c>
    </row>
    <row r="1049" spans="1:24">
      <c r="A1049">
        <v>3</v>
      </c>
      <c r="B1049">
        <v>3</v>
      </c>
      <c r="C1049">
        <f t="shared" si="285"/>
        <v>8</v>
      </c>
      <c r="D1049">
        <f t="shared" si="286"/>
        <v>6</v>
      </c>
      <c r="E1049">
        <f t="shared" si="287"/>
        <v>3</v>
      </c>
      <c r="F1049" s="100">
        <f t="shared" ca="1" si="288"/>
        <v>0</v>
      </c>
      <c r="G1049">
        <v>0</v>
      </c>
      <c r="H1049">
        <v>1</v>
      </c>
      <c r="I1049">
        <v>5</v>
      </c>
      <c r="J1049" s="1">
        <f t="shared" ca="1" si="289"/>
        <v>2.8244404482030022E-3</v>
      </c>
      <c r="K1049" s="1">
        <f t="shared" ca="1" si="290"/>
        <v>0</v>
      </c>
      <c r="L1049" s="13">
        <f t="shared" ca="1" si="291"/>
        <v>130</v>
      </c>
      <c r="M1049" s="7">
        <f t="shared" ca="1" si="292"/>
        <v>870</v>
      </c>
      <c r="N1049" s="44">
        <f t="shared" ca="1" si="293"/>
        <v>10</v>
      </c>
      <c r="O1049" s="94">
        <f t="shared" ca="1" si="294"/>
        <v>2.5877599795741038</v>
      </c>
      <c r="P1049" s="94">
        <f t="shared" ca="1" si="295"/>
        <v>25.877599795741034</v>
      </c>
      <c r="Q1049" s="94">
        <f t="shared" ca="1" si="296"/>
        <v>25.877599795741034</v>
      </c>
      <c r="R1049" s="94">
        <f t="shared" ca="1" si="297"/>
        <v>2.5877599795741033</v>
      </c>
      <c r="S1049" s="94">
        <f t="shared" ca="1" si="298"/>
        <v>2.5877599795741038</v>
      </c>
      <c r="T1049" s="4">
        <f t="shared" ca="1" si="299"/>
        <v>0</v>
      </c>
      <c r="U1049" s="46">
        <f t="shared" ca="1" si="300"/>
        <v>1394.8868633777442</v>
      </c>
      <c r="V1049" s="4">
        <f t="shared" ca="1" si="301"/>
        <v>0</v>
      </c>
      <c r="W1049" s="13">
        <f t="shared" ca="1" si="302"/>
        <v>3793.895543800129</v>
      </c>
      <c r="X1049" s="4">
        <f t="shared" ca="1" si="303"/>
        <v>0</v>
      </c>
    </row>
    <row r="1050" spans="1:24">
      <c r="A1050">
        <v>3</v>
      </c>
      <c r="B1050">
        <v>3</v>
      </c>
      <c r="C1050">
        <f t="shared" si="285"/>
        <v>8</v>
      </c>
      <c r="D1050">
        <f t="shared" si="286"/>
        <v>6</v>
      </c>
      <c r="E1050">
        <f t="shared" si="287"/>
        <v>3</v>
      </c>
      <c r="F1050" s="100">
        <f t="shared" ca="1" si="288"/>
        <v>0</v>
      </c>
      <c r="G1050">
        <v>0</v>
      </c>
      <c r="H1050">
        <v>1</v>
      </c>
      <c r="I1050">
        <v>4</v>
      </c>
      <c r="J1050" s="1">
        <f t="shared" ca="1" si="289"/>
        <v>7.1324253742500139E-5</v>
      </c>
      <c r="K1050" s="1">
        <f t="shared" ca="1" si="290"/>
        <v>0</v>
      </c>
      <c r="L1050" s="13">
        <f t="shared" ca="1" si="291"/>
        <v>117</v>
      </c>
      <c r="M1050" s="7">
        <f t="shared" ca="1" si="292"/>
        <v>883</v>
      </c>
      <c r="N1050" s="44">
        <f t="shared" ca="1" si="293"/>
        <v>10</v>
      </c>
      <c r="O1050" s="94">
        <f t="shared" ca="1" si="294"/>
        <v>2.5877599795741038</v>
      </c>
      <c r="P1050" s="94">
        <f t="shared" ca="1" si="295"/>
        <v>25.877599795741034</v>
      </c>
      <c r="Q1050" s="94">
        <f t="shared" ca="1" si="296"/>
        <v>25.877599795741034</v>
      </c>
      <c r="R1050" s="94">
        <f t="shared" ca="1" si="297"/>
        <v>2.5877599795741033</v>
      </c>
      <c r="S1050" s="94">
        <f t="shared" ca="1" si="298"/>
        <v>2.5877599795741038</v>
      </c>
      <c r="T1050" s="4">
        <f t="shared" ca="1" si="299"/>
        <v>0</v>
      </c>
      <c r="U1050" s="46">
        <f t="shared" ca="1" si="300"/>
        <v>1381.8868633777442</v>
      </c>
      <c r="V1050" s="4">
        <f t="shared" ca="1" si="301"/>
        <v>0</v>
      </c>
      <c r="W1050" s="13">
        <f t="shared" ca="1" si="302"/>
        <v>3128.2252483282455</v>
      </c>
      <c r="X1050" s="4">
        <f t="shared" ca="1" si="303"/>
        <v>0</v>
      </c>
    </row>
    <row r="1051" spans="1:24">
      <c r="A1051">
        <v>3</v>
      </c>
      <c r="B1051">
        <v>3</v>
      </c>
      <c r="C1051">
        <f t="shared" si="285"/>
        <v>8</v>
      </c>
      <c r="D1051">
        <f t="shared" si="286"/>
        <v>6</v>
      </c>
      <c r="E1051">
        <f t="shared" si="287"/>
        <v>3</v>
      </c>
      <c r="F1051" s="100">
        <f t="shared" ca="1" si="288"/>
        <v>0</v>
      </c>
      <c r="G1051">
        <v>0</v>
      </c>
      <c r="H1051">
        <v>1</v>
      </c>
      <c r="I1051">
        <v>3</v>
      </c>
      <c r="J1051" s="1">
        <f t="shared" ca="1" si="289"/>
        <v>9.6059601000000243E-7</v>
      </c>
      <c r="K1051" s="1">
        <f t="shared" ca="1" si="290"/>
        <v>0</v>
      </c>
      <c r="L1051" s="13">
        <f t="shared" ca="1" si="291"/>
        <v>104</v>
      </c>
      <c r="M1051" s="7">
        <f t="shared" ca="1" si="292"/>
        <v>896</v>
      </c>
      <c r="N1051" s="44">
        <f t="shared" ca="1" si="293"/>
        <v>11</v>
      </c>
      <c r="O1051" s="94">
        <f t="shared" ca="1" si="294"/>
        <v>2.8265749241644089</v>
      </c>
      <c r="P1051" s="94">
        <f t="shared" ca="1" si="295"/>
        <v>27.071674518692554</v>
      </c>
      <c r="Q1051" s="94">
        <f t="shared" ca="1" si="296"/>
        <v>25.877599795741034</v>
      </c>
      <c r="R1051" s="94">
        <f t="shared" ca="1" si="297"/>
        <v>2.6474637157216794</v>
      </c>
      <c r="S1051" s="94">
        <f t="shared" ca="1" si="298"/>
        <v>2.8265749241644089</v>
      </c>
      <c r="T1051" s="4">
        <f t="shared" ca="1" si="299"/>
        <v>0</v>
      </c>
      <c r="U1051" s="46">
        <f t="shared" ca="1" si="300"/>
        <v>1466.7163216869442</v>
      </c>
      <c r="V1051" s="4">
        <f t="shared" ca="1" si="301"/>
        <v>0</v>
      </c>
      <c r="W1051" s="13">
        <f t="shared" ca="1" si="302"/>
        <v>2462.5549528563624</v>
      </c>
      <c r="X1051" s="4">
        <f t="shared" ca="1" si="303"/>
        <v>0</v>
      </c>
    </row>
    <row r="1052" spans="1:24">
      <c r="A1052">
        <v>3</v>
      </c>
      <c r="B1052">
        <v>3</v>
      </c>
      <c r="C1052">
        <f t="shared" si="285"/>
        <v>8</v>
      </c>
      <c r="D1052">
        <f t="shared" si="286"/>
        <v>6</v>
      </c>
      <c r="E1052">
        <f t="shared" si="287"/>
        <v>3</v>
      </c>
      <c r="F1052" s="100">
        <f t="shared" ca="1" si="288"/>
        <v>0</v>
      </c>
      <c r="G1052">
        <v>0</v>
      </c>
      <c r="H1052">
        <v>1</v>
      </c>
      <c r="I1052">
        <v>2</v>
      </c>
      <c r="J1052" s="1">
        <f t="shared" ca="1" si="289"/>
        <v>7.2772425000000281E-9</v>
      </c>
      <c r="K1052" s="1">
        <f t="shared" ca="1" si="290"/>
        <v>0</v>
      </c>
      <c r="L1052" s="13">
        <f t="shared" ca="1" si="291"/>
        <v>91</v>
      </c>
      <c r="M1052" s="7">
        <f t="shared" ca="1" si="292"/>
        <v>909</v>
      </c>
      <c r="N1052" s="44">
        <f t="shared" ca="1" si="293"/>
        <v>11</v>
      </c>
      <c r="O1052" s="94">
        <f t="shared" ca="1" si="294"/>
        <v>2.8265749241644089</v>
      </c>
      <c r="P1052" s="94">
        <f t="shared" ca="1" si="295"/>
        <v>28.265749241644084</v>
      </c>
      <c r="Q1052" s="94">
        <f t="shared" ca="1" si="296"/>
        <v>27.788119352463475</v>
      </c>
      <c r="R1052" s="94">
        <f t="shared" ca="1" si="297"/>
        <v>2.8026934297053776</v>
      </c>
      <c r="S1052" s="94">
        <f t="shared" ca="1" si="298"/>
        <v>2.8265749241644089</v>
      </c>
      <c r="T1052" s="4">
        <f t="shared" ca="1" si="299"/>
        <v>0</v>
      </c>
      <c r="U1052" s="46">
        <f t="shared" ca="1" si="300"/>
        <v>1453.7163216869442</v>
      </c>
      <c r="V1052" s="4">
        <f t="shared" ca="1" si="301"/>
        <v>0</v>
      </c>
      <c r="W1052" s="13">
        <f t="shared" ca="1" si="302"/>
        <v>1796.8846573844794</v>
      </c>
      <c r="X1052" s="4">
        <f t="shared" ca="1" si="303"/>
        <v>0</v>
      </c>
    </row>
    <row r="1053" spans="1:24">
      <c r="A1053">
        <v>3</v>
      </c>
      <c r="B1053">
        <v>3</v>
      </c>
      <c r="C1053">
        <f t="shared" si="285"/>
        <v>8</v>
      </c>
      <c r="D1053">
        <f t="shared" si="286"/>
        <v>6</v>
      </c>
      <c r="E1053">
        <f t="shared" si="287"/>
        <v>3</v>
      </c>
      <c r="F1053" s="100">
        <f t="shared" ca="1" si="288"/>
        <v>0</v>
      </c>
      <c r="G1053">
        <v>0</v>
      </c>
      <c r="H1053">
        <v>1</v>
      </c>
      <c r="I1053">
        <v>1</v>
      </c>
      <c r="J1053" s="1">
        <f t="shared" ca="1" si="289"/>
        <v>2.9403000000000132E-11</v>
      </c>
      <c r="K1053" s="1">
        <f t="shared" ca="1" si="290"/>
        <v>0</v>
      </c>
      <c r="L1053" s="13">
        <f t="shared" ca="1" si="291"/>
        <v>78</v>
      </c>
      <c r="M1053" s="7">
        <f t="shared" ca="1" si="292"/>
        <v>922</v>
      </c>
      <c r="N1053" s="44">
        <f t="shared" ca="1" si="293"/>
        <v>11</v>
      </c>
      <c r="O1053" s="94">
        <f t="shared" ca="1" si="294"/>
        <v>2.8265749241644089</v>
      </c>
      <c r="P1053" s="94">
        <f t="shared" ca="1" si="295"/>
        <v>28.265749241644084</v>
      </c>
      <c r="Q1053" s="94">
        <f t="shared" ca="1" si="296"/>
        <v>28.265749241644084</v>
      </c>
      <c r="R1053" s="94">
        <f t="shared" ca="1" si="297"/>
        <v>2.8265749241644085</v>
      </c>
      <c r="S1053" s="94">
        <f t="shared" ca="1" si="298"/>
        <v>2.8265749241644089</v>
      </c>
      <c r="T1053" s="4">
        <f t="shared" ca="1" si="299"/>
        <v>0</v>
      </c>
      <c r="U1053" s="46">
        <f t="shared" ca="1" si="300"/>
        <v>1440.7163216869442</v>
      </c>
      <c r="V1053" s="4">
        <f t="shared" ca="1" si="301"/>
        <v>0</v>
      </c>
      <c r="W1053" s="13">
        <f t="shared" ca="1" si="302"/>
        <v>1131.2143619125961</v>
      </c>
      <c r="X1053" s="4">
        <f t="shared" ca="1" si="303"/>
        <v>0</v>
      </c>
    </row>
    <row r="1054" spans="1:24">
      <c r="A1054">
        <v>3</v>
      </c>
      <c r="B1054">
        <v>3</v>
      </c>
      <c r="C1054">
        <f t="shared" si="285"/>
        <v>8</v>
      </c>
      <c r="D1054">
        <f t="shared" si="286"/>
        <v>6</v>
      </c>
      <c r="E1054">
        <f t="shared" si="287"/>
        <v>3</v>
      </c>
      <c r="F1054" s="100">
        <f t="shared" ca="1" si="288"/>
        <v>0</v>
      </c>
      <c r="G1054">
        <v>0</v>
      </c>
      <c r="H1054">
        <v>1</v>
      </c>
      <c r="I1054">
        <v>0</v>
      </c>
      <c r="J1054" s="1">
        <f t="shared" ca="1" si="289"/>
        <v>4.9500000000000269E-14</v>
      </c>
      <c r="K1054" s="1">
        <f t="shared" ca="1" si="290"/>
        <v>0</v>
      </c>
      <c r="L1054" s="13">
        <f t="shared" ca="1" si="291"/>
        <v>65</v>
      </c>
      <c r="M1054" s="7">
        <f t="shared" ca="1" si="292"/>
        <v>935</v>
      </c>
      <c r="N1054" s="44">
        <f t="shared" ca="1" si="293"/>
        <v>11</v>
      </c>
      <c r="O1054" s="94">
        <f t="shared" ca="1" si="294"/>
        <v>2.8265749241644089</v>
      </c>
      <c r="P1054" s="94">
        <f t="shared" ca="1" si="295"/>
        <v>28.265749241644084</v>
      </c>
      <c r="Q1054" s="94">
        <f t="shared" ca="1" si="296"/>
        <v>28.265749241644084</v>
      </c>
      <c r="R1054" s="94">
        <f t="shared" ca="1" si="297"/>
        <v>2.8265749241644085</v>
      </c>
      <c r="S1054" s="94">
        <f t="shared" ca="1" si="298"/>
        <v>2.8265749241644089</v>
      </c>
      <c r="T1054" s="4">
        <f t="shared" ca="1" si="299"/>
        <v>0</v>
      </c>
      <c r="U1054" s="46">
        <f t="shared" ca="1" si="300"/>
        <v>1427.7163216869442</v>
      </c>
      <c r="V1054" s="4">
        <f t="shared" ca="1" si="301"/>
        <v>0</v>
      </c>
      <c r="W1054" s="13">
        <f t="shared" ca="1" si="302"/>
        <v>465.54406644071304</v>
      </c>
      <c r="X1054" s="4">
        <f t="shared" ca="1" si="303"/>
        <v>0</v>
      </c>
    </row>
    <row r="1055" spans="1:24">
      <c r="A1055">
        <v>3</v>
      </c>
      <c r="B1055">
        <v>3</v>
      </c>
      <c r="C1055">
        <f t="shared" si="285"/>
        <v>8</v>
      </c>
      <c r="D1055">
        <f t="shared" si="286"/>
        <v>6</v>
      </c>
      <c r="E1055">
        <f t="shared" si="287"/>
        <v>3</v>
      </c>
      <c r="F1055" s="100">
        <f t="shared" ca="1" si="288"/>
        <v>0</v>
      </c>
      <c r="G1055">
        <v>0</v>
      </c>
      <c r="H1055">
        <v>0</v>
      </c>
      <c r="I1055">
        <v>7</v>
      </c>
      <c r="J1055" s="1">
        <f t="shared" ca="1" si="289"/>
        <v>0</v>
      </c>
      <c r="K1055" s="1">
        <f t="shared" ca="1" si="290"/>
        <v>0</v>
      </c>
      <c r="L1055" s="13">
        <f t="shared" ca="1" si="291"/>
        <v>91</v>
      </c>
      <c r="M1055" s="7">
        <f t="shared" ca="1" si="292"/>
        <v>909</v>
      </c>
      <c r="N1055" s="44">
        <f t="shared" ca="1" si="293"/>
        <v>11</v>
      </c>
      <c r="O1055" s="94">
        <f t="shared" ca="1" si="294"/>
        <v>2.8265749241644089</v>
      </c>
      <c r="P1055" s="94">
        <f t="shared" ca="1" si="295"/>
        <v>28.265749241644084</v>
      </c>
      <c r="Q1055" s="94">
        <f t="shared" ca="1" si="296"/>
        <v>27.788119352463475</v>
      </c>
      <c r="R1055" s="94">
        <f t="shared" ca="1" si="297"/>
        <v>2.8026934297053776</v>
      </c>
      <c r="S1055" s="94">
        <f t="shared" ca="1" si="298"/>
        <v>2.8265749241644089</v>
      </c>
      <c r="T1055" s="4">
        <f t="shared" ca="1" si="299"/>
        <v>0</v>
      </c>
      <c r="U1055" s="46">
        <f t="shared" ca="1" si="300"/>
        <v>1453.7163216869442</v>
      </c>
      <c r="V1055" s="4">
        <f t="shared" ca="1" si="301"/>
        <v>0</v>
      </c>
      <c r="W1055" s="13">
        <f t="shared" ca="1" si="302"/>
        <v>4659.6920683031822</v>
      </c>
      <c r="X1055" s="4">
        <f t="shared" ca="1" si="303"/>
        <v>0</v>
      </c>
    </row>
    <row r="1056" spans="1:24">
      <c r="A1056">
        <v>3</v>
      </c>
      <c r="B1056">
        <v>3</v>
      </c>
      <c r="C1056">
        <f t="shared" si="285"/>
        <v>8</v>
      </c>
      <c r="D1056">
        <f t="shared" si="286"/>
        <v>6</v>
      </c>
      <c r="E1056">
        <f t="shared" si="287"/>
        <v>3</v>
      </c>
      <c r="F1056" s="100">
        <f t="shared" ca="1" si="288"/>
        <v>0</v>
      </c>
      <c r="G1056">
        <v>0</v>
      </c>
      <c r="H1056">
        <v>0</v>
      </c>
      <c r="I1056">
        <v>6</v>
      </c>
      <c r="J1056" s="1">
        <f t="shared" ca="1" si="289"/>
        <v>4.7074007470050038E-4</v>
      </c>
      <c r="K1056" s="1">
        <f t="shared" ca="1" si="290"/>
        <v>0</v>
      </c>
      <c r="L1056" s="13">
        <f t="shared" ca="1" si="291"/>
        <v>78</v>
      </c>
      <c r="M1056" s="7">
        <f t="shared" ca="1" si="292"/>
        <v>922</v>
      </c>
      <c r="N1056" s="44">
        <f t="shared" ca="1" si="293"/>
        <v>11</v>
      </c>
      <c r="O1056" s="94">
        <f t="shared" ca="1" si="294"/>
        <v>2.8265749241644089</v>
      </c>
      <c r="P1056" s="94">
        <f t="shared" ca="1" si="295"/>
        <v>28.265749241644084</v>
      </c>
      <c r="Q1056" s="94">
        <f t="shared" ca="1" si="296"/>
        <v>28.265749241644084</v>
      </c>
      <c r="R1056" s="94">
        <f t="shared" ca="1" si="297"/>
        <v>2.8265749241644085</v>
      </c>
      <c r="S1056" s="94">
        <f t="shared" ca="1" si="298"/>
        <v>2.8265749241644089</v>
      </c>
      <c r="T1056" s="4">
        <f t="shared" ca="1" si="299"/>
        <v>0</v>
      </c>
      <c r="U1056" s="46">
        <f t="shared" ca="1" si="300"/>
        <v>1440.7163216869442</v>
      </c>
      <c r="V1056" s="4">
        <f t="shared" ca="1" si="301"/>
        <v>0</v>
      </c>
      <c r="W1056" s="13">
        <f t="shared" ca="1" si="302"/>
        <v>3994.0217728312991</v>
      </c>
      <c r="X1056" s="4">
        <f t="shared" ca="1" si="303"/>
        <v>0</v>
      </c>
    </row>
    <row r="1057" spans="1:24">
      <c r="A1057">
        <v>3</v>
      </c>
      <c r="B1057">
        <v>3</v>
      </c>
      <c r="C1057">
        <f t="shared" si="285"/>
        <v>8</v>
      </c>
      <c r="D1057">
        <f t="shared" si="286"/>
        <v>6</v>
      </c>
      <c r="E1057">
        <f t="shared" si="287"/>
        <v>3</v>
      </c>
      <c r="F1057" s="100">
        <f t="shared" ca="1" si="288"/>
        <v>0</v>
      </c>
      <c r="G1057">
        <v>0</v>
      </c>
      <c r="H1057">
        <v>0</v>
      </c>
      <c r="I1057">
        <v>5</v>
      </c>
      <c r="J1057" s="1">
        <f t="shared" ca="1" si="289"/>
        <v>2.8529701497000046E-5</v>
      </c>
      <c r="K1057" s="1">
        <f t="shared" ca="1" si="290"/>
        <v>0</v>
      </c>
      <c r="L1057" s="13">
        <f t="shared" ca="1" si="291"/>
        <v>65</v>
      </c>
      <c r="M1057" s="7">
        <f t="shared" ca="1" si="292"/>
        <v>935</v>
      </c>
      <c r="N1057" s="44">
        <f t="shared" ca="1" si="293"/>
        <v>11</v>
      </c>
      <c r="O1057" s="94">
        <f t="shared" ca="1" si="294"/>
        <v>2.8265749241644089</v>
      </c>
      <c r="P1057" s="94">
        <f t="shared" ca="1" si="295"/>
        <v>28.265749241644084</v>
      </c>
      <c r="Q1057" s="94">
        <f t="shared" ca="1" si="296"/>
        <v>28.265749241644084</v>
      </c>
      <c r="R1057" s="94">
        <f t="shared" ca="1" si="297"/>
        <v>2.8265749241644085</v>
      </c>
      <c r="S1057" s="94">
        <f t="shared" ca="1" si="298"/>
        <v>2.8265749241644089</v>
      </c>
      <c r="T1057" s="4">
        <f t="shared" ca="1" si="299"/>
        <v>0</v>
      </c>
      <c r="U1057" s="46">
        <f t="shared" ca="1" si="300"/>
        <v>1427.7163216869442</v>
      </c>
      <c r="V1057" s="4">
        <f t="shared" ca="1" si="301"/>
        <v>0</v>
      </c>
      <c r="W1057" s="13">
        <f t="shared" ca="1" si="302"/>
        <v>3328.3514773594161</v>
      </c>
      <c r="X1057" s="4">
        <f t="shared" ca="1" si="303"/>
        <v>0</v>
      </c>
    </row>
    <row r="1058" spans="1:24">
      <c r="A1058">
        <v>3</v>
      </c>
      <c r="B1058">
        <v>3</v>
      </c>
      <c r="C1058">
        <f t="shared" si="285"/>
        <v>8</v>
      </c>
      <c r="D1058">
        <f t="shared" si="286"/>
        <v>6</v>
      </c>
      <c r="E1058">
        <f t="shared" si="287"/>
        <v>3</v>
      </c>
      <c r="F1058" s="100">
        <f t="shared" ca="1" si="288"/>
        <v>0</v>
      </c>
      <c r="G1058">
        <v>0</v>
      </c>
      <c r="H1058">
        <v>0</v>
      </c>
      <c r="I1058">
        <v>4</v>
      </c>
      <c r="J1058" s="1">
        <f t="shared" ca="1" si="289"/>
        <v>7.2044700750000193E-7</v>
      </c>
      <c r="K1058" s="1">
        <f t="shared" ca="1" si="290"/>
        <v>0</v>
      </c>
      <c r="L1058" s="13">
        <f t="shared" ca="1" si="291"/>
        <v>52</v>
      </c>
      <c r="M1058" s="7">
        <f t="shared" ca="1" si="292"/>
        <v>948</v>
      </c>
      <c r="N1058" s="44">
        <f t="shared" ca="1" si="293"/>
        <v>11</v>
      </c>
      <c r="O1058" s="94">
        <f t="shared" ca="1" si="294"/>
        <v>2.8265749241644089</v>
      </c>
      <c r="P1058" s="94">
        <f t="shared" ca="1" si="295"/>
        <v>28.265749241644084</v>
      </c>
      <c r="Q1058" s="94">
        <f t="shared" ca="1" si="296"/>
        <v>28.265749241644084</v>
      </c>
      <c r="R1058" s="94">
        <f t="shared" ca="1" si="297"/>
        <v>2.8265749241644085</v>
      </c>
      <c r="S1058" s="94">
        <f t="shared" ca="1" si="298"/>
        <v>2.8265749241644089</v>
      </c>
      <c r="T1058" s="4">
        <f t="shared" ca="1" si="299"/>
        <v>0</v>
      </c>
      <c r="U1058" s="46">
        <f t="shared" ca="1" si="300"/>
        <v>1414.7163216869442</v>
      </c>
      <c r="V1058" s="4">
        <f t="shared" ca="1" si="301"/>
        <v>0</v>
      </c>
      <c r="W1058" s="13">
        <f t="shared" ca="1" si="302"/>
        <v>2662.6811818875326</v>
      </c>
      <c r="X1058" s="4">
        <f t="shared" ca="1" si="303"/>
        <v>0</v>
      </c>
    </row>
    <row r="1059" spans="1:24">
      <c r="A1059">
        <v>3</v>
      </c>
      <c r="B1059">
        <v>3</v>
      </c>
      <c r="C1059">
        <f t="shared" si="285"/>
        <v>8</v>
      </c>
      <c r="D1059">
        <f t="shared" si="286"/>
        <v>6</v>
      </c>
      <c r="E1059">
        <f t="shared" si="287"/>
        <v>3</v>
      </c>
      <c r="F1059" s="100">
        <f t="shared" ca="1" si="288"/>
        <v>0</v>
      </c>
      <c r="G1059">
        <v>0</v>
      </c>
      <c r="H1059">
        <v>0</v>
      </c>
      <c r="I1059">
        <v>3</v>
      </c>
      <c r="J1059" s="1">
        <f t="shared" ca="1" si="289"/>
        <v>9.7029900000000341E-9</v>
      </c>
      <c r="K1059" s="1">
        <f t="shared" ca="1" si="290"/>
        <v>0</v>
      </c>
      <c r="L1059" s="13">
        <f t="shared" ca="1" si="291"/>
        <v>39</v>
      </c>
      <c r="M1059" s="7">
        <f t="shared" ca="1" si="292"/>
        <v>961</v>
      </c>
      <c r="N1059" s="44">
        <f t="shared" ca="1" si="293"/>
        <v>11</v>
      </c>
      <c r="O1059" s="94">
        <f t="shared" ca="1" si="294"/>
        <v>2.8265749241644089</v>
      </c>
      <c r="P1059" s="94">
        <f t="shared" ca="1" si="295"/>
        <v>28.265749241644084</v>
      </c>
      <c r="Q1059" s="94">
        <f t="shared" ca="1" si="296"/>
        <v>28.265749241644084</v>
      </c>
      <c r="R1059" s="94">
        <f t="shared" ca="1" si="297"/>
        <v>2.8265749241644085</v>
      </c>
      <c r="S1059" s="94">
        <f t="shared" ca="1" si="298"/>
        <v>2.8265749241644089</v>
      </c>
      <c r="T1059" s="4">
        <f t="shared" ca="1" si="299"/>
        <v>0</v>
      </c>
      <c r="U1059" s="46">
        <f t="shared" ca="1" si="300"/>
        <v>1401.7163216869442</v>
      </c>
      <c r="V1059" s="4">
        <f t="shared" ca="1" si="301"/>
        <v>0</v>
      </c>
      <c r="W1059" s="13">
        <f t="shared" ca="1" si="302"/>
        <v>1997.0108864156496</v>
      </c>
      <c r="X1059" s="4">
        <f t="shared" ca="1" si="303"/>
        <v>0</v>
      </c>
    </row>
    <row r="1060" spans="1:24">
      <c r="A1060">
        <v>3</v>
      </c>
      <c r="B1060">
        <v>3</v>
      </c>
      <c r="C1060">
        <f t="shared" si="285"/>
        <v>8</v>
      </c>
      <c r="D1060">
        <f t="shared" si="286"/>
        <v>6</v>
      </c>
      <c r="E1060">
        <f t="shared" si="287"/>
        <v>3</v>
      </c>
      <c r="F1060" s="100">
        <f t="shared" ca="1" si="288"/>
        <v>0</v>
      </c>
      <c r="G1060">
        <v>0</v>
      </c>
      <c r="H1060">
        <v>0</v>
      </c>
      <c r="I1060">
        <v>2</v>
      </c>
      <c r="J1060" s="1">
        <f t="shared" ca="1" si="289"/>
        <v>7.350750000000034E-11</v>
      </c>
      <c r="K1060" s="1">
        <f t="shared" ca="1" si="290"/>
        <v>0</v>
      </c>
      <c r="L1060" s="13">
        <f t="shared" ca="1" si="291"/>
        <v>26</v>
      </c>
      <c r="M1060" s="7">
        <f t="shared" ca="1" si="292"/>
        <v>974</v>
      </c>
      <c r="N1060" s="44">
        <f t="shared" ca="1" si="293"/>
        <v>11</v>
      </c>
      <c r="O1060" s="94">
        <f t="shared" ca="1" si="294"/>
        <v>2.8265749241644089</v>
      </c>
      <c r="P1060" s="94">
        <f t="shared" ca="1" si="295"/>
        <v>28.265749241644084</v>
      </c>
      <c r="Q1060" s="94">
        <f t="shared" ca="1" si="296"/>
        <v>28.265749241644084</v>
      </c>
      <c r="R1060" s="94">
        <f t="shared" ca="1" si="297"/>
        <v>2.8265749241644085</v>
      </c>
      <c r="S1060" s="94">
        <f t="shared" ca="1" si="298"/>
        <v>2.8265749241644089</v>
      </c>
      <c r="T1060" s="4">
        <f t="shared" ca="1" si="299"/>
        <v>0</v>
      </c>
      <c r="U1060" s="46">
        <f t="shared" ca="1" si="300"/>
        <v>1388.7163216869442</v>
      </c>
      <c r="V1060" s="4">
        <f t="shared" ca="1" si="301"/>
        <v>0</v>
      </c>
      <c r="W1060" s="13">
        <f t="shared" ca="1" si="302"/>
        <v>1331.3405909437663</v>
      </c>
      <c r="X1060" s="4">
        <f t="shared" ca="1" si="303"/>
        <v>0</v>
      </c>
    </row>
    <row r="1061" spans="1:24">
      <c r="A1061">
        <v>3</v>
      </c>
      <c r="B1061">
        <v>3</v>
      </c>
      <c r="C1061">
        <f t="shared" si="285"/>
        <v>8</v>
      </c>
      <c r="D1061">
        <f t="shared" si="286"/>
        <v>6</v>
      </c>
      <c r="E1061">
        <f t="shared" si="287"/>
        <v>3</v>
      </c>
      <c r="F1061" s="100">
        <f t="shared" ca="1" si="288"/>
        <v>0</v>
      </c>
      <c r="G1061">
        <v>0</v>
      </c>
      <c r="H1061">
        <v>0</v>
      </c>
      <c r="I1061">
        <v>1</v>
      </c>
      <c r="J1061" s="1">
        <f t="shared" ca="1" si="289"/>
        <v>2.9700000000000161E-13</v>
      </c>
      <c r="K1061" s="1">
        <f t="shared" ca="1" si="290"/>
        <v>0</v>
      </c>
      <c r="L1061" s="13">
        <f t="shared" ca="1" si="291"/>
        <v>13</v>
      </c>
      <c r="M1061" s="7">
        <f t="shared" ca="1" si="292"/>
        <v>987</v>
      </c>
      <c r="N1061" s="44">
        <f t="shared" ca="1" si="293"/>
        <v>12</v>
      </c>
      <c r="O1061" s="94">
        <f t="shared" ca="1" si="294"/>
        <v>3.049271339469791</v>
      </c>
      <c r="P1061" s="94">
        <f t="shared" ca="1" si="295"/>
        <v>29.824624148781758</v>
      </c>
      <c r="Q1061" s="94">
        <f t="shared" ca="1" si="296"/>
        <v>28.265749241644084</v>
      </c>
      <c r="R1061" s="94">
        <f t="shared" ca="1" si="297"/>
        <v>2.9045186695212921</v>
      </c>
      <c r="S1061" s="94">
        <f t="shared" ca="1" si="298"/>
        <v>3.049271339469791</v>
      </c>
      <c r="T1061" s="4">
        <f t="shared" ca="1" si="299"/>
        <v>0</v>
      </c>
      <c r="U1061" s="46">
        <f t="shared" ca="1" si="300"/>
        <v>1466.9428976204611</v>
      </c>
      <c r="V1061" s="4">
        <f t="shared" ca="1" si="301"/>
        <v>0</v>
      </c>
      <c r="W1061" s="13">
        <f t="shared" ca="1" si="302"/>
        <v>665.67029547188315</v>
      </c>
      <c r="X1061" s="4">
        <f t="shared" ca="1" si="303"/>
        <v>0</v>
      </c>
    </row>
    <row r="1062" spans="1:24">
      <c r="A1062">
        <v>3</v>
      </c>
      <c r="B1062">
        <v>3</v>
      </c>
      <c r="C1062">
        <f t="shared" si="285"/>
        <v>8</v>
      </c>
      <c r="D1062">
        <f t="shared" si="286"/>
        <v>6</v>
      </c>
      <c r="E1062">
        <f t="shared" si="287"/>
        <v>3</v>
      </c>
      <c r="F1062" s="100">
        <f t="shared" ca="1" si="288"/>
        <v>0</v>
      </c>
      <c r="G1062">
        <v>0</v>
      </c>
      <c r="H1062">
        <v>0</v>
      </c>
      <c r="I1062">
        <v>0</v>
      </c>
      <c r="J1062" s="1">
        <f t="shared" ca="1" si="289"/>
        <v>5.0000000000000319E-16</v>
      </c>
      <c r="K1062" s="1">
        <f t="shared" ca="1" si="290"/>
        <v>0</v>
      </c>
      <c r="L1062" s="13">
        <f t="shared" ca="1" si="291"/>
        <v>0</v>
      </c>
      <c r="M1062" s="7">
        <f t="shared" ca="1" si="292"/>
        <v>1000</v>
      </c>
      <c r="N1062" s="44">
        <f t="shared" ca="1" si="293"/>
        <v>12</v>
      </c>
      <c r="O1062" s="94">
        <f t="shared" ca="1" si="294"/>
        <v>3.049271339469791</v>
      </c>
      <c r="P1062" s="94">
        <f t="shared" ca="1" si="295"/>
        <v>30.492713394697905</v>
      </c>
      <c r="Q1062" s="94">
        <f t="shared" ca="1" si="296"/>
        <v>30.492713394697905</v>
      </c>
      <c r="R1062" s="94">
        <f t="shared" ca="1" si="297"/>
        <v>3.0492713394697906</v>
      </c>
      <c r="S1062" s="94">
        <f t="shared" ca="1" si="298"/>
        <v>3.049271339469791</v>
      </c>
      <c r="T1062" s="4">
        <f t="shared" ca="1" si="299"/>
        <v>0</v>
      </c>
      <c r="U1062" s="46">
        <f t="shared" ca="1" si="300"/>
        <v>1453.9428976204611</v>
      </c>
      <c r="V1062" s="4">
        <f t="shared" ca="1" si="301"/>
        <v>0</v>
      </c>
      <c r="W1062" s="13">
        <f t="shared" ca="1" si="302"/>
        <v>0</v>
      </c>
      <c r="X1062" s="4">
        <f t="shared" ca="1" si="303"/>
        <v>0</v>
      </c>
    </row>
    <row r="1064" spans="1:24">
      <c r="J1064" s="2" t="s">
        <v>335</v>
      </c>
      <c r="K1064" s="40">
        <f ca="1">SUM(K551:K1062)</f>
        <v>0.99999999999999956</v>
      </c>
      <c r="O1064" s="44"/>
      <c r="P1064" s="44"/>
      <c r="Q1064" s="44"/>
      <c r="R1064" s="44"/>
      <c r="S1064" s="44" t="s">
        <v>336</v>
      </c>
      <c r="T1064" s="4">
        <f ca="1">SUM(T551:T1062)</f>
        <v>2.6018835906170636</v>
      </c>
      <c r="U1064" t="s">
        <v>159</v>
      </c>
      <c r="V1064" s="4">
        <f ca="1">SUM(V551:V1062)</f>
        <v>1410.4533465485445</v>
      </c>
      <c r="W1064" t="s">
        <v>337</v>
      </c>
      <c r="X1064" s="4">
        <f ca="1">SUM(X551:X1062)</f>
        <v>11908.793388109687</v>
      </c>
    </row>
  </sheetData>
  <phoneticPr fontId="2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indexed="52"/>
  </sheetPr>
  <dimension ref="A1:U113"/>
  <sheetViews>
    <sheetView workbookViewId="0"/>
  </sheetViews>
  <sheetFormatPr defaultRowHeight="12.75"/>
  <cols>
    <col min="1" max="1" width="15.42578125" customWidth="1"/>
    <col min="5" max="5" width="9.28515625" bestFit="1" customWidth="1"/>
    <col min="9" max="9" width="10.28515625" bestFit="1" customWidth="1"/>
    <col min="17" max="17" width="15.7109375" customWidth="1"/>
    <col min="18" max="18" width="10.7109375" customWidth="1"/>
    <col min="19" max="19" width="5.7109375" customWidth="1"/>
    <col min="20" max="20" width="15.7109375" customWidth="1"/>
    <col min="21" max="21" width="10.7109375" customWidth="1"/>
  </cols>
  <sheetData>
    <row r="1" spans="1:21">
      <c r="A1" t="s">
        <v>149</v>
      </c>
    </row>
    <row r="2" spans="1:21">
      <c r="Q2" t="s">
        <v>149</v>
      </c>
      <c r="T2" t="s">
        <v>151</v>
      </c>
    </row>
    <row r="3" spans="1:21">
      <c r="A3" t="s">
        <v>51</v>
      </c>
      <c r="B3" s="5">
        <f ca="1">Data!B112</f>
        <v>0.99</v>
      </c>
      <c r="D3" s="44" t="s">
        <v>138</v>
      </c>
      <c r="E3" s="44"/>
      <c r="F3" s="44"/>
      <c r="G3" s="44"/>
      <c r="H3" s="44"/>
      <c r="I3" s="44"/>
      <c r="R3" t="s">
        <v>53</v>
      </c>
      <c r="U3" t="s">
        <v>53</v>
      </c>
    </row>
    <row r="4" spans="1:21">
      <c r="A4" t="s">
        <v>43</v>
      </c>
      <c r="B4" s="2">
        <f ca="1">Data!B226</f>
        <v>0.42000000000000004</v>
      </c>
      <c r="D4" t="s">
        <v>44</v>
      </c>
      <c r="E4" t="s">
        <v>45</v>
      </c>
      <c r="F4" s="14">
        <v>0</v>
      </c>
      <c r="G4" s="14">
        <v>1</v>
      </c>
      <c r="H4" s="14">
        <v>2</v>
      </c>
      <c r="I4" s="25">
        <v>3</v>
      </c>
      <c r="J4" s="25">
        <v>4</v>
      </c>
      <c r="K4" s="25">
        <v>5</v>
      </c>
      <c r="L4" s="25">
        <v>6</v>
      </c>
      <c r="M4" s="25">
        <v>7</v>
      </c>
      <c r="N4" s="25">
        <v>8</v>
      </c>
      <c r="Q4" s="4"/>
      <c r="R4" s="4"/>
      <c r="T4" s="4"/>
      <c r="U4" s="4"/>
    </row>
    <row r="5" spans="1:21">
      <c r="A5" t="s">
        <v>150</v>
      </c>
      <c r="B5" s="2">
        <f ca="1">Data!B227</f>
        <v>0.35000000000000003</v>
      </c>
      <c r="D5">
        <v>0</v>
      </c>
      <c r="E5" s="15">
        <v>0</v>
      </c>
      <c r="F5" s="40">
        <f t="shared" ref="F5:N13" ca="1" si="0">IF($D5&gt;=F$4, POWER($B$3, F$4) * POWER((1-$B$3), $D5-F$4) * COMBIN($D5,F$4) * $E5, 0)</f>
        <v>0</v>
      </c>
      <c r="G5" s="40">
        <f t="shared" si="0"/>
        <v>0</v>
      </c>
      <c r="H5" s="40">
        <f t="shared" si="0"/>
        <v>0</v>
      </c>
      <c r="I5" s="40">
        <f t="shared" si="0"/>
        <v>0</v>
      </c>
      <c r="J5" s="40">
        <f t="shared" si="0"/>
        <v>0</v>
      </c>
      <c r="K5" s="40">
        <f t="shared" si="0"/>
        <v>0</v>
      </c>
      <c r="L5" s="40">
        <f t="shared" si="0"/>
        <v>0</v>
      </c>
      <c r="M5" s="40">
        <f t="shared" si="0"/>
        <v>0</v>
      </c>
      <c r="N5" s="40">
        <f t="shared" si="0"/>
        <v>0</v>
      </c>
      <c r="R5" s="35">
        <v>0</v>
      </c>
      <c r="U5" s="35">
        <v>0</v>
      </c>
    </row>
    <row r="6" spans="1:21">
      <c r="A6" t="s">
        <v>309</v>
      </c>
      <c r="B6" s="2">
        <f ca="1">Data!B228</f>
        <v>0</v>
      </c>
      <c r="D6">
        <v>1</v>
      </c>
      <c r="E6" s="16">
        <f ca="1">(1-B6)*(1-B5)*(1-B4)*(1-B8)*(1-B24)*(1-B7)</f>
        <v>0.37699999999999995</v>
      </c>
      <c r="F6" s="40">
        <f ca="1">IF($D6&gt;=F$4, POWER($B$3, F$4) * POWER((1-$B$3), $D6-F$4) * COMBIN($D6,F$4) * $E6, 0)</f>
        <v>3.7700000000000029E-3</v>
      </c>
      <c r="G6" s="40">
        <f t="shared" ca="1" si="0"/>
        <v>0.37322999999999995</v>
      </c>
      <c r="H6" s="40">
        <f t="shared" si="0"/>
        <v>0</v>
      </c>
      <c r="I6" s="40">
        <f t="shared" si="0"/>
        <v>0</v>
      </c>
      <c r="J6" s="40">
        <f t="shared" si="0"/>
        <v>0</v>
      </c>
      <c r="K6" s="40">
        <f t="shared" si="0"/>
        <v>0</v>
      </c>
      <c r="L6" s="40">
        <f t="shared" si="0"/>
        <v>0</v>
      </c>
      <c r="M6" s="40">
        <f t="shared" si="0"/>
        <v>0</v>
      </c>
      <c r="N6" s="40">
        <f t="shared" si="0"/>
        <v>0</v>
      </c>
      <c r="R6">
        <v>0</v>
      </c>
      <c r="U6">
        <v>0</v>
      </c>
    </row>
    <row r="7" spans="1:21">
      <c r="A7" t="s">
        <v>380</v>
      </c>
      <c r="B7" s="2">
        <v>0</v>
      </c>
      <c r="D7">
        <v>2</v>
      </c>
      <c r="E7" s="16">
        <f ca="1">(1-B6)*(1-B5)*(B4)*(1-B7) + (1-B6)*(1-B5)*(1-B4)*(B8)*(B9)*(1-B7) + (1-B6)*(1-B5)*(1-B4)*(1-B8)*(B24)*(B25)*(1-B7) + (1-B6)*(1-B5)*(1-B4)*(1-B8)*(1-B24)*(B7)</f>
        <v>0.27299999999999996</v>
      </c>
      <c r="F7" s="40">
        <f t="shared" ca="1" si="0"/>
        <v>2.7300000000000047E-5</v>
      </c>
      <c r="G7" s="40">
        <f ca="1">IF($D7&gt;=G$4, POWER($B$3, G$4) * POWER((1-$B$3), $D7-G$4) * COMBIN($D7,G$4) * $E7, 0)</f>
        <v>5.4054000000000046E-3</v>
      </c>
      <c r="H7" s="40">
        <f t="shared" ca="1" si="0"/>
        <v>0.26756729999999995</v>
      </c>
      <c r="I7" s="40">
        <f t="shared" si="0"/>
        <v>0</v>
      </c>
      <c r="J7" s="40">
        <f t="shared" si="0"/>
        <v>0</v>
      </c>
      <c r="K7" s="40">
        <f t="shared" si="0"/>
        <v>0</v>
      </c>
      <c r="L7" s="40">
        <f t="shared" si="0"/>
        <v>0</v>
      </c>
      <c r="M7" s="40">
        <f t="shared" si="0"/>
        <v>0</v>
      </c>
      <c r="N7" s="40">
        <f t="shared" si="0"/>
        <v>0</v>
      </c>
      <c r="R7">
        <v>0</v>
      </c>
      <c r="U7">
        <v>0</v>
      </c>
    </row>
    <row r="8" spans="1:21">
      <c r="A8" t="s">
        <v>381</v>
      </c>
      <c r="B8" s="2">
        <f ca="1">IF(ISBLANK(Gear!$B$3), 0, VLOOKUP(Gear!$B$3, INDIRECT(Gear!$A$3), MATCH("OAx", StatHeader, 0), 0))</f>
        <v>0</v>
      </c>
      <c r="D8">
        <v>3</v>
      </c>
      <c r="E8" s="16">
        <f ca="1">(1-B6)*(B5)*(1-B7) + (1-B6)*(1-B5)*(B4)*(B7) + (1-B6)*(1-B5)*(1-B4)*(B8)*(B10)*(1-B7) + (1-B6)*(1-B5)*(1-B4)*(B8)*(B9)*(B7) + (1-B6)*(1-B5)*(1-B4)*(1-B8)*(B24)*(B26)*(1-B7) + (1-B6)*(1-B5)*(1-B4)*(1-B8)*(B24)*(B25)*(B7)</f>
        <v>0.35000000000000003</v>
      </c>
      <c r="F8" s="40">
        <f t="shared" ca="1" si="0"/>
        <v>3.5000000000000099E-7</v>
      </c>
      <c r="G8" s="40">
        <f ca="1">IF($D8&gt;=G$4, POWER($B$3, G$4) * POWER((1-$B$3), $D8-G$4) * COMBIN($D8,G$4) * $E8, 0)</f>
        <v>1.0395000000000021E-4</v>
      </c>
      <c r="H8" s="40">
        <f t="shared" ca="1" si="0"/>
        <v>1.0291050000000008E-2</v>
      </c>
      <c r="I8" s="40">
        <f t="shared" ca="1" si="0"/>
        <v>0.33960465000000001</v>
      </c>
      <c r="J8" s="40">
        <f t="shared" si="0"/>
        <v>0</v>
      </c>
      <c r="K8" s="40">
        <f t="shared" si="0"/>
        <v>0</v>
      </c>
      <c r="L8" s="40">
        <f t="shared" si="0"/>
        <v>0</v>
      </c>
      <c r="M8" s="40">
        <f t="shared" si="0"/>
        <v>0</v>
      </c>
      <c r="N8" s="40">
        <f t="shared" si="0"/>
        <v>0</v>
      </c>
      <c r="R8">
        <v>0</v>
      </c>
      <c r="U8">
        <v>0</v>
      </c>
    </row>
    <row r="9" spans="1:21">
      <c r="A9" t="s">
        <v>382</v>
      </c>
      <c r="B9" s="2">
        <f ca="1">IF(ISBLANK(Gear!$B$3), 0, VLOOKUP(Gear!$B$3, INDIRECT(Gear!$A$3), MATCH(A9, StatHeader, 0), 0))</f>
        <v>0</v>
      </c>
      <c r="D9">
        <v>4</v>
      </c>
      <c r="E9" s="16">
        <f ca="1">(B6)*(1-B7) + (1-B6)*(B5)*(B7) + (1-B6)*(1-B5)*(1-B4)*(B8)*(B11)*(1-B7) + (1-B6)*(1-B5)*(1-B4)*(B8)*(B10)*(B7) + (1-B6)*(1-B5)*(1-B4)*(1-B8)*(B24)*(B26)*(B7)</f>
        <v>0</v>
      </c>
      <c r="F9" s="40">
        <f t="shared" ca="1" si="0"/>
        <v>0</v>
      </c>
      <c r="G9" s="40">
        <f t="shared" ca="1" si="0"/>
        <v>0</v>
      </c>
      <c r="H9" s="40">
        <f t="shared" ca="1" si="0"/>
        <v>0</v>
      </c>
      <c r="I9" s="40">
        <f t="shared" ca="1" si="0"/>
        <v>0</v>
      </c>
      <c r="J9" s="40">
        <f t="shared" ca="1" si="0"/>
        <v>0</v>
      </c>
      <c r="K9" s="40">
        <f t="shared" si="0"/>
        <v>0</v>
      </c>
      <c r="L9" s="40">
        <f t="shared" si="0"/>
        <v>0</v>
      </c>
      <c r="M9" s="40">
        <f t="shared" si="0"/>
        <v>0</v>
      </c>
      <c r="N9" s="40">
        <f t="shared" si="0"/>
        <v>0</v>
      </c>
      <c r="R9">
        <v>0</v>
      </c>
      <c r="U9">
        <v>0</v>
      </c>
    </row>
    <row r="10" spans="1:21">
      <c r="A10" t="s">
        <v>383</v>
      </c>
      <c r="B10" s="2">
        <f ca="1">IF(ISBLANK(Gear!$B$3), 0, VLOOKUP(Gear!$B$3, INDIRECT(Gear!$A$3), MATCH(A10, StatHeader, 0), 0))</f>
        <v>0</v>
      </c>
      <c r="D10">
        <v>5</v>
      </c>
      <c r="E10" s="98">
        <f ca="1">(1-B6)*(1-B5)*(1-B4)*(B8)*(B12)*(1-B7) + (1-B6)*(1-B5)*(1-B4)*(B8)*(B11)*(B7) + (B6)*(B7)</f>
        <v>0</v>
      </c>
      <c r="F10" s="40">
        <f t="shared" ca="1" si="0"/>
        <v>0</v>
      </c>
      <c r="G10" s="40">
        <f t="shared" ca="1" si="0"/>
        <v>0</v>
      </c>
      <c r="H10" s="40">
        <f t="shared" ca="1" si="0"/>
        <v>0</v>
      </c>
      <c r="I10" s="40">
        <f t="shared" ca="1" si="0"/>
        <v>0</v>
      </c>
      <c r="J10" s="40">
        <f t="shared" ca="1" si="0"/>
        <v>0</v>
      </c>
      <c r="K10" s="40">
        <f t="shared" ca="1" si="0"/>
        <v>0</v>
      </c>
      <c r="L10" s="40">
        <f t="shared" si="0"/>
        <v>0</v>
      </c>
      <c r="M10" s="40">
        <f t="shared" si="0"/>
        <v>0</v>
      </c>
      <c r="N10" s="40">
        <f t="shared" si="0"/>
        <v>0</v>
      </c>
      <c r="R10">
        <v>0</v>
      </c>
      <c r="U10">
        <v>0</v>
      </c>
    </row>
    <row r="11" spans="1:21">
      <c r="A11" t="s">
        <v>384</v>
      </c>
      <c r="B11" s="2">
        <f ca="1">IF(ISBLANK(Gear!$B$3), 0, VLOOKUP(Gear!$B$3, INDIRECT(Gear!$A$3), MATCH(A11, StatHeader, 0), 0))</f>
        <v>0</v>
      </c>
      <c r="D11" s="44">
        <v>6</v>
      </c>
      <c r="E11" s="98">
        <f ca="1">(1-B6)*(1-B5)*(1-B4)*(B8)*(B13)*(1-B7) + (1-B6)*(1-B5)*(1-B4)*(B8)*(B12)*(B7)</f>
        <v>0</v>
      </c>
      <c r="F11" s="40">
        <f t="shared" ca="1" si="0"/>
        <v>0</v>
      </c>
      <c r="G11" s="40">
        <f t="shared" ca="1" si="0"/>
        <v>0</v>
      </c>
      <c r="H11" s="40">
        <f t="shared" ca="1" si="0"/>
        <v>0</v>
      </c>
      <c r="I11" s="40">
        <f t="shared" ca="1" si="0"/>
        <v>0</v>
      </c>
      <c r="J11" s="40">
        <f t="shared" ca="1" si="0"/>
        <v>0</v>
      </c>
      <c r="K11" s="40">
        <f t="shared" ca="1" si="0"/>
        <v>0</v>
      </c>
      <c r="L11" s="40">
        <f t="shared" ca="1" si="0"/>
        <v>0</v>
      </c>
      <c r="M11" s="40">
        <f t="shared" si="0"/>
        <v>0</v>
      </c>
      <c r="N11" s="40">
        <f t="shared" si="0"/>
        <v>0</v>
      </c>
      <c r="Q11" t="s">
        <v>48</v>
      </c>
      <c r="R11">
        <v>0</v>
      </c>
      <c r="T11" t="s">
        <v>48</v>
      </c>
      <c r="U11">
        <v>0</v>
      </c>
    </row>
    <row r="12" spans="1:21">
      <c r="A12" t="s">
        <v>385</v>
      </c>
      <c r="B12" s="2">
        <f ca="1">IF(ISBLANK(Gear!$B$3), 0, VLOOKUP(Gear!$B$3, INDIRECT(Gear!$A$3), MATCH(A12, StatHeader, 0), 0))</f>
        <v>0</v>
      </c>
      <c r="D12" s="24">
        <v>7</v>
      </c>
      <c r="E12" s="16">
        <f ca="1">(1-B6)*(1-B5)*(1-B4)*(B8)*(B14)*(1-B7) + (1-B6)*(1-B5)*(1-B4)*(B8)*(B13)*(B7)</f>
        <v>0</v>
      </c>
      <c r="F12" s="40">
        <f t="shared" ca="1" si="0"/>
        <v>0</v>
      </c>
      <c r="G12" s="40">
        <f t="shared" ca="1" si="0"/>
        <v>0</v>
      </c>
      <c r="H12" s="40">
        <f t="shared" ca="1" si="0"/>
        <v>0</v>
      </c>
      <c r="I12" s="40">
        <f t="shared" ca="1" si="0"/>
        <v>0</v>
      </c>
      <c r="J12" s="40">
        <f t="shared" ca="1" si="0"/>
        <v>0</v>
      </c>
      <c r="K12" s="40">
        <f t="shared" ca="1" si="0"/>
        <v>0</v>
      </c>
      <c r="L12" s="40">
        <f t="shared" ca="1" si="0"/>
        <v>0</v>
      </c>
      <c r="M12" s="40">
        <f t="shared" ca="1" si="0"/>
        <v>0</v>
      </c>
      <c r="N12" s="40">
        <f t="shared" si="0"/>
        <v>0</v>
      </c>
      <c r="O12" s="44"/>
      <c r="P12" s="44"/>
      <c r="Q12">
        <v>0</v>
      </c>
      <c r="R12">
        <v>0</v>
      </c>
      <c r="T12">
        <v>0</v>
      </c>
      <c r="U12">
        <v>0</v>
      </c>
    </row>
    <row r="13" spans="1:21">
      <c r="A13" t="s">
        <v>386</v>
      </c>
      <c r="B13" s="2">
        <f ca="1">IF(ISBLANK(Gear!$B$3), 0, VLOOKUP(Gear!$B$3, INDIRECT(Gear!$A$3), MATCH(A13, StatHeader, 0), 0))</f>
        <v>0</v>
      </c>
      <c r="D13" s="24">
        <v>8</v>
      </c>
      <c r="E13" s="16">
        <f ca="1">(1-B6)*(1-B5)*(1-B4)*(B8)*(B15) + (1-B6)*(1-B5)*(1-B4)*(B8)*(B14)*(B7)</f>
        <v>0</v>
      </c>
      <c r="F13" s="17">
        <f t="shared" ca="1" si="0"/>
        <v>0</v>
      </c>
      <c r="G13" s="18">
        <f t="shared" ca="1" si="0"/>
        <v>0</v>
      </c>
      <c r="H13" s="18">
        <f t="shared" ca="1" si="0"/>
        <v>0</v>
      </c>
      <c r="I13" s="18">
        <f t="shared" ca="1" si="0"/>
        <v>0</v>
      </c>
      <c r="J13" s="18">
        <f t="shared" ca="1" si="0"/>
        <v>0</v>
      </c>
      <c r="K13" s="18">
        <f t="shared" ca="1" si="0"/>
        <v>0</v>
      </c>
      <c r="L13" s="18">
        <f t="shared" ca="1" si="0"/>
        <v>0</v>
      </c>
      <c r="M13" s="18">
        <f t="shared" ca="1" si="0"/>
        <v>0</v>
      </c>
      <c r="N13" s="18">
        <f t="shared" ca="1" si="0"/>
        <v>0</v>
      </c>
      <c r="O13" s="44"/>
      <c r="P13" s="44"/>
      <c r="Q13">
        <v>1</v>
      </c>
      <c r="R13" s="3">
        <f ca="1">(1+R12*$F$38+R11*$G$38+R10*$H$38+R9*$I$38+R8*$J$38+R7*$K$38+R6*$L$38+R5*$M$38)/(1-$E$38)</f>
        <v>1.0000185491086433</v>
      </c>
      <c r="T13">
        <v>1</v>
      </c>
      <c r="U13" s="3">
        <f t="shared" ref="U13:U44" ca="1" si="1">(1+U12*$F$80+U11*$G$80+U10*$H$80+U9*$I$80+U8*$J$80+U7*$K$80+U6*$L$80+U5*$M$80)/(1-$E$80)</f>
        <v>1.0000191812396597</v>
      </c>
    </row>
    <row r="14" spans="1:21">
      <c r="A14" t="s">
        <v>387</v>
      </c>
      <c r="B14" s="2">
        <f ca="1">IF(ISBLANK(Gear!$B$3), 0, VLOOKUP(Gear!$B$3, INDIRECT(Gear!$A$3), MATCH(A14, StatHeader, 0), 0))</f>
        <v>0</v>
      </c>
      <c r="E14" s="2">
        <f ca="1">SUM(E5:E13)</f>
        <v>1</v>
      </c>
      <c r="O14" s="40"/>
      <c r="P14" s="40"/>
      <c r="Q14">
        <v>2</v>
      </c>
      <c r="R14" s="3">
        <f ca="1">(1+R13*$F$38+R12*$G$38+R11*$H$38+R10*$I$38+R9*$J$38+R8*$K$38+R7*$L$38+R6*$M$38)/(1-$E$38)</f>
        <v>1.0022905839300704</v>
      </c>
      <c r="T14">
        <v>2</v>
      </c>
      <c r="U14" s="3">
        <f t="shared" ca="1" si="1"/>
        <v>1.0023656949969684</v>
      </c>
    </row>
    <row r="15" spans="1:21">
      <c r="A15" t="s">
        <v>388</v>
      </c>
      <c r="B15" s="2">
        <f ca="1">IF(ISBLANK(Gear!$B$3), 0, VLOOKUP(Gear!$B$3, INDIRECT(Gear!$A$3), MATCH(A15, StatHeader, 0), 0))</f>
        <v>0</v>
      </c>
      <c r="E15" t="s">
        <v>46</v>
      </c>
      <c r="F15" s="48">
        <f t="shared" ref="F15:N15" ca="1" si="2">SUM(F5:F13)</f>
        <v>3.7976500000000031E-3</v>
      </c>
      <c r="G15" s="48">
        <f ca="1">SUM(G5:G13)</f>
        <v>0.37873934999999997</v>
      </c>
      <c r="H15" s="48">
        <f t="shared" ca="1" si="2"/>
        <v>0.27785834999999998</v>
      </c>
      <c r="I15" s="48">
        <f t="shared" ca="1" si="2"/>
        <v>0.33960465000000001</v>
      </c>
      <c r="J15" s="48">
        <f t="shared" ca="1" si="2"/>
        <v>0</v>
      </c>
      <c r="K15" s="48">
        <f t="shared" ca="1" si="2"/>
        <v>0</v>
      </c>
      <c r="L15" s="48">
        <f t="shared" ca="1" si="2"/>
        <v>0</v>
      </c>
      <c r="M15" s="48">
        <f t="shared" ca="1" si="2"/>
        <v>0</v>
      </c>
      <c r="N15" s="48">
        <f t="shared" ca="1" si="2"/>
        <v>0</v>
      </c>
      <c r="O15" s="40">
        <f ca="1">SUM(F15:N15)</f>
        <v>1</v>
      </c>
      <c r="P15" s="44"/>
      <c r="Q15">
        <v>3</v>
      </c>
      <c r="R15" s="3">
        <f ca="1">(1+R14*$F$38+R13*$G$38+R12*$H$38+R11*$I$38+R10*$J$38+R9*$K$38+R8*$L$38+R7*$M$38)/(1-$E$38)</f>
        <v>1.0471290620242324</v>
      </c>
      <c r="T15">
        <v>3</v>
      </c>
      <c r="U15" s="3">
        <f t="shared" ca="1" si="1"/>
        <v>1.048374576468466</v>
      </c>
    </row>
    <row r="16" spans="1:21">
      <c r="A16" t="s">
        <v>389</v>
      </c>
      <c r="B16" s="2">
        <f ca="1">IF(ISBLANK(Gear!$B$4), 0, VLOOKUP(Gear!$B$4, INDIRECT(Gear!$A$4), MATCH("OAx", StatHeader, 0), 0))</f>
        <v>0</v>
      </c>
      <c r="E16" s="31" t="s">
        <v>649</v>
      </c>
      <c r="F16" s="48">
        <f ca="1">B27*(1-B28) + (1-B27)</f>
        <v>0.2495</v>
      </c>
      <c r="G16" s="48">
        <f ca="1">B27*B28</f>
        <v>0.75049999999999994</v>
      </c>
      <c r="H16" s="48"/>
      <c r="I16" s="48"/>
      <c r="J16" s="48"/>
      <c r="K16" s="48"/>
      <c r="L16" s="48"/>
      <c r="M16" s="48"/>
      <c r="N16" s="48"/>
      <c r="O16" s="40"/>
      <c r="P16" s="44"/>
      <c r="Q16">
        <v>4</v>
      </c>
      <c r="R16" s="3">
        <f t="shared" ref="R16:R44" ca="1" si="3">(1+R15*$F$38+R14*$G$38+R13*$H$38+R12*$I$38+R11*$J$38+R10*$K$38+R9*$L$38+R8*$M$38)/(1-$E$38)</f>
        <v>1.2186435730402609</v>
      </c>
      <c r="T16">
        <v>4</v>
      </c>
      <c r="U16" s="3">
        <f t="shared" ca="1" si="1"/>
        <v>1.2190465644564692</v>
      </c>
    </row>
    <row r="17" spans="1:21">
      <c r="A17" t="s">
        <v>382</v>
      </c>
      <c r="B17" s="2">
        <f ca="1">IF(ISBLANK(Gear!$B$4), 0, VLOOKUP(Gear!$B$4, INDIRECT(Gear!$A$4), MATCH(A17, StatHeader, 0), 0))</f>
        <v>0</v>
      </c>
      <c r="E17" s="31" t="s">
        <v>7</v>
      </c>
      <c r="F17" s="153">
        <f ca="1">F15*F16</f>
        <v>9.4751367500000075E-4</v>
      </c>
      <c r="G17" s="153">
        <f ca="1">G15*F16+F15*G16</f>
        <v>9.7345604150000001E-2</v>
      </c>
      <c r="H17" s="153">
        <f ca="1">H15*F16+G15*G16</f>
        <v>0.35356954049999995</v>
      </c>
      <c r="I17" s="153">
        <f ca="1">I15*F16+H15*G16</f>
        <v>0.29326405184999998</v>
      </c>
      <c r="J17" s="153">
        <f ca="1">J15*F16+I15*G16</f>
        <v>0.25487328982499996</v>
      </c>
      <c r="K17" s="153">
        <f ca="1">K15*F16+J15*G16</f>
        <v>0</v>
      </c>
      <c r="L17" s="153">
        <f ca="1">L15*F16+K15*G16</f>
        <v>0</v>
      </c>
      <c r="M17" s="153">
        <f ca="1">M15*F16+L15*G16</f>
        <v>0</v>
      </c>
      <c r="N17" s="153">
        <f ca="1">N15*F16+M15*G16</f>
        <v>0</v>
      </c>
      <c r="O17" s="40">
        <f ca="1">SUM(F17:N17)</f>
        <v>0.99999999999999978</v>
      </c>
      <c r="P17" s="44"/>
      <c r="Q17">
        <v>5</v>
      </c>
      <c r="R17" s="3">
        <f ca="1">(1+R16*$F$38+R15*$G$38+R14*$H$38+R13*$I$38+R12*$J$38+R11*$K$38+R10*$L$38+R9*$M$38)/(1-$E$38)</f>
        <v>1.4728786363962263</v>
      </c>
      <c r="T17">
        <v>5</v>
      </c>
      <c r="U17" s="3">
        <f ca="1">(1+U16*$F$80+U15*$G$80+U14*$H$80+U13*$I$80+U12*$J$80+U11*$K$80+U10*$L$80+U9*$M$80)/(1-$E$80)</f>
        <v>1.4633554015488728</v>
      </c>
    </row>
    <row r="18" spans="1:21">
      <c r="A18" t="s">
        <v>383</v>
      </c>
      <c r="B18" s="2">
        <f ca="1">IF(ISBLANK(Gear!$B$4), 0, VLOOKUP(Gear!$B$4, INDIRECT(Gear!$A$4), MATCH(A18, StatHeader, 0), 0))</f>
        <v>0</v>
      </c>
      <c r="E18" s="40" t="s">
        <v>47</v>
      </c>
      <c r="F18" s="19">
        <f ca="1">F4*F17+G4*G17+H4*H17+I4*I17+J17*J4+K17*K4+L17*L4+M17*M4+N17*N4+(1*B29)</f>
        <v>2.7037699999999996</v>
      </c>
      <c r="G18" t="s">
        <v>814</v>
      </c>
      <c r="H18">
        <f ca="1">F4*F15+G4*G15+H4*H15+I4*I15+J4*J15+K4*K15+L4*L15+M4*M15+N4*N15</f>
        <v>1.9532699999999998</v>
      </c>
      <c r="I18" t="s">
        <v>851</v>
      </c>
      <c r="J18">
        <f ca="1">F4*F17+G4*G17+H4*H17+I4*I17+J17*J4+K17*K4+L17*L4+M17*M4+N17*N4</f>
        <v>2.7037699999999996</v>
      </c>
      <c r="Q18">
        <v>6</v>
      </c>
      <c r="R18" s="3">
        <f t="shared" ca="1" si="3"/>
        <v>1.7801874561950735</v>
      </c>
      <c r="T18">
        <v>6</v>
      </c>
      <c r="U18" s="3">
        <f t="shared" ca="1" si="1"/>
        <v>1.7729478113297739</v>
      </c>
    </row>
    <row r="19" spans="1:21">
      <c r="A19" t="s">
        <v>384</v>
      </c>
      <c r="B19" s="2">
        <f ca="1">IF(ISBLANK(Gear!$B$4), 0, VLOOKUP(Gear!$B$4, INDIRECT(Gear!$A$4), MATCH(A19, StatHeader, 0), 0))</f>
        <v>0</v>
      </c>
      <c r="Q19">
        <v>7</v>
      </c>
      <c r="R19" s="3">
        <f ca="1">(1+R18*$F$38+R17*$G$38+R16*$H$38+R15*$I$38+R14*$J$38+R13*$K$38+R12*$L$38+R11*$M$38)/(1-$E$38)</f>
        <v>1.9964819230601678</v>
      </c>
      <c r="T19">
        <v>7</v>
      </c>
      <c r="U19" s="3">
        <f t="shared" ca="1" si="1"/>
        <v>1.9873832024954532</v>
      </c>
    </row>
    <row r="20" spans="1:21">
      <c r="A20" t="s">
        <v>385</v>
      </c>
      <c r="B20" s="2">
        <f ca="1">IF(ISBLANK(Gear!$B$4), 0, VLOOKUP(Gear!$B$4, INDIRECT(Gear!$A$4), MATCH(A20, StatHeader, 0), 0))</f>
        <v>0</v>
      </c>
      <c r="D20" s="44" t="s">
        <v>136</v>
      </c>
      <c r="E20" s="44">
        <f>IF(ISBLANK(Gear!B4), 0, 1)</f>
        <v>1</v>
      </c>
      <c r="F20" s="44"/>
      <c r="G20" s="44"/>
      <c r="H20" s="44"/>
      <c r="I20" s="44"/>
      <c r="J20" s="44"/>
      <c r="Q20">
        <v>8</v>
      </c>
      <c r="R20" s="3">
        <f t="shared" ca="1" si="3"/>
        <v>2.1873228949360328</v>
      </c>
      <c r="T20">
        <v>8</v>
      </c>
      <c r="U20" s="3">
        <f t="shared" ca="1" si="1"/>
        <v>2.1842945667810159</v>
      </c>
    </row>
    <row r="21" spans="1:21">
      <c r="A21" t="s">
        <v>386</v>
      </c>
      <c r="B21" s="2">
        <f ca="1">IF(ISBLANK(Gear!$B$4), 0, VLOOKUP(Gear!$B$4, INDIRECT(Gear!$A$4), MATCH(A21, StatHeader, 0), 0))</f>
        <v>0</v>
      </c>
      <c r="D21" t="s">
        <v>44</v>
      </c>
      <c r="E21" t="s">
        <v>45</v>
      </c>
      <c r="F21" s="14">
        <v>0</v>
      </c>
      <c r="G21" s="14">
        <v>1</v>
      </c>
      <c r="H21" s="14">
        <v>2</v>
      </c>
      <c r="I21" s="25">
        <v>3</v>
      </c>
      <c r="J21" s="25">
        <v>4</v>
      </c>
      <c r="K21" s="25">
        <v>5</v>
      </c>
      <c r="L21" s="25">
        <v>6</v>
      </c>
      <c r="M21" s="25">
        <v>7</v>
      </c>
      <c r="N21" s="25">
        <v>8</v>
      </c>
      <c r="O21" s="44"/>
      <c r="Q21">
        <v>9</v>
      </c>
      <c r="R21" s="3">
        <f t="shared" ca="1" si="3"/>
        <v>2.3713736955835456</v>
      </c>
      <c r="T21">
        <v>9</v>
      </c>
      <c r="U21" s="3">
        <f t="shared" ca="1" si="1"/>
        <v>2.3639647217884514</v>
      </c>
    </row>
    <row r="22" spans="1:21">
      <c r="A22" t="s">
        <v>387</v>
      </c>
      <c r="B22" s="2">
        <f ca="1">IF(ISBLANK(Gear!$B$4), 0, VLOOKUP(Gear!$B$4, INDIRECT(Gear!$A$4), MATCH(A22, StatHeader, 0), 0))</f>
        <v>0</v>
      </c>
      <c r="D22">
        <v>0</v>
      </c>
      <c r="E22" s="15">
        <f>IF(E20=0, 100%, 0)</f>
        <v>0</v>
      </c>
      <c r="F22" s="40">
        <f t="shared" ref="F22:N30" ca="1" si="4">IF($D22&gt;=F$21, POWER($B$30, F$21) * POWER((1-$B$30), $D22-F$21) * COMBIN($D22,F$21) * $E22, 0)</f>
        <v>0</v>
      </c>
      <c r="G22" s="40">
        <f t="shared" si="4"/>
        <v>0</v>
      </c>
      <c r="H22" s="40">
        <f t="shared" si="4"/>
        <v>0</v>
      </c>
      <c r="I22" s="40">
        <f t="shared" si="4"/>
        <v>0</v>
      </c>
      <c r="J22" s="40">
        <f t="shared" si="4"/>
        <v>0</v>
      </c>
      <c r="K22" s="40">
        <f t="shared" si="4"/>
        <v>0</v>
      </c>
      <c r="L22" s="40">
        <f t="shared" si="4"/>
        <v>0</v>
      </c>
      <c r="M22" s="40">
        <f t="shared" si="4"/>
        <v>0</v>
      </c>
      <c r="N22" s="40">
        <f t="shared" si="4"/>
        <v>0</v>
      </c>
      <c r="O22" s="44"/>
      <c r="Q22">
        <v>10</v>
      </c>
      <c r="R22" s="3">
        <f t="shared" ca="1" si="3"/>
        <v>2.5999636871582168</v>
      </c>
      <c r="T22">
        <v>10</v>
      </c>
      <c r="U22" s="3">
        <f t="shared" ca="1" si="1"/>
        <v>2.5877599795741038</v>
      </c>
    </row>
    <row r="23" spans="1:21">
      <c r="A23" t="s">
        <v>388</v>
      </c>
      <c r="B23" s="2">
        <f ca="1">IF(ISBLANK(Gear!$B$4), 0, VLOOKUP(Gear!$B$4, INDIRECT(Gear!$A$4), MATCH(A23, StatHeader, 0), 0))</f>
        <v>0</v>
      </c>
      <c r="D23">
        <v>1</v>
      </c>
      <c r="E23" s="16">
        <f ca="1">IF(E20=1, (1-B6)*(1-B5)*(1-B4)*(1-B16), 0)</f>
        <v>0.37699999999999995</v>
      </c>
      <c r="F23" s="40">
        <f t="shared" ca="1" si="4"/>
        <v>1.8850000000000013E-2</v>
      </c>
      <c r="G23" s="40">
        <f t="shared" ca="1" si="4"/>
        <v>0.35814999999999991</v>
      </c>
      <c r="H23" s="40">
        <f t="shared" si="4"/>
        <v>0</v>
      </c>
      <c r="I23" s="40">
        <f t="shared" si="4"/>
        <v>0</v>
      </c>
      <c r="J23" s="40">
        <f t="shared" si="4"/>
        <v>0</v>
      </c>
      <c r="K23" s="40">
        <f t="shared" si="4"/>
        <v>0</v>
      </c>
      <c r="L23" s="40">
        <f t="shared" si="4"/>
        <v>0</v>
      </c>
      <c r="M23" s="40">
        <f t="shared" si="4"/>
        <v>0</v>
      </c>
      <c r="N23" s="40">
        <f t="shared" si="4"/>
        <v>0</v>
      </c>
      <c r="O23" s="44"/>
      <c r="Q23">
        <v>11</v>
      </c>
      <c r="R23" s="3">
        <f t="shared" ca="1" si="3"/>
        <v>2.8397004155948178</v>
      </c>
      <c r="T23">
        <v>11</v>
      </c>
      <c r="U23" s="3">
        <f t="shared" ca="1" si="1"/>
        <v>2.8265749241644089</v>
      </c>
    </row>
    <row r="24" spans="1:21">
      <c r="A24" t="s">
        <v>439</v>
      </c>
      <c r="B24" s="2">
        <f ca="1">IF(Setup!B$29=1, IF(ISBLANK(Gear!$B$3), 0, VLOOKUP(Gear!$B$3, INDIRECT(Gear!$A$3), MATCH(A24, StatHeader, 0), 0)), 0)</f>
        <v>0</v>
      </c>
      <c r="D24">
        <v>2</v>
      </c>
      <c r="E24" s="16">
        <f ca="1">IF(E20=1, (1-B6)*(1-B5)*(1-B4)*(B16)*(B17) + (1-B6)*(1-B5)*B4, 0)</f>
        <v>0.27299999999999996</v>
      </c>
      <c r="F24" s="40">
        <f t="shared" ca="1" si="4"/>
        <v>6.8250000000000114E-4</v>
      </c>
      <c r="G24" s="40">
        <f t="shared" ca="1" si="4"/>
        <v>2.5935000000000021E-2</v>
      </c>
      <c r="H24" s="40">
        <f t="shared" ca="1" si="4"/>
        <v>0.24638249999999995</v>
      </c>
      <c r="I24" s="40">
        <f t="shared" si="4"/>
        <v>0</v>
      </c>
      <c r="J24" s="40">
        <f t="shared" si="4"/>
        <v>0</v>
      </c>
      <c r="K24" s="40">
        <f t="shared" si="4"/>
        <v>0</v>
      </c>
      <c r="L24" s="40">
        <f t="shared" si="4"/>
        <v>0</v>
      </c>
      <c r="M24" s="40">
        <f t="shared" si="4"/>
        <v>0</v>
      </c>
      <c r="N24" s="40">
        <f t="shared" si="4"/>
        <v>0</v>
      </c>
      <c r="O24" s="44"/>
      <c r="Q24">
        <v>12</v>
      </c>
      <c r="R24" s="3">
        <f t="shared" ca="1" si="3"/>
        <v>3.0624018806381534</v>
      </c>
      <c r="T24">
        <v>12</v>
      </c>
      <c r="U24" s="3">
        <f t="shared" ca="1" si="1"/>
        <v>3.049271339469791</v>
      </c>
    </row>
    <row r="25" spans="1:21">
      <c r="A25" t="s">
        <v>440</v>
      </c>
      <c r="B25" s="2">
        <f ca="1">IF(Setup!B$29=1, IF(ISBLANK(Gear!$B$3), 0, VLOOKUP(Gear!$B$3, INDIRECT(Gear!$A$3), MATCH(A25, StatHeader, 0), 0)), 0)</f>
        <v>0</v>
      </c>
      <c r="D25">
        <v>3</v>
      </c>
      <c r="E25" s="16">
        <f ca="1">IF(E20=1, (1-B6)*(1-B5)*(1-B4)*(B16)*(B18) + (1-B6)*(B5), 0)</f>
        <v>0.35000000000000003</v>
      </c>
      <c r="F25" s="40">
        <f t="shared" ca="1" si="4"/>
        <v>4.3750000000000122E-5</v>
      </c>
      <c r="G25" s="40">
        <f t="shared" ca="1" si="4"/>
        <v>2.4937500000000042E-3</v>
      </c>
      <c r="H25" s="40">
        <f t="shared" ca="1" si="4"/>
        <v>4.7381250000000048E-2</v>
      </c>
      <c r="I25" s="40">
        <f t="shared" ca="1" si="4"/>
        <v>0.30008124999999997</v>
      </c>
      <c r="J25" s="40">
        <f t="shared" si="4"/>
        <v>0</v>
      </c>
      <c r="K25" s="40">
        <f t="shared" si="4"/>
        <v>0</v>
      </c>
      <c r="L25" s="40">
        <f t="shared" si="4"/>
        <v>0</v>
      </c>
      <c r="M25" s="40">
        <f t="shared" si="4"/>
        <v>0</v>
      </c>
      <c r="N25" s="40">
        <f t="shared" si="4"/>
        <v>0</v>
      </c>
      <c r="O25" s="44"/>
      <c r="Q25">
        <v>13</v>
      </c>
      <c r="R25" s="3">
        <f t="shared" ca="1" si="3"/>
        <v>3.2733204919050856</v>
      </c>
      <c r="T25">
        <v>13</v>
      </c>
      <c r="U25" s="3">
        <f t="shared" ca="1" si="1"/>
        <v>3.261054489150029</v>
      </c>
    </row>
    <row r="26" spans="1:21">
      <c r="A26" t="s">
        <v>441</v>
      </c>
      <c r="B26" s="2">
        <f ca="1">IF(Setup!B$29=1, IF(ISBLANK(Gear!$B$3), 0, VLOOKUP(Gear!$B$3, INDIRECT(Gear!$A$3), MATCH(A26, StatHeader, 0), 0)), 0)</f>
        <v>0</v>
      </c>
      <c r="D26">
        <v>4</v>
      </c>
      <c r="E26" s="16">
        <f ca="1">IF(E20=1, (1-B6)*(1-B5)*(1-B4)*(B16)*(B19) + (B6), 0)</f>
        <v>0</v>
      </c>
      <c r="F26" s="40">
        <f t="shared" ca="1" si="4"/>
        <v>0</v>
      </c>
      <c r="G26" s="40">
        <f t="shared" ca="1" si="4"/>
        <v>0</v>
      </c>
      <c r="H26" s="40">
        <f t="shared" ca="1" si="4"/>
        <v>0</v>
      </c>
      <c r="I26" s="40">
        <f t="shared" ca="1" si="4"/>
        <v>0</v>
      </c>
      <c r="J26" s="40">
        <f t="shared" ca="1" si="4"/>
        <v>0</v>
      </c>
      <c r="K26" s="40">
        <f t="shared" si="4"/>
        <v>0</v>
      </c>
      <c r="L26" s="40">
        <f t="shared" si="4"/>
        <v>0</v>
      </c>
      <c r="M26" s="40">
        <f t="shared" si="4"/>
        <v>0</v>
      </c>
      <c r="N26" s="40">
        <f t="shared" si="4"/>
        <v>0</v>
      </c>
      <c r="O26" s="44"/>
      <c r="Q26" s="20">
        <v>14</v>
      </c>
      <c r="R26" s="3">
        <f t="shared" ca="1" si="3"/>
        <v>3.4834756570609362</v>
      </c>
      <c r="T26" s="20">
        <v>14</v>
      </c>
      <c r="U26" s="3">
        <f t="shared" ca="1" si="1"/>
        <v>3.4692693804221411</v>
      </c>
    </row>
    <row r="27" spans="1:21">
      <c r="A27" s="31" t="s">
        <v>649</v>
      </c>
      <c r="B27" s="89">
        <f ca="1">IF(Data!G25&gt;0, Data!B229, 0)</f>
        <v>0.79</v>
      </c>
      <c r="D27">
        <v>5</v>
      </c>
      <c r="E27" s="98">
        <f ca="1">IF(E20=1, (1-B6)*(1-B5)*(1-B4)*(B16)*(B20), 0)</f>
        <v>0</v>
      </c>
      <c r="F27" s="40">
        <f t="shared" ca="1" si="4"/>
        <v>0</v>
      </c>
      <c r="G27" s="40">
        <f t="shared" ca="1" si="4"/>
        <v>0</v>
      </c>
      <c r="H27" s="40">
        <f t="shared" ca="1" si="4"/>
        <v>0</v>
      </c>
      <c r="I27" s="40">
        <f t="shared" ca="1" si="4"/>
        <v>0</v>
      </c>
      <c r="J27" s="40">
        <f t="shared" ca="1" si="4"/>
        <v>0</v>
      </c>
      <c r="K27" s="40">
        <f t="shared" ca="1" si="4"/>
        <v>0</v>
      </c>
      <c r="L27" s="40">
        <f t="shared" si="4"/>
        <v>0</v>
      </c>
      <c r="M27" s="40">
        <f t="shared" si="4"/>
        <v>0</v>
      </c>
      <c r="N27" s="40">
        <f t="shared" si="4"/>
        <v>0</v>
      </c>
      <c r="O27" s="44"/>
      <c r="Q27">
        <v>15</v>
      </c>
      <c r="R27" s="3">
        <f t="shared" ca="1" si="3"/>
        <v>3.7028838321305368</v>
      </c>
      <c r="T27">
        <v>15</v>
      </c>
      <c r="U27" s="3">
        <f t="shared" ca="1" si="1"/>
        <v>3.6864860039761824</v>
      </c>
    </row>
    <row r="28" spans="1:21">
      <c r="A28" s="31" t="s">
        <v>668</v>
      </c>
      <c r="B28" s="89">
        <f ca="1">Data!B207</f>
        <v>0.95</v>
      </c>
      <c r="D28" s="99">
        <v>6</v>
      </c>
      <c r="E28" s="98">
        <f ca="1">IF(E20=1, (1-B6)*(1-B5)*(1-B4)*(B16)*(B21), 0)</f>
        <v>0</v>
      </c>
      <c r="F28" s="40">
        <f t="shared" ca="1" si="4"/>
        <v>0</v>
      </c>
      <c r="G28" s="40">
        <f t="shared" ca="1" si="4"/>
        <v>0</v>
      </c>
      <c r="H28" s="40">
        <f t="shared" ca="1" si="4"/>
        <v>0</v>
      </c>
      <c r="I28" s="40">
        <f t="shared" ca="1" si="4"/>
        <v>0</v>
      </c>
      <c r="J28" s="40">
        <f t="shared" ca="1" si="4"/>
        <v>0</v>
      </c>
      <c r="K28" s="40">
        <f t="shared" ca="1" si="4"/>
        <v>0</v>
      </c>
      <c r="L28" s="40">
        <f t="shared" ca="1" si="4"/>
        <v>0</v>
      </c>
      <c r="M28" s="40">
        <f t="shared" si="4"/>
        <v>0</v>
      </c>
      <c r="N28" s="40">
        <f t="shared" si="4"/>
        <v>0</v>
      </c>
      <c r="O28" s="44"/>
      <c r="Q28">
        <v>16</v>
      </c>
      <c r="R28" s="3">
        <f t="shared" ca="1" si="3"/>
        <v>3.9259533745864621</v>
      </c>
      <c r="T28">
        <v>16</v>
      </c>
      <c r="U28" s="3">
        <f t="shared" ca="1" si="1"/>
        <v>3.9078618190614534</v>
      </c>
    </row>
    <row r="29" spans="1:21">
      <c r="A29" s="202" t="s">
        <v>844</v>
      </c>
      <c r="B29" s="201">
        <f>IF(Gear!B3 = "Fudo Masamune (B)", 50%, 0)</f>
        <v>0</v>
      </c>
      <c r="D29">
        <v>7</v>
      </c>
      <c r="E29" s="98">
        <f ca="1">IF(E20=1, (1-B6)*(1-B5)*(1-B4)*(B16)*(B22), 0)</f>
        <v>0</v>
      </c>
      <c r="F29" s="40">
        <f t="shared" ca="1" si="4"/>
        <v>0</v>
      </c>
      <c r="G29" s="40">
        <f t="shared" ca="1" si="4"/>
        <v>0</v>
      </c>
      <c r="H29" s="40">
        <f t="shared" ca="1" si="4"/>
        <v>0</v>
      </c>
      <c r="I29" s="40">
        <f t="shared" ca="1" si="4"/>
        <v>0</v>
      </c>
      <c r="J29" s="40">
        <f t="shared" ca="1" si="4"/>
        <v>0</v>
      </c>
      <c r="K29" s="40">
        <f t="shared" ca="1" si="4"/>
        <v>0</v>
      </c>
      <c r="L29" s="40">
        <f t="shared" ca="1" si="4"/>
        <v>0</v>
      </c>
      <c r="M29" s="40">
        <f t="shared" ca="1" si="4"/>
        <v>0</v>
      </c>
      <c r="N29" s="40">
        <f t="shared" si="4"/>
        <v>0</v>
      </c>
      <c r="O29" s="44"/>
      <c r="Q29">
        <v>17</v>
      </c>
      <c r="R29" s="3">
        <f ca="1">(1+R28*$F$38+R27*$G$38+R26*$H$38+R25*$I$38+R24*$J$38+R23*$K$38+R22*$L$38+R21*$M$38)/(1-$E$38)</f>
        <v>4.1466211156942911</v>
      </c>
      <c r="T29">
        <v>17</v>
      </c>
      <c r="U29" s="3">
        <f t="shared" ca="1" si="1"/>
        <v>4.1278987093439854</v>
      </c>
    </row>
    <row r="30" spans="1:21">
      <c r="A30" s="202" t="s">
        <v>863</v>
      </c>
      <c r="B30" s="89">
        <f ca="1">Data!B174</f>
        <v>0.95</v>
      </c>
      <c r="D30">
        <v>8</v>
      </c>
      <c r="E30" s="98">
        <f ca="1">IF(E20=1, (1-B6)*(1-B5)*(1-B4)*(B16)*(B23), 0)</f>
        <v>0</v>
      </c>
      <c r="F30" s="17">
        <f t="shared" ca="1" si="4"/>
        <v>0</v>
      </c>
      <c r="G30" s="18">
        <f t="shared" ca="1" si="4"/>
        <v>0</v>
      </c>
      <c r="H30" s="18">
        <f t="shared" ca="1" si="4"/>
        <v>0</v>
      </c>
      <c r="I30" s="18">
        <f t="shared" ca="1" si="4"/>
        <v>0</v>
      </c>
      <c r="J30" s="18">
        <f t="shared" ca="1" si="4"/>
        <v>0</v>
      </c>
      <c r="K30" s="18">
        <f t="shared" ca="1" si="4"/>
        <v>0</v>
      </c>
      <c r="L30" s="18">
        <f t="shared" ca="1" si="4"/>
        <v>0</v>
      </c>
      <c r="M30" s="18">
        <f t="shared" ca="1" si="4"/>
        <v>0</v>
      </c>
      <c r="N30" s="18">
        <f t="shared" ca="1" si="4"/>
        <v>0</v>
      </c>
      <c r="O30" s="44"/>
      <c r="Q30">
        <v>18</v>
      </c>
      <c r="R30" s="3">
        <f t="shared" ca="1" si="3"/>
        <v>4.3634923011382929</v>
      </c>
      <c r="T30">
        <v>18</v>
      </c>
      <c r="U30" s="3">
        <f t="shared" ca="1" si="1"/>
        <v>4.3442812668206718</v>
      </c>
    </row>
    <row r="31" spans="1:21">
      <c r="E31" s="2">
        <f ca="1">SUM(E22:E30)</f>
        <v>1</v>
      </c>
      <c r="O31" s="44"/>
      <c r="Q31">
        <v>19</v>
      </c>
      <c r="R31" s="3">
        <f t="shared" ca="1" si="3"/>
        <v>4.579756891261602</v>
      </c>
      <c r="T31">
        <v>19</v>
      </c>
      <c r="U31" s="3">
        <f t="shared" ca="1" si="1"/>
        <v>4.5592897605554716</v>
      </c>
    </row>
    <row r="32" spans="1:21">
      <c r="E32" t="s">
        <v>46</v>
      </c>
      <c r="F32" s="48">
        <f t="shared" ref="F32:N32" ca="1" si="5">SUM(F22:F30)</f>
        <v>1.9576250000000014E-2</v>
      </c>
      <c r="G32" s="48">
        <f t="shared" ca="1" si="5"/>
        <v>0.38657874999999997</v>
      </c>
      <c r="H32" s="48">
        <f t="shared" ca="1" si="5"/>
        <v>0.29376374999999999</v>
      </c>
      <c r="I32" s="48">
        <f ca="1">SUM(I22:I30)</f>
        <v>0.30008124999999997</v>
      </c>
      <c r="J32" s="48">
        <f t="shared" ca="1" si="5"/>
        <v>0</v>
      </c>
      <c r="K32" s="48">
        <f t="shared" ca="1" si="5"/>
        <v>0</v>
      </c>
      <c r="L32" s="48">
        <f t="shared" ca="1" si="5"/>
        <v>0</v>
      </c>
      <c r="M32" s="48">
        <f t="shared" ca="1" si="5"/>
        <v>0</v>
      </c>
      <c r="N32" s="48">
        <f t="shared" ca="1" si="5"/>
        <v>0</v>
      </c>
      <c r="O32" s="40">
        <f ca="1">SUM(F32:N32)</f>
        <v>0.99999999999999989</v>
      </c>
      <c r="Q32">
        <v>20</v>
      </c>
      <c r="R32" s="3">
        <f t="shared" ca="1" si="3"/>
        <v>4.7980241426800072</v>
      </c>
      <c r="T32">
        <v>20</v>
      </c>
      <c r="U32" s="3">
        <f t="shared" ca="1" si="1"/>
        <v>4.7760285826048721</v>
      </c>
    </row>
    <row r="33" spans="1:21">
      <c r="E33" t="s">
        <v>47</v>
      </c>
      <c r="F33" s="19">
        <f ca="1">F21*F32+G21*G32+H21*H32+I21*I32+J32*J21+K32*K21+L32*L21+M32*M21+N32*N21</f>
        <v>1.8743499999999997</v>
      </c>
      <c r="I33" s="44"/>
      <c r="J33" s="44"/>
      <c r="K33" s="40"/>
      <c r="O33" s="40"/>
      <c r="P33" s="1"/>
      <c r="Q33">
        <v>21</v>
      </c>
      <c r="R33" s="3">
        <f t="shared" ca="1" si="3"/>
        <v>5.0175278506801364</v>
      </c>
      <c r="T33">
        <v>21</v>
      </c>
      <c r="U33" s="3">
        <f t="shared" ca="1" si="1"/>
        <v>4.9941293079666123</v>
      </c>
    </row>
    <row r="34" spans="1:21">
      <c r="K34" s="40"/>
      <c r="O34" s="44"/>
      <c r="Q34">
        <v>22</v>
      </c>
      <c r="R34" s="3">
        <f t="shared" ca="1" si="3"/>
        <v>5.2366712883885</v>
      </c>
      <c r="T34">
        <v>22</v>
      </c>
      <c r="U34" s="3">
        <f t="shared" ca="1" si="1"/>
        <v>5.2122460068750343</v>
      </c>
    </row>
    <row r="35" spans="1:21">
      <c r="Q35">
        <v>23</v>
      </c>
      <c r="R35" s="3">
        <f t="shared" ca="1" si="3"/>
        <v>5.4548447460134204</v>
      </c>
      <c r="T35">
        <v>23</v>
      </c>
      <c r="U35" s="3">
        <f t="shared" ca="1" si="1"/>
        <v>5.4294579933738563</v>
      </c>
    </row>
    <row r="36" spans="1:21">
      <c r="D36" s="44" t="s">
        <v>155</v>
      </c>
      <c r="E36" s="44"/>
      <c r="F36" s="40"/>
      <c r="G36" s="40"/>
      <c r="H36" s="40"/>
      <c r="I36" s="40"/>
      <c r="J36" s="40"/>
      <c r="K36" s="40"/>
      <c r="L36" s="40"/>
      <c r="M36" s="40"/>
      <c r="N36" s="40"/>
      <c r="Q36">
        <v>24</v>
      </c>
      <c r="R36" s="3">
        <f t="shared" ca="1" si="3"/>
        <v>5.6727367486899398</v>
      </c>
      <c r="T36">
        <v>24</v>
      </c>
      <c r="U36" s="3">
        <f t="shared" ca="1" si="1"/>
        <v>5.6462112282325814</v>
      </c>
    </row>
    <row r="37" spans="1:21">
      <c r="D37" s="44" t="s">
        <v>157</v>
      </c>
      <c r="E37" s="49">
        <v>0</v>
      </c>
      <c r="F37" s="44">
        <v>1</v>
      </c>
      <c r="G37" s="44">
        <v>2</v>
      </c>
      <c r="H37" s="24">
        <v>3</v>
      </c>
      <c r="I37" s="24">
        <v>4</v>
      </c>
      <c r="J37" s="24">
        <v>5</v>
      </c>
      <c r="K37" s="24">
        <v>6</v>
      </c>
      <c r="L37" s="24">
        <v>7</v>
      </c>
      <c r="M37" s="24">
        <v>8</v>
      </c>
      <c r="N37" t="s">
        <v>7</v>
      </c>
      <c r="Q37">
        <v>25</v>
      </c>
      <c r="R37" s="3">
        <f t="shared" ca="1" si="3"/>
        <v>5.8910269686030334</v>
      </c>
      <c r="T37">
        <v>25</v>
      </c>
      <c r="U37" s="3">
        <f t="shared" ca="1" si="1"/>
        <v>5.8632254172669036</v>
      </c>
    </row>
    <row r="38" spans="1:21">
      <c r="D38" s="44" t="s">
        <v>156</v>
      </c>
      <c r="E38" s="40">
        <f ca="1">F17*F32</f>
        <v>1.8548764580218778E-5</v>
      </c>
      <c r="F38" s="40">
        <f ca="1">F17*G32+G17*F32</f>
        <v>2.2719505353308452E-3</v>
      </c>
      <c r="G38" s="40">
        <f ca="1">F17*H32+G17*G32+H17*F32</f>
        <v>4.4831652857859214E-2</v>
      </c>
      <c r="H38" s="40">
        <f ca="1">F17*I32+G17*H32+H17*G32+I17*F32</f>
        <v>0.17130442220869857</v>
      </c>
      <c r="I38" s="40">
        <f ca="1">F17*J32+G17*I32+H17*H32+I17*G32+J17*F32</f>
        <v>0.25143661850243887</v>
      </c>
      <c r="J38" s="40">
        <f ca="1">F17*K32+G17*J32+H17*I32+I17*H32+J17*G32+K17*F32</f>
        <v>0.29077853507575224</v>
      </c>
      <c r="K38" s="40">
        <f ca="1">F17*L32+G17*K32+H17*J32+I17*I32+J17*H32+K17*G32+L17*F32</f>
        <v>0.16287557665304164</v>
      </c>
      <c r="L38" s="1">
        <f ca="1">F17*M32+G17*L32+H17*K32+I17*J32+J17*I32+K17*H32+L17*G32+M17*F32</f>
        <v>7.6482695402298267E-2</v>
      </c>
      <c r="M38" s="40">
        <f ca="1">F17*N32+G17*M32+H17*L32+I17*K32+J17*J32+K17*I32+L17*H32+M17*G32+N17*F32+G17*N32+H17*M32+I17*L32+J17*K32+K17*J32+L17*I32+M17*H32+N17*G32+H17*N32+I17*M32+J17*L32+K17*K32+L17*J32+M17*I32+N17*H32+I17*N32+J17*M32+K17*L32+L17*K32+M17*J32+N17*I32+J17*N32+K17*M32+L17*L32+M17*K32+N17*J32+K17*N32+L17*M32+M17*L32+N17*K32+L17*N32+M17*M32+N17*L32+M17*N32+N17*M32+N17*N32</f>
        <v>0</v>
      </c>
      <c r="N38" s="40">
        <f ca="1">SUM(E38:M38)</f>
        <v>0.99999999999999989</v>
      </c>
      <c r="Q38">
        <v>26</v>
      </c>
      <c r="R38" s="3">
        <f t="shared" ca="1" si="3"/>
        <v>6.1096880606146646</v>
      </c>
      <c r="T38">
        <v>26</v>
      </c>
      <c r="U38" s="3">
        <f t="shared" ca="1" si="1"/>
        <v>6.0806296047189505</v>
      </c>
    </row>
    <row r="39" spans="1:21">
      <c r="D39" s="24" t="s">
        <v>47</v>
      </c>
      <c r="E39" s="3">
        <f ca="1">E37*E38+F37*F38+G37*G38+H37*H38+I37*I38+J37*J38+K37*K38+L37*L38+M37*M38+(1*B29)</f>
        <v>4.5781199999999993</v>
      </c>
      <c r="Q39">
        <v>27</v>
      </c>
      <c r="R39" s="3">
        <f t="shared" ca="1" si="3"/>
        <v>6.3283255431837464</v>
      </c>
      <c r="T39">
        <v>27</v>
      </c>
      <c r="U39" s="3">
        <f t="shared" ca="1" si="1"/>
        <v>6.2981227662165793</v>
      </c>
    </row>
    <row r="40" spans="1:21">
      <c r="D40" s="44"/>
      <c r="E40" s="40"/>
      <c r="F40" s="44"/>
      <c r="G40" s="44"/>
      <c r="H40" s="44"/>
      <c r="Q40">
        <v>28</v>
      </c>
      <c r="R40" s="3">
        <f t="shared" ca="1" si="3"/>
        <v>6.5467308818225529</v>
      </c>
      <c r="T40">
        <v>28</v>
      </c>
      <c r="U40" s="3">
        <f t="shared" ca="1" si="1"/>
        <v>6.5154219529776496</v>
      </c>
    </row>
    <row r="41" spans="1:21">
      <c r="D41" s="44"/>
      <c r="E41" s="44"/>
      <c r="F41" s="40"/>
      <c r="G41" s="40"/>
      <c r="H41" s="44"/>
      <c r="Q41">
        <v>29</v>
      </c>
      <c r="R41" s="3">
        <f t="shared" ca="1" si="3"/>
        <v>6.7650309094980532</v>
      </c>
      <c r="T41">
        <v>29</v>
      </c>
      <c r="U41" s="3">
        <f t="shared" ca="1" si="1"/>
        <v>6.7325751233840689</v>
      </c>
    </row>
    <row r="42" spans="1:21">
      <c r="A42" t="s">
        <v>151</v>
      </c>
      <c r="Q42">
        <v>30</v>
      </c>
      <c r="R42" s="3">
        <f t="shared" ca="1" si="3"/>
        <v>6.9834052625156415</v>
      </c>
      <c r="T42">
        <v>30</v>
      </c>
      <c r="U42" s="3">
        <f t="shared" ca="1" si="1"/>
        <v>6.9497532730599145</v>
      </c>
    </row>
    <row r="43" spans="1:21">
      <c r="Q43">
        <v>31</v>
      </c>
      <c r="R43" s="3">
        <f t="shared" ca="1" si="3"/>
        <v>7.201880536518364</v>
      </c>
      <c r="T43">
        <v>31</v>
      </c>
      <c r="U43" s="3">
        <f t="shared" ca="1" si="1"/>
        <v>7.167030305146139</v>
      </c>
    </row>
    <row r="44" spans="1:21">
      <c r="A44" t="s">
        <v>51</v>
      </c>
      <c r="B44" s="5">
        <f ca="1">Data!C112</f>
        <v>0.99</v>
      </c>
      <c r="D44" s="44" t="s">
        <v>138</v>
      </c>
      <c r="E44" s="44"/>
      <c r="F44" s="44"/>
      <c r="G44" s="44"/>
      <c r="H44" s="44"/>
      <c r="I44" s="44"/>
      <c r="Q44">
        <v>32</v>
      </c>
      <c r="R44" s="3">
        <f t="shared" ca="1" si="3"/>
        <v>7.4203669600401643</v>
      </c>
      <c r="T44">
        <v>32</v>
      </c>
      <c r="U44" s="3">
        <f t="shared" ca="1" si="1"/>
        <v>7.3843483759027322</v>
      </c>
    </row>
    <row r="45" spans="1:21">
      <c r="A45" t="s">
        <v>43</v>
      </c>
      <c r="B45" s="2">
        <f ca="1">Data!C226</f>
        <v>0.39</v>
      </c>
      <c r="D45" t="s">
        <v>44</v>
      </c>
      <c r="E45" t="s">
        <v>45</v>
      </c>
      <c r="F45" s="14">
        <v>0</v>
      </c>
      <c r="G45" s="14">
        <v>1</v>
      </c>
      <c r="H45" s="14">
        <v>2</v>
      </c>
      <c r="I45" s="25">
        <v>3</v>
      </c>
      <c r="J45" s="25">
        <v>4</v>
      </c>
      <c r="K45" s="25">
        <v>5</v>
      </c>
      <c r="L45" s="25">
        <v>6</v>
      </c>
      <c r="M45" s="25">
        <v>7</v>
      </c>
      <c r="N45" s="25">
        <v>8</v>
      </c>
      <c r="Q45">
        <v>33</v>
      </c>
      <c r="R45" s="3">
        <f t="shared" ref="R45:R76" ca="1" si="6">(1+R44*$F$38+R43*$G$38+R42*$H$38+R41*$I$38+R40*$J$38+R39*$K$38+R38*$L$38+R37*$M$38)/(1-$E$38)</f>
        <v>7.6388012030312895</v>
      </c>
      <c r="T45">
        <v>33</v>
      </c>
      <c r="U45" s="3">
        <f t="shared" ref="U45:U76" ca="1" si="7">(1+U44*$F$80+U43*$G$80+U42*$H$80+U41*$I$80+U40*$J$80+U39*$K$80+U38*$L$80+U37*$M$80)/(1-$E$80)</f>
        <v>7.6016310280793649</v>
      </c>
    </row>
    <row r="46" spans="1:21">
      <c r="A46" t="s">
        <v>150</v>
      </c>
      <c r="B46" s="2">
        <f ca="1">Data!C227</f>
        <v>0.37000000000000005</v>
      </c>
      <c r="D46">
        <v>0</v>
      </c>
      <c r="E46" s="15">
        <v>0</v>
      </c>
      <c r="F46" s="40">
        <f t="shared" ref="F46:N54" ca="1" si="8">IF($D46&gt;=F$45, POWER($B$44, F$45) * POWER((1-$B$44), $D46-F$45) * COMBIN($D46,F$45) * $E46, 0)</f>
        <v>0</v>
      </c>
      <c r="G46" s="40">
        <f t="shared" si="8"/>
        <v>0</v>
      </c>
      <c r="H46" s="40">
        <f t="shared" si="8"/>
        <v>0</v>
      </c>
      <c r="I46" s="40">
        <f t="shared" si="8"/>
        <v>0</v>
      </c>
      <c r="J46" s="40">
        <f t="shared" si="8"/>
        <v>0</v>
      </c>
      <c r="K46" s="40">
        <f t="shared" si="8"/>
        <v>0</v>
      </c>
      <c r="L46" s="40">
        <f t="shared" si="8"/>
        <v>0</v>
      </c>
      <c r="M46" s="40">
        <f t="shared" si="8"/>
        <v>0</v>
      </c>
      <c r="N46" s="40">
        <f t="shared" si="8"/>
        <v>0</v>
      </c>
      <c r="Q46">
        <v>34</v>
      </c>
      <c r="R46" s="3">
        <f t="shared" ca="1" si="6"/>
        <v>7.8572015645595199</v>
      </c>
      <c r="T46">
        <v>34</v>
      </c>
      <c r="U46" s="3">
        <f t="shared" ca="1" si="7"/>
        <v>7.8188718848117178</v>
      </c>
    </row>
    <row r="47" spans="1:21">
      <c r="A47" t="s">
        <v>309</v>
      </c>
      <c r="B47" s="2">
        <f ca="1">Data!C228</f>
        <v>0</v>
      </c>
      <c r="D47">
        <v>1</v>
      </c>
      <c r="E47" s="16">
        <f ca="1">(1-B47)*(1-B46)*(1-B45)*(1-B49)*(1-B65)*(1-B48)</f>
        <v>0.38429999999999992</v>
      </c>
      <c r="F47" s="40">
        <f t="shared" ca="1" si="8"/>
        <v>3.8430000000000027E-3</v>
      </c>
      <c r="G47" s="40">
        <f t="shared" ca="1" si="8"/>
        <v>0.38045699999999993</v>
      </c>
      <c r="H47" s="40">
        <f t="shared" si="8"/>
        <v>0</v>
      </c>
      <c r="I47" s="40">
        <f t="shared" si="8"/>
        <v>0</v>
      </c>
      <c r="J47" s="40">
        <f t="shared" si="8"/>
        <v>0</v>
      </c>
      <c r="K47" s="40">
        <f t="shared" si="8"/>
        <v>0</v>
      </c>
      <c r="L47" s="40">
        <f t="shared" si="8"/>
        <v>0</v>
      </c>
      <c r="M47" s="40">
        <f t="shared" si="8"/>
        <v>0</v>
      </c>
      <c r="N47" s="40">
        <f t="shared" si="8"/>
        <v>0</v>
      </c>
      <c r="Q47">
        <v>35</v>
      </c>
      <c r="R47" s="3">
        <f t="shared" ca="1" si="6"/>
        <v>8.0756134998158497</v>
      </c>
      <c r="T47">
        <v>35</v>
      </c>
      <c r="U47" s="3">
        <f t="shared" ca="1" si="7"/>
        <v>8.0361090173211505</v>
      </c>
    </row>
    <row r="48" spans="1:21">
      <c r="A48" t="s">
        <v>380</v>
      </c>
      <c r="B48" s="2">
        <v>0</v>
      </c>
      <c r="D48">
        <v>2</v>
      </c>
      <c r="E48" s="16">
        <f ca="1">(1-B47)*(1-B46)*(B45)*(1-B48) + (1-B47)*(1-B46)*(1-B45)*(B49)*(B50)*(1-B48) + (1-B47)*(1-B46)*(1-B45)*(1-B49)*(B65)*(B66)*(1-B48) + (1-B47)*(1-B46)*(1-B45)*(1-B49)*(1-B65)*(B48)</f>
        <v>0.24569999999999997</v>
      </c>
      <c r="F48" s="40">
        <f t="shared" ca="1" si="8"/>
        <v>2.4570000000000041E-5</v>
      </c>
      <c r="G48" s="40">
        <f t="shared" ca="1" si="8"/>
        <v>4.8648600000000038E-3</v>
      </c>
      <c r="H48" s="40">
        <f t="shared" ca="1" si="8"/>
        <v>0.24081056999999997</v>
      </c>
      <c r="I48" s="40">
        <f t="shared" si="8"/>
        <v>0</v>
      </c>
      <c r="J48" s="40">
        <f t="shared" si="8"/>
        <v>0</v>
      </c>
      <c r="K48" s="40">
        <f t="shared" si="8"/>
        <v>0</v>
      </c>
      <c r="L48" s="40">
        <f t="shared" si="8"/>
        <v>0</v>
      </c>
      <c r="M48" s="40">
        <f t="shared" si="8"/>
        <v>0</v>
      </c>
      <c r="N48" s="40">
        <f t="shared" si="8"/>
        <v>0</v>
      </c>
      <c r="Q48">
        <v>36</v>
      </c>
      <c r="R48" s="3">
        <f t="shared" ca="1" si="6"/>
        <v>8.2940512044976824</v>
      </c>
      <c r="T48">
        <v>36</v>
      </c>
      <c r="U48" s="3">
        <f t="shared" ca="1" si="7"/>
        <v>8.2533685910509931</v>
      </c>
    </row>
    <row r="49" spans="1:21">
      <c r="A49" t="s">
        <v>381</v>
      </c>
      <c r="B49" s="2">
        <f ca="1">IF(ISBLANK(Gear!$Z$3), 0, VLOOKUP(Gear!$Z$3, INDIRECT(Gear!$Y$3), MATCH("OAx", StatHeader, 0), 0))</f>
        <v>0</v>
      </c>
      <c r="D49">
        <v>3</v>
      </c>
      <c r="E49" s="16">
        <f ca="1">(1-B47)*(B46)*(1-B48) + (1-B47)*(1-B46)*(B45)*(B48) + (1-B47)*(1-B46)*(1-B45)*(B49)*(B51)*(1-B48) + (1-B47)*(1-B46)*(1-B45)*(B49)*(B50)*(B48) + (1-B47)*(1-B46)*(1-B45)*(1-B49)*(B65)*(B67)*(1-B48) + (1-B47)*(1-B46)*(1-B45)*(1-B49)*(B65)*(B66)*(B48)</f>
        <v>0.37000000000000005</v>
      </c>
      <c r="F49" s="40">
        <f t="shared" ca="1" si="8"/>
        <v>3.7000000000000106E-7</v>
      </c>
      <c r="G49" s="40">
        <f t="shared" ca="1" si="8"/>
        <v>1.0989000000000022E-4</v>
      </c>
      <c r="H49" s="40">
        <f t="shared" ca="1" si="8"/>
        <v>1.087911000000001E-2</v>
      </c>
      <c r="I49" s="40">
        <f t="shared" ca="1" si="8"/>
        <v>0.35901063</v>
      </c>
      <c r="J49" s="40">
        <f t="shared" si="8"/>
        <v>0</v>
      </c>
      <c r="K49" s="40">
        <f t="shared" si="8"/>
        <v>0</v>
      </c>
      <c r="L49" s="40">
        <f t="shared" si="8"/>
        <v>0</v>
      </c>
      <c r="M49" s="40">
        <f t="shared" si="8"/>
        <v>0</v>
      </c>
      <c r="N49" s="40">
        <f t="shared" si="8"/>
        <v>0</v>
      </c>
      <c r="Q49">
        <v>37</v>
      </c>
      <c r="R49" s="3">
        <f t="shared" ca="1" si="6"/>
        <v>8.5124959267922691</v>
      </c>
      <c r="T49">
        <v>37</v>
      </c>
      <c r="U49" s="3">
        <f t="shared" ca="1" si="7"/>
        <v>8.470642499361098</v>
      </c>
    </row>
    <row r="50" spans="1:21">
      <c r="A50" t="s">
        <v>382</v>
      </c>
      <c r="B50" s="2">
        <f ca="1">IF(ISBLANK(Gear!$Z$3), 0, VLOOKUP(Gear!$Z$3, INDIRECT(Gear!$Y$3), MATCH(A50, StatHeader, 0), 0))</f>
        <v>0</v>
      </c>
      <c r="D50">
        <v>4</v>
      </c>
      <c r="E50" s="16">
        <f ca="1">(B47)*(1-B48) + (1-B47)*(B46)*(B48) + (1-B47)*(1-B46)*(1-B45)*(B49)*(B52)*(1-B48) + (1-B47)*(1-B46)*(1-B45)*(B49)*(B51)*(B48) + (1-B47)*(1-B46)*(1-B45)*(1-B49)*(B65)*(B67)*(B48)</f>
        <v>0</v>
      </c>
      <c r="F50" s="40">
        <f t="shared" ca="1" si="8"/>
        <v>0</v>
      </c>
      <c r="G50" s="40">
        <f t="shared" ca="1" si="8"/>
        <v>0</v>
      </c>
      <c r="H50" s="40">
        <f t="shared" ca="1" si="8"/>
        <v>0</v>
      </c>
      <c r="I50" s="40">
        <f t="shared" ca="1" si="8"/>
        <v>0</v>
      </c>
      <c r="J50" s="40">
        <f t="shared" ca="1" si="8"/>
        <v>0</v>
      </c>
      <c r="K50" s="40">
        <f t="shared" si="8"/>
        <v>0</v>
      </c>
      <c r="L50" s="40">
        <f t="shared" si="8"/>
        <v>0</v>
      </c>
      <c r="M50" s="40">
        <f t="shared" si="8"/>
        <v>0</v>
      </c>
      <c r="N50" s="40">
        <f t="shared" si="8"/>
        <v>0</v>
      </c>
      <c r="Q50">
        <v>38</v>
      </c>
      <c r="R50" s="3">
        <f t="shared" ca="1" si="6"/>
        <v>8.7309296454177474</v>
      </c>
      <c r="T50">
        <v>38</v>
      </c>
      <c r="U50" s="3">
        <f t="shared" ca="1" si="7"/>
        <v>8.6879114641614734</v>
      </c>
    </row>
    <row r="51" spans="1:21">
      <c r="A51" t="s">
        <v>383</v>
      </c>
      <c r="B51" s="2">
        <f ca="1">IF(ISBLANK(Gear!$Z$3), 0, VLOOKUP(Gear!$Z$3, INDIRECT(Gear!$Y$3), MATCH(A51, StatHeader, 0), 0))</f>
        <v>0</v>
      </c>
      <c r="D51">
        <v>5</v>
      </c>
      <c r="E51" s="98">
        <f ca="1">(1-B47)*(1-B46)*(1-B45)*(B49)*(B53)*(1-B48) + (1-B47)*(1-B46)*(1-B45)*(B49)*(B52)*(B48) + (B47)*(B48)</f>
        <v>0</v>
      </c>
      <c r="F51" s="40">
        <f t="shared" ca="1" si="8"/>
        <v>0</v>
      </c>
      <c r="G51" s="40">
        <f t="shared" ca="1" si="8"/>
        <v>0</v>
      </c>
      <c r="H51" s="40">
        <f t="shared" ca="1" si="8"/>
        <v>0</v>
      </c>
      <c r="I51" s="40">
        <f t="shared" ca="1" si="8"/>
        <v>0</v>
      </c>
      <c r="J51" s="40">
        <f t="shared" ca="1" si="8"/>
        <v>0</v>
      </c>
      <c r="K51" s="40">
        <f t="shared" ca="1" si="8"/>
        <v>0</v>
      </c>
      <c r="L51" s="40">
        <f t="shared" si="8"/>
        <v>0</v>
      </c>
      <c r="M51" s="40">
        <f t="shared" si="8"/>
        <v>0</v>
      </c>
      <c r="N51" s="40">
        <f t="shared" si="8"/>
        <v>0</v>
      </c>
      <c r="Q51">
        <v>39</v>
      </c>
      <c r="R51" s="3">
        <f t="shared" ca="1" si="6"/>
        <v>8.9493534797559811</v>
      </c>
      <c r="T51">
        <v>39</v>
      </c>
      <c r="U51" s="3">
        <f t="shared" ca="1" si="7"/>
        <v>8.9051695519702267</v>
      </c>
    </row>
    <row r="52" spans="1:21">
      <c r="A52" t="s">
        <v>384</v>
      </c>
      <c r="B52" s="2">
        <f ca="1">IF(ISBLANK(Gear!$Z$3), 0, VLOOKUP(Gear!$Z$3, INDIRECT(Gear!$Y$3), MATCH(A52, StatHeader, 0), 0))</f>
        <v>0</v>
      </c>
      <c r="D52" s="44">
        <v>6</v>
      </c>
      <c r="E52" s="98">
        <f ca="1">(1-B47)*(1-B46)*(1-B45)*(B49)*(B54)*(1-B48) + (1-B47)*(1-B46)*(1-B45)*(B49)*(B53)*(B48)</f>
        <v>0</v>
      </c>
      <c r="F52" s="40">
        <f t="shared" ca="1" si="8"/>
        <v>0</v>
      </c>
      <c r="G52" s="40">
        <f t="shared" ca="1" si="8"/>
        <v>0</v>
      </c>
      <c r="H52" s="40">
        <f t="shared" ca="1" si="8"/>
        <v>0</v>
      </c>
      <c r="I52" s="40">
        <f t="shared" ca="1" si="8"/>
        <v>0</v>
      </c>
      <c r="J52" s="40">
        <f t="shared" ca="1" si="8"/>
        <v>0</v>
      </c>
      <c r="K52" s="40">
        <f t="shared" ca="1" si="8"/>
        <v>0</v>
      </c>
      <c r="L52" s="40">
        <f t="shared" ca="1" si="8"/>
        <v>0</v>
      </c>
      <c r="M52" s="40">
        <f t="shared" si="8"/>
        <v>0</v>
      </c>
      <c r="N52" s="40">
        <f t="shared" si="8"/>
        <v>0</v>
      </c>
      <c r="Q52">
        <v>40</v>
      </c>
      <c r="R52" s="3">
        <f t="shared" ca="1" si="6"/>
        <v>9.1677783358904481</v>
      </c>
      <c r="T52">
        <v>40</v>
      </c>
      <c r="U52" s="3">
        <f t="shared" ca="1" si="7"/>
        <v>9.122424376139362</v>
      </c>
    </row>
    <row r="53" spans="1:21">
      <c r="A53" t="s">
        <v>385</v>
      </c>
      <c r="B53" s="2">
        <f ca="1">IF(ISBLANK(Gear!$Z$3), 0, VLOOKUP(Gear!$Z$3, INDIRECT(Gear!$Y$3), MATCH(A53, StatHeader, 0), 0))</f>
        <v>0</v>
      </c>
      <c r="D53" s="24">
        <v>7</v>
      </c>
      <c r="E53" s="16">
        <f ca="1">(1-B47)*(1-B46)*(1-B45)*(B49)*(B55)*(1-B48) + (1-B47)*(1-B46)*(1-B45)*(B49)*(B54)*(B48)</f>
        <v>0</v>
      </c>
      <c r="F53" s="40">
        <f t="shared" ca="1" si="8"/>
        <v>0</v>
      </c>
      <c r="G53" s="40">
        <f t="shared" ca="1" si="8"/>
        <v>0</v>
      </c>
      <c r="H53" s="40">
        <f t="shared" ca="1" si="8"/>
        <v>0</v>
      </c>
      <c r="I53" s="40">
        <f t="shared" ca="1" si="8"/>
        <v>0</v>
      </c>
      <c r="J53" s="40">
        <f t="shared" ca="1" si="8"/>
        <v>0</v>
      </c>
      <c r="K53" s="40">
        <f t="shared" ca="1" si="8"/>
        <v>0</v>
      </c>
      <c r="L53" s="40">
        <f t="shared" ca="1" si="8"/>
        <v>0</v>
      </c>
      <c r="M53" s="40">
        <f t="shared" ca="1" si="8"/>
        <v>0</v>
      </c>
      <c r="N53" s="40">
        <f t="shared" si="8"/>
        <v>0</v>
      </c>
      <c r="O53" s="44"/>
      <c r="P53" s="44"/>
      <c r="Q53">
        <v>41</v>
      </c>
      <c r="R53" s="3">
        <f t="shared" ca="1" si="6"/>
        <v>9.3862094177683986</v>
      </c>
      <c r="T53">
        <v>41</v>
      </c>
      <c r="U53" s="3">
        <f t="shared" ca="1" si="7"/>
        <v>9.3396837053423329</v>
      </c>
    </row>
    <row r="54" spans="1:21">
      <c r="A54" t="s">
        <v>386</v>
      </c>
      <c r="B54" s="2">
        <f ca="1">IF(ISBLANK(Gear!$Z$3), 0, VLOOKUP(Gear!$Z$3, INDIRECT(Gear!$Y$3), MATCH(A54, StatHeader, 0), 0))</f>
        <v>0</v>
      </c>
      <c r="D54" s="24">
        <v>8</v>
      </c>
      <c r="E54" s="16">
        <f ca="1">(1-B47)*(1-B46)*(1-B45)*(B49)*(B56) + (1-B47)*(1-B46)*(1-B45)*(B49)*(B55)*(B48)</f>
        <v>0</v>
      </c>
      <c r="F54" s="17">
        <f t="shared" ca="1" si="8"/>
        <v>0</v>
      </c>
      <c r="G54" s="18">
        <f t="shared" ca="1" si="8"/>
        <v>0</v>
      </c>
      <c r="H54" s="18">
        <f t="shared" ca="1" si="8"/>
        <v>0</v>
      </c>
      <c r="I54" s="18">
        <f t="shared" ca="1" si="8"/>
        <v>0</v>
      </c>
      <c r="J54" s="18">
        <f t="shared" ca="1" si="8"/>
        <v>0</v>
      </c>
      <c r="K54" s="18">
        <f t="shared" ca="1" si="8"/>
        <v>0</v>
      </c>
      <c r="L54" s="18">
        <f t="shared" ca="1" si="8"/>
        <v>0</v>
      </c>
      <c r="M54" s="18">
        <f t="shared" ca="1" si="8"/>
        <v>0</v>
      </c>
      <c r="N54" s="18">
        <f t="shared" ca="1" si="8"/>
        <v>0</v>
      </c>
      <c r="O54" s="44"/>
      <c r="P54" s="44"/>
      <c r="Q54">
        <v>42</v>
      </c>
      <c r="R54" s="3">
        <f t="shared" ca="1" si="6"/>
        <v>9.6046432226739054</v>
      </c>
      <c r="T54">
        <v>42</v>
      </c>
      <c r="U54" s="3">
        <f t="shared" ca="1" si="7"/>
        <v>9.5569473519472101</v>
      </c>
    </row>
    <row r="55" spans="1:21">
      <c r="A55" t="s">
        <v>387</v>
      </c>
      <c r="B55" s="2">
        <f ca="1">IF(ISBLANK(Gear!$Z$3), 0, VLOOKUP(Gear!$Z$3, INDIRECT(Gear!$Y$3), MATCH(A55, StatHeader, 0), 0))</f>
        <v>0</v>
      </c>
      <c r="E55" s="2">
        <f ca="1">SUM(E46:E54)</f>
        <v>1</v>
      </c>
      <c r="O55" s="40"/>
      <c r="P55" s="40"/>
      <c r="Q55">
        <v>43</v>
      </c>
      <c r="R55" s="3">
        <f t="shared" ca="1" si="6"/>
        <v>9.8230749168857283</v>
      </c>
      <c r="T55">
        <v>43</v>
      </c>
      <c r="U55" s="3">
        <f t="shared" ca="1" si="7"/>
        <v>9.7742108212135843</v>
      </c>
    </row>
    <row r="56" spans="1:21">
      <c r="A56" t="s">
        <v>388</v>
      </c>
      <c r="B56" s="2">
        <f ca="1">IF(ISBLANK(Gear!$Z$3), 0, VLOOKUP(Gear!$Z$3, INDIRECT(Gear!$Y$3), MATCH(A56, StatHeader, 0), 0))</f>
        <v>0</v>
      </c>
      <c r="E56" t="s">
        <v>46</v>
      </c>
      <c r="F56" s="48">
        <f t="shared" ref="F56:N56" ca="1" si="9">SUM(F46:F54)</f>
        <v>3.8679400000000029E-3</v>
      </c>
      <c r="G56" s="48">
        <f t="shared" ca="1" si="9"/>
        <v>0.38543174999999996</v>
      </c>
      <c r="H56" s="48">
        <f t="shared" ca="1" si="9"/>
        <v>0.25168967999999997</v>
      </c>
      <c r="I56" s="48">
        <f t="shared" ca="1" si="9"/>
        <v>0.35901063</v>
      </c>
      <c r="J56" s="48">
        <f t="shared" ca="1" si="9"/>
        <v>0</v>
      </c>
      <c r="K56" s="48">
        <f t="shared" ca="1" si="9"/>
        <v>0</v>
      </c>
      <c r="L56" s="48">
        <f t="shared" ca="1" si="9"/>
        <v>0</v>
      </c>
      <c r="M56" s="48">
        <f t="shared" ca="1" si="9"/>
        <v>0</v>
      </c>
      <c r="N56" s="48">
        <f t="shared" ca="1" si="9"/>
        <v>0</v>
      </c>
      <c r="O56" s="40">
        <f ca="1">SUM(F56:N56)</f>
        <v>1</v>
      </c>
      <c r="P56" s="44"/>
      <c r="Q56">
        <v>44</v>
      </c>
      <c r="R56" s="3">
        <f t="shared" ca="1" si="6"/>
        <v>10.041503922102914</v>
      </c>
      <c r="T56">
        <v>44</v>
      </c>
      <c r="U56" s="3">
        <f t="shared" ca="1" si="7"/>
        <v>9.9914717109556328</v>
      </c>
    </row>
    <row r="57" spans="1:21">
      <c r="A57" t="s">
        <v>389</v>
      </c>
      <c r="B57" s="2">
        <f ca="1">IF(ISBLANK(Gear!$Z$4), 0, VLOOKUP(Gear!$Z$4, INDIRECT(Gear!$Y$4), MATCH("OAx", StatHeader, 0), 0))</f>
        <v>0</v>
      </c>
      <c r="E57" s="31" t="s">
        <v>649</v>
      </c>
      <c r="F57" s="48">
        <f ca="1">B68*(1-B69) + (1-B68)</f>
        <v>0.2495</v>
      </c>
      <c r="G57" s="48">
        <f ca="1">B68*B69</f>
        <v>0.75049999999999994</v>
      </c>
      <c r="H57" s="48"/>
      <c r="I57" s="48"/>
      <c r="J57" s="48"/>
      <c r="K57" s="48"/>
      <c r="L57" s="48"/>
      <c r="M57" s="48"/>
      <c r="N57" s="48"/>
      <c r="O57" s="40"/>
      <c r="P57" s="44"/>
      <c r="Q57">
        <v>45</v>
      </c>
      <c r="R57" s="3">
        <f t="shared" ca="1" si="6"/>
        <v>10.259932704044511</v>
      </c>
      <c r="T57">
        <v>45</v>
      </c>
      <c r="U57" s="3">
        <f t="shared" ca="1" si="7"/>
        <v>10.208731274337321</v>
      </c>
    </row>
    <row r="58" spans="1:21">
      <c r="A58" t="s">
        <v>382</v>
      </c>
      <c r="B58" s="2">
        <f ca="1">IF(ISBLANK(Gear!$Z$4), 0, VLOOKUP(Gear!$Z$4, INDIRECT(Gear!$Y$4), MATCH(A58, StatHeader, 0), 0))</f>
        <v>0</v>
      </c>
      <c r="E58" s="31" t="s">
        <v>7</v>
      </c>
      <c r="F58" s="153">
        <f ca="1">F56*F57</f>
        <v>9.6505103000000072E-4</v>
      </c>
      <c r="G58" s="153">
        <f ca="1">G56*F57+F56*G57</f>
        <v>9.9068110594999995E-2</v>
      </c>
      <c r="H58" s="153">
        <f ca="1">H56*F57+G56*G57</f>
        <v>0.35206310353499992</v>
      </c>
      <c r="I58" s="153">
        <f ca="1">I56*F57+H56*G57</f>
        <v>0.27846625702499994</v>
      </c>
      <c r="J58" s="153">
        <f ca="1">J56*F57+I56*G57</f>
        <v>0.26943747781499999</v>
      </c>
      <c r="K58" s="153">
        <f ca="1">K56*F57+J56*G57</f>
        <v>0</v>
      </c>
      <c r="L58" s="153">
        <f ca="1">L56*F57+K56*G57</f>
        <v>0</v>
      </c>
      <c r="M58" s="153">
        <f ca="1">M56*F57+L56*G57</f>
        <v>0</v>
      </c>
      <c r="N58" s="153">
        <f ca="1">N56*F57+M56*G57</f>
        <v>0</v>
      </c>
      <c r="O58" s="40">
        <f ca="1">SUM(F58:N58)</f>
        <v>0.99999999999999978</v>
      </c>
      <c r="P58" s="44"/>
      <c r="Q58">
        <v>46</v>
      </c>
      <c r="R58" s="3">
        <f t="shared" ca="1" si="6"/>
        <v>10.478362908812123</v>
      </c>
      <c r="T58">
        <v>46</v>
      </c>
      <c r="U58" s="3">
        <f t="shared" ca="1" si="7"/>
        <v>10.425991589686461</v>
      </c>
    </row>
    <row r="59" spans="1:21">
      <c r="A59" t="s">
        <v>383</v>
      </c>
      <c r="B59" s="2">
        <f ca="1">IF(ISBLANK(Gear!$Z$4), 0, VLOOKUP(Gear!$Z$4, INDIRECT(Gear!$Y$4), MATCH(A59, StatHeader, 0), 0))</f>
        <v>0</v>
      </c>
      <c r="E59" s="40" t="s">
        <v>47</v>
      </c>
      <c r="F59" s="19">
        <f ca="1">F45*F58+G45*G58+H45*H58+I45*I58+J58*J45+K58*K45+L58*L45+M58*M45+N58*N45+(1*B70)</f>
        <v>2.7163429999999993</v>
      </c>
      <c r="G59" s="200" t="s">
        <v>814</v>
      </c>
      <c r="H59" s="200">
        <f ca="1">F45*F56+G45*G56+H45*H56+I45*I56+J45*J56+K45*K56+L45*L56+M45*M56+N45*N56</f>
        <v>1.965843</v>
      </c>
      <c r="I59" s="40" t="s">
        <v>851</v>
      </c>
      <c r="J59">
        <f ca="1">F45*F58+G45*G58+H45*H58+I45*I58+J58*J45+K58*K45+L58*L45+M58*M45+N58*N45</f>
        <v>2.7163429999999993</v>
      </c>
      <c r="O59" s="44"/>
      <c r="P59" s="44"/>
      <c r="Q59">
        <v>47</v>
      </c>
      <c r="R59" s="3">
        <f t="shared" ca="1" si="6"/>
        <v>10.696793999445843</v>
      </c>
      <c r="T59">
        <v>47</v>
      </c>
      <c r="U59" s="3">
        <f t="shared" ca="1" si="7"/>
        <v>10.643253076199612</v>
      </c>
    </row>
    <row r="60" spans="1:21">
      <c r="A60" t="s">
        <v>384</v>
      </c>
      <c r="B60" s="2">
        <f ca="1">IF(ISBLANK(Gear!$Z$4), 0, VLOOKUP(Gear!$Z$4, INDIRECT(Gear!$Y$4), MATCH(A60, StatHeader, 0), 0))</f>
        <v>0</v>
      </c>
      <c r="F60" s="3"/>
      <c r="Q60">
        <v>48</v>
      </c>
      <c r="R60" s="3">
        <f t="shared" ca="1" si="6"/>
        <v>10.91522474744559</v>
      </c>
      <c r="T60">
        <v>48</v>
      </c>
      <c r="U60" s="3">
        <f t="shared" ca="1" si="7"/>
        <v>10.86051478207526</v>
      </c>
    </row>
    <row r="61" spans="1:21">
      <c r="A61" t="s">
        <v>385</v>
      </c>
      <c r="B61" s="2">
        <f ca="1">IF(ISBLANK(Gear!$Z$4), 0, VLOOKUP(Gear!$Z$4, INDIRECT(Gear!$Y$4), MATCH(A61, StatHeader, 0), 0))</f>
        <v>0</v>
      </c>
      <c r="Q61">
        <v>49</v>
      </c>
      <c r="R61" s="3">
        <f t="shared" ca="1" si="6"/>
        <v>11.13365480454776</v>
      </c>
      <c r="T61">
        <v>49</v>
      </c>
      <c r="U61" s="3">
        <f t="shared" ca="1" si="7"/>
        <v>11.077775935560918</v>
      </c>
    </row>
    <row r="62" spans="1:21">
      <c r="A62" t="s">
        <v>386</v>
      </c>
      <c r="B62" s="2">
        <f ca="1">IF(ISBLANK(Gear!$Z$4), 0, VLOOKUP(Gear!$Z$4, INDIRECT(Gear!$Y$4), MATCH(A62, StatHeader, 0), 0))</f>
        <v>0</v>
      </c>
      <c r="D62" s="44" t="s">
        <v>136</v>
      </c>
      <c r="E62" s="44">
        <f>IF(ISBLANK(Gear!Z4), 0, 1)</f>
        <v>1</v>
      </c>
      <c r="F62" s="44"/>
      <c r="G62" s="44"/>
      <c r="H62" s="44"/>
      <c r="I62" s="44"/>
      <c r="J62" s="44"/>
      <c r="Q62">
        <v>50</v>
      </c>
      <c r="R62" s="3">
        <f t="shared" ca="1" si="6"/>
        <v>11.35208468989271</v>
      </c>
      <c r="T62">
        <v>50</v>
      </c>
      <c r="U62" s="3">
        <f t="shared" ca="1" si="7"/>
        <v>11.295036658724383</v>
      </c>
    </row>
    <row r="63" spans="1:21">
      <c r="A63" t="s">
        <v>387</v>
      </c>
      <c r="B63" s="2">
        <f ca="1">IF(ISBLANK(Gear!$Z$4), 0, VLOOKUP(Gear!$Z$4, INDIRECT(Gear!$Y$4), MATCH(A63, StatHeader, 0), 0))</f>
        <v>0</v>
      </c>
      <c r="D63" t="s">
        <v>44</v>
      </c>
      <c r="E63" t="s">
        <v>45</v>
      </c>
      <c r="F63" s="14">
        <v>0</v>
      </c>
      <c r="G63" s="14">
        <v>1</v>
      </c>
      <c r="H63" s="14">
        <v>2</v>
      </c>
      <c r="I63" s="25">
        <v>3</v>
      </c>
      <c r="J63" s="25">
        <v>4</v>
      </c>
      <c r="K63" s="25">
        <v>5</v>
      </c>
      <c r="L63" s="25">
        <v>6</v>
      </c>
      <c r="M63" s="25">
        <v>7</v>
      </c>
      <c r="N63" s="25">
        <v>8</v>
      </c>
      <c r="O63" s="44"/>
      <c r="Q63">
        <v>51</v>
      </c>
      <c r="R63" s="3">
        <f t="shared" ca="1" si="6"/>
        <v>11.570514879623033</v>
      </c>
      <c r="T63">
        <v>51</v>
      </c>
      <c r="U63" s="3">
        <f t="shared" ca="1" si="7"/>
        <v>11.512297460901371</v>
      </c>
    </row>
    <row r="64" spans="1:21">
      <c r="A64" t="s">
        <v>388</v>
      </c>
      <c r="B64" s="2">
        <f ca="1">IF(ISBLANK(Gear!$Z$4), 0, VLOOKUP(Gear!$Z$4, INDIRECT(Gear!$Y$4), MATCH(A64, StatHeader, 0), 0))</f>
        <v>0</v>
      </c>
      <c r="D64">
        <v>0</v>
      </c>
      <c r="E64" s="15">
        <f>IF(E62=0, 100%, 0)</f>
        <v>0</v>
      </c>
      <c r="F64" s="40">
        <f ca="1">IF($D64&gt;=F$63, POWER($B$71, F$63) * POWER((1-$B$71), $D64-F$63) * COMBIN($D64,F$63) * $E64, 0)</f>
        <v>0</v>
      </c>
      <c r="G64" s="40">
        <f t="shared" ref="F64:N72" si="10">IF($D64&gt;=G$63, POWER($B$71, G$63) * POWER((1-$B$71), $D64-G$63) * COMBIN($D64,G$63) * $E64, 0)</f>
        <v>0</v>
      </c>
      <c r="H64" s="40">
        <f t="shared" si="10"/>
        <v>0</v>
      </c>
      <c r="I64" s="40">
        <f t="shared" si="10"/>
        <v>0</v>
      </c>
      <c r="J64" s="40">
        <f t="shared" si="10"/>
        <v>0</v>
      </c>
      <c r="K64" s="40">
        <f t="shared" si="10"/>
        <v>0</v>
      </c>
      <c r="L64" s="40">
        <f t="shared" si="10"/>
        <v>0</v>
      </c>
      <c r="M64" s="40">
        <f t="shared" si="10"/>
        <v>0</v>
      </c>
      <c r="N64" s="40">
        <f t="shared" si="10"/>
        <v>0</v>
      </c>
      <c r="O64" s="44"/>
      <c r="Q64">
        <v>52</v>
      </c>
      <c r="R64" s="3">
        <f t="shared" ca="1" si="6"/>
        <v>11.788945330102779</v>
      </c>
      <c r="T64">
        <v>52</v>
      </c>
      <c r="U64" s="3">
        <f t="shared" ca="1" si="7"/>
        <v>11.729558553259292</v>
      </c>
    </row>
    <row r="65" spans="1:21">
      <c r="A65" t="s">
        <v>439</v>
      </c>
      <c r="B65" s="2">
        <f ca="1">IF(Setup!C$29=1, IF(ISBLANK(Gear!$Z$3), 0, VLOOKUP(Gear!$Z$3, INDIRECT(Gear!$Y$3), MATCH(A65, StatHeader, 0), 0)), 0)</f>
        <v>0</v>
      </c>
      <c r="D65">
        <v>1</v>
      </c>
      <c r="E65" s="16">
        <f ca="1">IF(E62=1, (1-B47)*(1-B46)*(1-B45)*(1-B57), 0)</f>
        <v>0.38429999999999992</v>
      </c>
      <c r="F65" s="40">
        <f t="shared" ca="1" si="10"/>
        <v>1.9215000000000013E-2</v>
      </c>
      <c r="G65" s="40">
        <f t="shared" ca="1" si="10"/>
        <v>0.36508499999999988</v>
      </c>
      <c r="H65" s="40">
        <f t="shared" si="10"/>
        <v>0</v>
      </c>
      <c r="I65" s="40">
        <f t="shared" si="10"/>
        <v>0</v>
      </c>
      <c r="J65" s="40">
        <f t="shared" si="10"/>
        <v>0</v>
      </c>
      <c r="K65" s="40">
        <f t="shared" si="10"/>
        <v>0</v>
      </c>
      <c r="L65" s="40">
        <f t="shared" si="10"/>
        <v>0</v>
      </c>
      <c r="M65" s="40">
        <f t="shared" si="10"/>
        <v>0</v>
      </c>
      <c r="N65" s="40">
        <f t="shared" si="10"/>
        <v>0</v>
      </c>
      <c r="O65" s="44"/>
      <c r="Q65">
        <v>53</v>
      </c>
      <c r="R65" s="3">
        <f t="shared" ca="1" si="6"/>
        <v>12.007375745157576</v>
      </c>
      <c r="T65">
        <v>53</v>
      </c>
      <c r="U65" s="3">
        <f t="shared" ca="1" si="7"/>
        <v>11.946819760976648</v>
      </c>
    </row>
    <row r="66" spans="1:21">
      <c r="A66" t="s">
        <v>440</v>
      </c>
      <c r="B66" s="2">
        <f ca="1">IF(Setup!C$29=1, IF(ISBLANK(Gear!$Z$3), 0, VLOOKUP(Gear!$Z$3, INDIRECT(Gear!$Y$3), MATCH(A66, StatHeader, 0), 0)), 0)</f>
        <v>0</v>
      </c>
      <c r="D66">
        <v>2</v>
      </c>
      <c r="E66" s="16">
        <f ca="1">IF(E62=1, (1-B47)*(1-B46)*(1-B45)*(B57)*(B58) + (1-B47)*(1-B46)*B45, 0)</f>
        <v>0.24569999999999997</v>
      </c>
      <c r="F66" s="40">
        <f t="shared" ca="1" si="10"/>
        <v>6.1425000000000097E-4</v>
      </c>
      <c r="G66" s="40">
        <f t="shared" ca="1" si="10"/>
        <v>2.3341500000000018E-2</v>
      </c>
      <c r="H66" s="40">
        <f t="shared" ca="1" si="10"/>
        <v>0.22174424999999998</v>
      </c>
      <c r="I66" s="40">
        <f t="shared" si="10"/>
        <v>0</v>
      </c>
      <c r="J66" s="40">
        <f t="shared" si="10"/>
        <v>0</v>
      </c>
      <c r="K66" s="40">
        <f t="shared" si="10"/>
        <v>0</v>
      </c>
      <c r="L66" s="40">
        <f t="shared" si="10"/>
        <v>0</v>
      </c>
      <c r="M66" s="40">
        <f t="shared" si="10"/>
        <v>0</v>
      </c>
      <c r="N66" s="40">
        <f t="shared" si="10"/>
        <v>0</v>
      </c>
      <c r="O66" s="44"/>
      <c r="Q66">
        <v>54</v>
      </c>
      <c r="R66" s="3">
        <f t="shared" ca="1" si="6"/>
        <v>12.225805991823634</v>
      </c>
      <c r="T66">
        <v>54</v>
      </c>
      <c r="U66" s="3">
        <f t="shared" ca="1" si="7"/>
        <v>12.164080865743815</v>
      </c>
    </row>
    <row r="67" spans="1:21">
      <c r="A67" t="s">
        <v>441</v>
      </c>
      <c r="B67" s="2">
        <f ca="1">IF(Setup!C$29=1, IF(ISBLANK(Gear!$Z$3), 0, VLOOKUP(Gear!$Z$3, INDIRECT(Gear!$Y$3), MATCH(A67, StatHeader, 0), 0)), 0)</f>
        <v>0</v>
      </c>
      <c r="D67">
        <v>3</v>
      </c>
      <c r="E67" s="16">
        <f ca="1">IF(E62=1, (1-B47)*(1-B46)*(1-B45)*(B57)*(B59) + (1-B47)*(B46), 0)</f>
        <v>0.37000000000000005</v>
      </c>
      <c r="F67" s="40">
        <f t="shared" ca="1" si="10"/>
        <v>4.6250000000000128E-5</v>
      </c>
      <c r="G67" s="40">
        <f t="shared" ca="1" si="10"/>
        <v>2.6362500000000045E-3</v>
      </c>
      <c r="H67" s="40">
        <f t="shared" ca="1" si="10"/>
        <v>5.0088750000000057E-2</v>
      </c>
      <c r="I67" s="40">
        <f t="shared" ca="1" si="10"/>
        <v>0.31722875</v>
      </c>
      <c r="J67" s="40">
        <f t="shared" si="10"/>
        <v>0</v>
      </c>
      <c r="K67" s="40">
        <f t="shared" si="10"/>
        <v>0</v>
      </c>
      <c r="L67" s="40">
        <f t="shared" si="10"/>
        <v>0</v>
      </c>
      <c r="M67" s="40">
        <f t="shared" si="10"/>
        <v>0</v>
      </c>
      <c r="N67" s="40">
        <f t="shared" si="10"/>
        <v>0</v>
      </c>
      <c r="O67" s="44"/>
      <c r="Q67">
        <v>55</v>
      </c>
      <c r="R67" s="3">
        <f t="shared" ca="1" si="6"/>
        <v>12.444236169039607</v>
      </c>
      <c r="T67">
        <v>55</v>
      </c>
      <c r="U67" s="3">
        <f t="shared" ca="1" si="7"/>
        <v>12.381341847626334</v>
      </c>
    </row>
    <row r="68" spans="1:21">
      <c r="A68" s="31" t="s">
        <v>649</v>
      </c>
      <c r="B68" s="89">
        <f ca="1">IF(Data!H25&gt;0, Data!C229, 0)</f>
        <v>0.79</v>
      </c>
      <c r="D68">
        <v>4</v>
      </c>
      <c r="E68" s="16">
        <f ca="1">IF(E62=1, (1-B47)*(1-B46)*(1-B45)*(B57)*(B60) + (B47), 0)</f>
        <v>0</v>
      </c>
      <c r="F68" s="40">
        <f t="shared" ca="1" si="10"/>
        <v>0</v>
      </c>
      <c r="G68" s="40">
        <f t="shared" ca="1" si="10"/>
        <v>0</v>
      </c>
      <c r="H68" s="40">
        <f t="shared" ca="1" si="10"/>
        <v>0</v>
      </c>
      <c r="I68" s="40">
        <f t="shared" ca="1" si="10"/>
        <v>0</v>
      </c>
      <c r="J68" s="40">
        <f t="shared" ca="1" si="10"/>
        <v>0</v>
      </c>
      <c r="K68" s="40">
        <f t="shared" si="10"/>
        <v>0</v>
      </c>
      <c r="L68" s="40">
        <f t="shared" si="10"/>
        <v>0</v>
      </c>
      <c r="M68" s="40">
        <f t="shared" si="10"/>
        <v>0</v>
      </c>
      <c r="N68" s="40">
        <f t="shared" si="10"/>
        <v>0</v>
      </c>
      <c r="O68" s="44"/>
      <c r="Q68">
        <v>56</v>
      </c>
      <c r="R68" s="3">
        <f t="shared" ca="1" si="6"/>
        <v>12.662666405735223</v>
      </c>
      <c r="T68">
        <v>56</v>
      </c>
      <c r="U68" s="3">
        <f t="shared" ca="1" si="7"/>
        <v>12.598602820577248</v>
      </c>
    </row>
    <row r="69" spans="1:21">
      <c r="A69" s="31" t="s">
        <v>668</v>
      </c>
      <c r="B69" s="89">
        <f ca="1">Data!C207</f>
        <v>0.95</v>
      </c>
      <c r="D69">
        <v>5</v>
      </c>
      <c r="E69" s="98">
        <f ca="1">IF(E62=1, (1-B47)*(1-B46)*(1-B45)*(B57)*(B61), 0)</f>
        <v>0</v>
      </c>
      <c r="F69" s="40">
        <f t="shared" ca="1" si="10"/>
        <v>0</v>
      </c>
      <c r="G69" s="40">
        <f t="shared" ca="1" si="10"/>
        <v>0</v>
      </c>
      <c r="H69" s="40">
        <f t="shared" ca="1" si="10"/>
        <v>0</v>
      </c>
      <c r="I69" s="40">
        <f t="shared" ca="1" si="10"/>
        <v>0</v>
      </c>
      <c r="J69" s="40">
        <f t="shared" ca="1" si="10"/>
        <v>0</v>
      </c>
      <c r="K69" s="40">
        <f t="shared" ca="1" si="10"/>
        <v>0</v>
      </c>
      <c r="L69" s="40">
        <f t="shared" si="10"/>
        <v>0</v>
      </c>
      <c r="M69" s="40">
        <f t="shared" si="10"/>
        <v>0</v>
      </c>
      <c r="N69" s="40">
        <f t="shared" si="10"/>
        <v>0</v>
      </c>
      <c r="O69" s="44"/>
      <c r="Q69">
        <v>57</v>
      </c>
      <c r="R69" s="3">
        <f t="shared" ca="1" si="6"/>
        <v>12.881096713961698</v>
      </c>
      <c r="T69">
        <v>57</v>
      </c>
      <c r="U69" s="3">
        <f t="shared" ca="1" si="7"/>
        <v>12.81586385908926</v>
      </c>
    </row>
    <row r="70" spans="1:21">
      <c r="A70" s="202" t="s">
        <v>844</v>
      </c>
      <c r="B70" s="201">
        <f>IF(Gear!Z3 = "Fudo Masamune (B)", 50%, 0)</f>
        <v>0</v>
      </c>
      <c r="D70" s="99">
        <v>6</v>
      </c>
      <c r="E70" s="98">
        <f ca="1">IF(E62=1, (1-B47)*(1-B46)*(1-B45)*(B57)*(B62), 0)</f>
        <v>0</v>
      </c>
      <c r="F70" s="40">
        <f t="shared" ca="1" si="10"/>
        <v>0</v>
      </c>
      <c r="G70" s="40">
        <f t="shared" ca="1" si="10"/>
        <v>0</v>
      </c>
      <c r="H70" s="40">
        <f t="shared" ca="1" si="10"/>
        <v>0</v>
      </c>
      <c r="I70" s="40">
        <f t="shared" ca="1" si="10"/>
        <v>0</v>
      </c>
      <c r="J70" s="40">
        <f t="shared" ca="1" si="10"/>
        <v>0</v>
      </c>
      <c r="K70" s="40">
        <f t="shared" ca="1" si="10"/>
        <v>0</v>
      </c>
      <c r="L70" s="40">
        <f t="shared" ca="1" si="10"/>
        <v>0</v>
      </c>
      <c r="M70" s="40">
        <f t="shared" si="10"/>
        <v>0</v>
      </c>
      <c r="N70" s="40">
        <f t="shared" si="10"/>
        <v>0</v>
      </c>
      <c r="O70" s="44"/>
      <c r="Q70">
        <v>58</v>
      </c>
      <c r="R70" s="3">
        <f t="shared" ca="1" si="6"/>
        <v>13.099527026230241</v>
      </c>
      <c r="T70">
        <v>58</v>
      </c>
      <c r="U70" s="3">
        <f t="shared" ca="1" si="7"/>
        <v>13.033124938961073</v>
      </c>
    </row>
    <row r="71" spans="1:21">
      <c r="A71" s="202" t="s">
        <v>864</v>
      </c>
      <c r="B71" s="89">
        <f ca="1">Data!C174</f>
        <v>0.95</v>
      </c>
      <c r="D71">
        <v>7</v>
      </c>
      <c r="E71" s="98">
        <f ca="1">IF(E62=1, (1-B47)*(1-B46)*(1-B45)*(B57)*(B63), 0)</f>
        <v>0</v>
      </c>
      <c r="F71" s="40">
        <f t="shared" ca="1" si="10"/>
        <v>0</v>
      </c>
      <c r="G71" s="40">
        <f t="shared" ca="1" si="10"/>
        <v>0</v>
      </c>
      <c r="H71" s="40">
        <f t="shared" ca="1" si="10"/>
        <v>0</v>
      </c>
      <c r="I71" s="40">
        <f t="shared" ca="1" si="10"/>
        <v>0</v>
      </c>
      <c r="J71" s="40">
        <f t="shared" ca="1" si="10"/>
        <v>0</v>
      </c>
      <c r="K71" s="40">
        <f t="shared" ca="1" si="10"/>
        <v>0</v>
      </c>
      <c r="L71" s="40">
        <f t="shared" ca="1" si="10"/>
        <v>0</v>
      </c>
      <c r="M71" s="40">
        <f t="shared" ca="1" si="10"/>
        <v>0</v>
      </c>
      <c r="N71" s="40">
        <f t="shared" si="10"/>
        <v>0</v>
      </c>
      <c r="O71" s="44"/>
      <c r="Q71">
        <v>59</v>
      </c>
      <c r="R71" s="3">
        <f t="shared" ca="1" si="6"/>
        <v>13.317957299650056</v>
      </c>
      <c r="T71">
        <v>59</v>
      </c>
      <c r="U71" s="3">
        <f t="shared" ca="1" si="7"/>
        <v>13.250386004064964</v>
      </c>
    </row>
    <row r="72" spans="1:21">
      <c r="D72">
        <v>8</v>
      </c>
      <c r="E72" s="98">
        <f ca="1">IF(E62=1, (1-B47)*(1-B46)*(1-B45)*(B57)*(B64), 0)</f>
        <v>0</v>
      </c>
      <c r="F72" s="17">
        <f t="shared" ca="1" si="10"/>
        <v>0</v>
      </c>
      <c r="G72" s="18">
        <f t="shared" ca="1" si="10"/>
        <v>0</v>
      </c>
      <c r="H72" s="18">
        <f t="shared" ca="1" si="10"/>
        <v>0</v>
      </c>
      <c r="I72" s="18">
        <f t="shared" ca="1" si="10"/>
        <v>0</v>
      </c>
      <c r="J72" s="18">
        <f t="shared" ca="1" si="10"/>
        <v>0</v>
      </c>
      <c r="K72" s="18">
        <f t="shared" ca="1" si="10"/>
        <v>0</v>
      </c>
      <c r="L72" s="18">
        <f t="shared" ca="1" si="10"/>
        <v>0</v>
      </c>
      <c r="M72" s="18">
        <f t="shared" ca="1" si="10"/>
        <v>0</v>
      </c>
      <c r="N72" s="18">
        <f t="shared" ca="1" si="10"/>
        <v>0</v>
      </c>
      <c r="O72" s="44"/>
      <c r="Q72">
        <v>60</v>
      </c>
      <c r="R72" s="3">
        <f t="shared" ca="1" si="6"/>
        <v>13.536387550040899</v>
      </c>
      <c r="T72">
        <v>60</v>
      </c>
      <c r="U72" s="3">
        <f t="shared" ca="1" si="7"/>
        <v>13.467647037306437</v>
      </c>
    </row>
    <row r="73" spans="1:21">
      <c r="E73" s="2">
        <f ca="1">SUM(E64:E72)</f>
        <v>1</v>
      </c>
      <c r="O73" s="44"/>
      <c r="Q73">
        <v>61</v>
      </c>
      <c r="R73" s="3">
        <f t="shared" ca="1" si="6"/>
        <v>13.754817810420715</v>
      </c>
      <c r="T73">
        <v>61</v>
      </c>
      <c r="U73" s="3">
        <f t="shared" ca="1" si="7"/>
        <v>13.684908061398847</v>
      </c>
    </row>
    <row r="74" spans="1:21">
      <c r="E74" t="s">
        <v>46</v>
      </c>
      <c r="F74" s="48">
        <f t="shared" ref="F74:N74" ca="1" si="11">SUM(F64:F72)</f>
        <v>1.9875500000000015E-2</v>
      </c>
      <c r="G74" s="48">
        <f t="shared" ca="1" si="11"/>
        <v>0.3910627499999999</v>
      </c>
      <c r="H74" s="48">
        <f t="shared" ca="1" si="11"/>
        <v>0.27183300000000005</v>
      </c>
      <c r="I74" s="48">
        <f t="shared" ca="1" si="11"/>
        <v>0.31722875</v>
      </c>
      <c r="J74" s="48">
        <f t="shared" ca="1" si="11"/>
        <v>0</v>
      </c>
      <c r="K74" s="48">
        <f t="shared" ca="1" si="11"/>
        <v>0</v>
      </c>
      <c r="L74" s="48">
        <f t="shared" ca="1" si="11"/>
        <v>0</v>
      </c>
      <c r="M74" s="48">
        <f t="shared" ca="1" si="11"/>
        <v>0</v>
      </c>
      <c r="N74" s="48">
        <f t="shared" ca="1" si="11"/>
        <v>0</v>
      </c>
      <c r="O74" s="40">
        <f ca="1">SUM(F74:N74)</f>
        <v>1</v>
      </c>
      <c r="Q74">
        <v>62</v>
      </c>
      <c r="R74" s="3">
        <f t="shared" ca="1" si="6"/>
        <v>13.973248089328198</v>
      </c>
      <c r="T74">
        <v>62</v>
      </c>
      <c r="U74" s="3">
        <f t="shared" ca="1" si="7"/>
        <v>13.902169098717017</v>
      </c>
    </row>
    <row r="75" spans="1:21">
      <c r="E75" t="s">
        <v>47</v>
      </c>
      <c r="F75" s="19">
        <f ca="1">F63*F74+G63*G74+H63*H74+I63*I74+J74*J63+K74*K63+L74*L63+M74*M63+N74*N63</f>
        <v>1.886415</v>
      </c>
      <c r="I75" s="44"/>
      <c r="J75" s="44"/>
      <c r="K75" s="40"/>
      <c r="O75" s="40"/>
      <c r="P75" s="1"/>
      <c r="Q75">
        <v>63</v>
      </c>
      <c r="R75" s="3">
        <f t="shared" ca="1" si="6"/>
        <v>14.191678372387853</v>
      </c>
      <c r="T75">
        <v>63</v>
      </c>
      <c r="U75" s="3">
        <f t="shared" ca="1" si="7"/>
        <v>14.119430148587846</v>
      </c>
    </row>
    <row r="76" spans="1:21">
      <c r="K76" s="40"/>
      <c r="O76" s="44"/>
      <c r="Q76">
        <v>64</v>
      </c>
      <c r="R76" s="3">
        <f t="shared" ca="1" si="6"/>
        <v>14.410108647041097</v>
      </c>
      <c r="T76">
        <v>64</v>
      </c>
      <c r="U76" s="3">
        <f t="shared" ca="1" si="7"/>
        <v>14.336691197809376</v>
      </c>
    </row>
    <row r="77" spans="1:21">
      <c r="Q77">
        <v>65</v>
      </c>
      <c r="R77" s="3">
        <f t="shared" ref="R77:R108" ca="1" si="12">(1+R76*$F$38+R75*$G$38+R74*$H$38+R73*$I$38+R72*$J$38+R71*$K$38+R70*$L$38+R69*$M$38)/(1-$E$38)</f>
        <v>14.628538914832031</v>
      </c>
      <c r="T77">
        <v>65</v>
      </c>
      <c r="U77" s="3">
        <f t="shared" ref="U77:U108" ca="1" si="13">(1+U76*$F$80+U75*$G$80+U74*$H$80+U73*$I$80+U72*$J$80+U71*$K$80+U70*$L$80+U69*$M$80)/(1-$E$80)</f>
        <v>14.553952239473894</v>
      </c>
    </row>
    <row r="78" spans="1:21">
      <c r="D78" s="44" t="s">
        <v>155</v>
      </c>
      <c r="E78" s="44"/>
      <c r="F78" s="40"/>
      <c r="G78" s="40"/>
      <c r="H78" s="40"/>
      <c r="I78" s="40"/>
      <c r="J78" s="40"/>
      <c r="K78" s="40"/>
      <c r="L78" s="40"/>
      <c r="M78" s="40"/>
      <c r="N78" s="40"/>
      <c r="Q78">
        <v>66</v>
      </c>
      <c r="R78" s="3">
        <f t="shared" ca="1" si="12"/>
        <v>14.846969183782811</v>
      </c>
      <c r="T78">
        <v>66</v>
      </c>
      <c r="U78" s="3">
        <f t="shared" ca="1" si="13"/>
        <v>14.771213277333857</v>
      </c>
    </row>
    <row r="79" spans="1:21">
      <c r="D79" s="44" t="s">
        <v>157</v>
      </c>
      <c r="E79" s="49">
        <v>0</v>
      </c>
      <c r="F79" s="44">
        <v>1</v>
      </c>
      <c r="G79" s="44">
        <v>2</v>
      </c>
      <c r="H79" s="24">
        <v>3</v>
      </c>
      <c r="I79" s="24">
        <v>4</v>
      </c>
      <c r="J79" s="24">
        <v>5</v>
      </c>
      <c r="K79" s="24">
        <v>6</v>
      </c>
      <c r="L79" s="24">
        <v>7</v>
      </c>
      <c r="M79" s="24">
        <v>8</v>
      </c>
      <c r="N79" t="s">
        <v>7</v>
      </c>
      <c r="Q79">
        <v>67</v>
      </c>
      <c r="R79" s="3">
        <f t="shared" ca="1" si="12"/>
        <v>15.065399457285702</v>
      </c>
      <c r="T79">
        <v>67</v>
      </c>
      <c r="U79" s="3">
        <f t="shared" ca="1" si="13"/>
        <v>14.988474317426745</v>
      </c>
    </row>
    <row r="80" spans="1:21">
      <c r="D80" s="44" t="s">
        <v>156</v>
      </c>
      <c r="E80" s="40">
        <f ca="1">F58*F74</f>
        <v>1.9180871746765028E-5</v>
      </c>
      <c r="F80" s="40">
        <f ca="1">F58*G74+G58*F74</f>
        <v>2.3464237418130566E-3</v>
      </c>
      <c r="G80" s="40">
        <f ca="1">F58*H74+G58*G74+H58*F74</f>
        <v>4.600161069753271E-2</v>
      </c>
      <c r="H80" s="40">
        <f ca="1">F58*I74+G58*H74+H58*G74+I58*F74</f>
        <v>0.17044954517273589</v>
      </c>
      <c r="I80" s="40">
        <f ca="1">F58*J74+G58*I74+H58*H74+I58*G74+J58*F74</f>
        <v>0.24138260735685854</v>
      </c>
      <c r="J80" s="40">
        <f ca="1">F58*K74+G58*J74+H58*I74+I58*H74+J58*G74+K58*F74</f>
        <v>0.29274781732880328</v>
      </c>
      <c r="K80" s="40">
        <f ca="1">F58*L74+G58*K74+H58*J74+I58*I74+J58*H74+K58*G74+L58*F74</f>
        <v>0.16157950054010434</v>
      </c>
      <c r="L80" s="1">
        <f ca="1">F58*M74+G58*L74+H58*K74+I58*J74+J58*I74+K58*H74+L58*G74+M58*F74</f>
        <v>8.5473314290405181E-2</v>
      </c>
      <c r="M80" s="40">
        <f ca="1">F58*N74+G58*M74+H58*L74+I58*K74+J58*J74+K58*I74+L58*H74+M58*G74+N58*F74+G58*N74+H58*M74+I58*L74+J58*K74+K58*J74+L58*I74+M58*H74+N58*G74+H58*N74+I58*M74+J58*L74+K58*K74+L58*J74+M58*I74+N58*H74+I58*N74+J58*M74+K58*L74+L58*K74+M58*J74+N58*I74+J58*N74+K58*M74+L58*L74+M58*K74+N58*J74+K58*N74+L58*M74+M58*L74+N58*K74+L58*N74+M58*M74+N58*L74+M58*N74+N58*M74+N58*N74</f>
        <v>0</v>
      </c>
      <c r="N80" s="40">
        <f ca="1">SUM(E80:M80)</f>
        <v>0.99999999999999978</v>
      </c>
      <c r="Q80">
        <v>68</v>
      </c>
      <c r="R80" s="3">
        <f t="shared" ca="1" si="12"/>
        <v>15.283829732550796</v>
      </c>
      <c r="T80">
        <v>68</v>
      </c>
      <c r="U80" s="3">
        <f t="shared" ca="1" si="13"/>
        <v>15.205735360934879</v>
      </c>
    </row>
    <row r="81" spans="1:21">
      <c r="D81" s="24" t="s">
        <v>47</v>
      </c>
      <c r="E81" s="3">
        <f ca="1">E79*E80+F79*F80+G79*G80+H79*H80+I79*I80+J79*J80+K79*K80+L79*L80+M79*M80+(1*B70)</f>
        <v>4.6027579999999997</v>
      </c>
      <c r="Q81">
        <v>69</v>
      </c>
      <c r="R81" s="3">
        <f t="shared" ca="1" si="12"/>
        <v>15.502260006146118</v>
      </c>
      <c r="T81">
        <v>69</v>
      </c>
      <c r="U81" s="3">
        <f t="shared" ca="1" si="13"/>
        <v>15.422996405049762</v>
      </c>
    </row>
    <row r="82" spans="1:21">
      <c r="D82" s="44"/>
      <c r="E82" s="40"/>
      <c r="F82" s="40"/>
      <c r="G82" s="40"/>
      <c r="H82" s="40"/>
      <c r="I82" s="40"/>
      <c r="J82" s="40"/>
      <c r="K82" s="40"/>
      <c r="L82" s="40"/>
      <c r="M82" s="40"/>
      <c r="N82" s="44"/>
      <c r="Q82">
        <v>70</v>
      </c>
      <c r="R82" s="3">
        <f t="shared" ca="1" si="12"/>
        <v>15.720690277840998</v>
      </c>
      <c r="T82">
        <v>70</v>
      </c>
      <c r="U82" s="3">
        <f t="shared" ca="1" si="13"/>
        <v>15.640257447541094</v>
      </c>
    </row>
    <row r="83" spans="1:21">
      <c r="C83" s="44"/>
      <c r="D83" s="44"/>
      <c r="E83" s="44"/>
      <c r="F83" s="40"/>
      <c r="G83" s="40"/>
      <c r="Q83">
        <v>71</v>
      </c>
      <c r="R83" s="3">
        <f t="shared" ca="1" si="12"/>
        <v>15.93912054947975</v>
      </c>
      <c r="T83">
        <v>71</v>
      </c>
      <c r="U83" s="3">
        <f t="shared" ca="1" si="13"/>
        <v>15.85751848878729</v>
      </c>
    </row>
    <row r="84" spans="1:21">
      <c r="A84" s="44"/>
      <c r="B84" s="44"/>
      <c r="C84" s="44"/>
      <c r="D84" s="44"/>
      <c r="E84" s="40"/>
      <c r="F84" s="47"/>
      <c r="G84" s="44"/>
      <c r="Q84">
        <v>72</v>
      </c>
      <c r="R84" s="3">
        <f t="shared" ca="1" si="12"/>
        <v>16.15755082217796</v>
      </c>
      <c r="T84">
        <v>72</v>
      </c>
      <c r="U84" s="3">
        <f t="shared" ca="1" si="13"/>
        <v>16.074779530276714</v>
      </c>
    </row>
    <row r="85" spans="1:21">
      <c r="A85" s="44"/>
      <c r="B85" s="44"/>
      <c r="C85" s="44"/>
      <c r="Q85">
        <v>73</v>
      </c>
      <c r="R85" s="3">
        <f t="shared" ca="1" si="12"/>
        <v>16.375981095473218</v>
      </c>
      <c r="T85">
        <v>73</v>
      </c>
      <c r="U85" s="3">
        <f t="shared" ca="1" si="13"/>
        <v>16.292040572614575</v>
      </c>
    </row>
    <row r="86" spans="1:21">
      <c r="A86" s="44"/>
      <c r="B86" s="45"/>
      <c r="C86" s="44"/>
      <c r="D86" s="44"/>
      <c r="E86" s="44"/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>
        <v>74</v>
      </c>
      <c r="R86" s="3">
        <f t="shared" ca="1" si="12"/>
        <v>16.594411368479513</v>
      </c>
      <c r="T86">
        <v>74</v>
      </c>
      <c r="U86" s="3">
        <f t="shared" ca="1" si="13"/>
        <v>16.509301615281814</v>
      </c>
    </row>
    <row r="87" spans="1:21">
      <c r="A87" s="44"/>
      <c r="B87" s="40"/>
      <c r="C87" s="44"/>
      <c r="D87" s="44"/>
      <c r="E87" s="44"/>
      <c r="F87" s="44"/>
      <c r="G87" s="44"/>
      <c r="H87" s="44"/>
      <c r="I87" s="44"/>
      <c r="J87" s="44"/>
      <c r="K87" s="44"/>
      <c r="L87" s="44"/>
      <c r="M87" s="44"/>
      <c r="N87" s="44"/>
      <c r="O87" s="44"/>
      <c r="P87" s="44"/>
      <c r="Q87">
        <v>75</v>
      </c>
      <c r="R87" s="3">
        <f t="shared" ca="1" si="12"/>
        <v>16.812841640989497</v>
      </c>
      <c r="T87">
        <v>75</v>
      </c>
      <c r="U87" s="3">
        <f t="shared" ca="1" si="13"/>
        <v>16.726562657644408</v>
      </c>
    </row>
    <row r="88" spans="1:21">
      <c r="A88" s="44"/>
      <c r="B88" s="40"/>
      <c r="C88" s="44"/>
      <c r="O88" s="44"/>
      <c r="P88" s="44"/>
      <c r="Q88">
        <v>76</v>
      </c>
      <c r="R88" s="3">
        <f t="shared" ca="1" si="12"/>
        <v>17.031271913400492</v>
      </c>
      <c r="T88">
        <v>76</v>
      </c>
      <c r="U88" s="3">
        <f t="shared" ca="1" si="13"/>
        <v>16.943823699649776</v>
      </c>
    </row>
    <row r="89" spans="1:21">
      <c r="A89" s="44"/>
      <c r="B89" s="40"/>
      <c r="C89" s="44"/>
      <c r="O89" s="44"/>
      <c r="P89" s="44"/>
      <c r="Q89">
        <v>77</v>
      </c>
      <c r="R89" s="3">
        <f t="shared" ca="1" si="12"/>
        <v>17.249702186043205</v>
      </c>
      <c r="T89">
        <v>77</v>
      </c>
      <c r="U89" s="3">
        <f t="shared" ca="1" si="13"/>
        <v>17.161084741632479</v>
      </c>
    </row>
    <row r="90" spans="1:21">
      <c r="A90" s="44"/>
      <c r="B90" s="40"/>
      <c r="C90" s="44"/>
      <c r="O90" s="44"/>
      <c r="P90" s="44"/>
      <c r="Q90">
        <v>78</v>
      </c>
      <c r="R90" s="3">
        <f t="shared" ca="1" si="12"/>
        <v>17.468132458866211</v>
      </c>
      <c r="T90">
        <v>78</v>
      </c>
      <c r="U90" s="3">
        <f t="shared" ca="1" si="13"/>
        <v>17.378345783807536</v>
      </c>
    </row>
    <row r="91" spans="1:21">
      <c r="A91" s="44"/>
      <c r="B91" s="40"/>
      <c r="C91" s="44"/>
      <c r="O91" s="44"/>
      <c r="P91" s="44"/>
      <c r="Q91">
        <v>79</v>
      </c>
      <c r="R91" s="3">
        <f t="shared" ca="1" si="12"/>
        <v>17.686562731652518</v>
      </c>
      <c r="T91">
        <v>79</v>
      </c>
      <c r="U91" s="3">
        <f t="shared" ca="1" si="13"/>
        <v>17.595606826101875</v>
      </c>
    </row>
    <row r="92" spans="1:21">
      <c r="A92" s="44"/>
      <c r="B92" s="44"/>
      <c r="C92" s="44"/>
      <c r="O92" s="44"/>
      <c r="Q92">
        <v>80</v>
      </c>
      <c r="R92" s="3">
        <f t="shared" ca="1" si="12"/>
        <v>17.904993004315912</v>
      </c>
      <c r="T92">
        <v>80</v>
      </c>
      <c r="U92" s="3">
        <f t="shared" ca="1" si="13"/>
        <v>17.812867868351816</v>
      </c>
    </row>
    <row r="93" spans="1:21">
      <c r="C93" s="44"/>
      <c r="D93" s="44"/>
      <c r="E93" s="40"/>
      <c r="F93" s="40"/>
      <c r="G93" s="40"/>
      <c r="H93" s="40"/>
      <c r="I93" s="40"/>
      <c r="J93" s="40"/>
      <c r="K93" s="40"/>
      <c r="L93" s="40"/>
      <c r="M93" s="40"/>
      <c r="N93" s="44"/>
      <c r="O93" s="44"/>
      <c r="Q93">
        <v>81</v>
      </c>
      <c r="R93" s="3">
        <f t="shared" ca="1" si="12"/>
        <v>18.123423276934808</v>
      </c>
      <c r="T93">
        <v>81</v>
      </c>
      <c r="U93" s="3">
        <f t="shared" ca="1" si="13"/>
        <v>18.030128910508793</v>
      </c>
    </row>
    <row r="94" spans="1:21">
      <c r="D94" s="44"/>
      <c r="E94" s="44"/>
      <c r="F94" s="44"/>
      <c r="G94" s="44"/>
      <c r="H94" s="44"/>
      <c r="I94" s="44"/>
      <c r="J94" s="44"/>
      <c r="K94" s="44"/>
      <c r="L94" s="44"/>
      <c r="M94" s="44"/>
      <c r="N94" s="44"/>
      <c r="O94" s="44"/>
      <c r="Q94">
        <v>82</v>
      </c>
      <c r="R94" s="3">
        <f t="shared" ca="1" si="12"/>
        <v>18.341853549600433</v>
      </c>
      <c r="T94">
        <v>82</v>
      </c>
      <c r="U94" s="3">
        <f t="shared" ca="1" si="13"/>
        <v>18.247389952639882</v>
      </c>
    </row>
    <row r="95" spans="1:21">
      <c r="D95" s="44"/>
      <c r="E95" s="44"/>
      <c r="F95" s="44"/>
      <c r="G95" s="44"/>
      <c r="H95" s="44"/>
      <c r="I95" s="44"/>
      <c r="J95" s="44"/>
      <c r="K95" s="44"/>
      <c r="L95" s="44"/>
      <c r="M95" s="44"/>
      <c r="N95" s="44"/>
      <c r="O95" s="44"/>
      <c r="Q95">
        <v>83</v>
      </c>
      <c r="R95" s="3">
        <f t="shared" ca="1" si="12"/>
        <v>18.560283822316482</v>
      </c>
      <c r="T95">
        <v>83</v>
      </c>
      <c r="U95" s="3">
        <f t="shared" ca="1" si="13"/>
        <v>18.464650994809979</v>
      </c>
    </row>
    <row r="96" spans="1:21">
      <c r="Q96">
        <v>84</v>
      </c>
      <c r="R96" s="3">
        <f t="shared" ca="1" si="12"/>
        <v>18.778714095032626</v>
      </c>
      <c r="T96">
        <v>84</v>
      </c>
      <c r="U96" s="3">
        <f t="shared" ca="1" si="13"/>
        <v>18.681912037016478</v>
      </c>
    </row>
    <row r="97" spans="17:21">
      <c r="Q97">
        <v>85</v>
      </c>
      <c r="R97" s="3">
        <f t="shared" ca="1" si="12"/>
        <v>18.997144367719923</v>
      </c>
      <c r="T97">
        <v>85</v>
      </c>
      <c r="U97" s="3">
        <f t="shared" ca="1" si="13"/>
        <v>18.899173079220713</v>
      </c>
    </row>
    <row r="98" spans="17:21">
      <c r="Q98">
        <v>86</v>
      </c>
      <c r="R98" s="3">
        <f t="shared" ca="1" si="12"/>
        <v>19.215574640391782</v>
      </c>
      <c r="T98">
        <v>86</v>
      </c>
      <c r="U98" s="3">
        <f t="shared" ca="1" si="13"/>
        <v>19.116434121402829</v>
      </c>
    </row>
    <row r="99" spans="17:21">
      <c r="Q99">
        <v>87</v>
      </c>
      <c r="R99" s="3">
        <f t="shared" ca="1" si="12"/>
        <v>19.434004913071941</v>
      </c>
      <c r="T99">
        <v>87</v>
      </c>
      <c r="U99" s="3">
        <f t="shared" ca="1" si="13"/>
        <v>19.333695163574017</v>
      </c>
    </row>
    <row r="100" spans="17:21">
      <c r="Q100">
        <v>88</v>
      </c>
      <c r="R100" s="3">
        <f t="shared" ca="1" si="12"/>
        <v>19.652435185765381</v>
      </c>
      <c r="T100">
        <v>88</v>
      </c>
      <c r="U100" s="3">
        <f t="shared" ca="1" si="13"/>
        <v>19.550956205751849</v>
      </c>
    </row>
    <row r="101" spans="17:21">
      <c r="Q101">
        <v>89</v>
      </c>
      <c r="R101" s="3">
        <f t="shared" ca="1" si="12"/>
        <v>19.870865458461139</v>
      </c>
      <c r="T101">
        <v>89</v>
      </c>
      <c r="U101" s="3">
        <f t="shared" ca="1" si="13"/>
        <v>19.768217247939628</v>
      </c>
    </row>
    <row r="102" spans="17:21">
      <c r="Q102">
        <v>90</v>
      </c>
      <c r="R102" s="3">
        <f t="shared" ca="1" si="12"/>
        <v>20.089295731150528</v>
      </c>
      <c r="T102">
        <v>90</v>
      </c>
      <c r="U102" s="3">
        <f t="shared" ca="1" si="13"/>
        <v>19.985478290129084</v>
      </c>
    </row>
    <row r="103" spans="17:21">
      <c r="Q103">
        <v>91</v>
      </c>
      <c r="R103" s="3">
        <f t="shared" ca="1" si="12"/>
        <v>20.307726003835185</v>
      </c>
      <c r="T103">
        <v>91</v>
      </c>
      <c r="U103" s="3">
        <f t="shared" ca="1" si="13"/>
        <v>20.202739332313765</v>
      </c>
    </row>
    <row r="104" spans="17:21">
      <c r="Q104">
        <v>92</v>
      </c>
      <c r="R104" s="3">
        <f t="shared" ca="1" si="12"/>
        <v>20.526156276520972</v>
      </c>
      <c r="T104">
        <v>92</v>
      </c>
      <c r="U104" s="3">
        <f t="shared" ca="1" si="13"/>
        <v>20.420000374494851</v>
      </c>
    </row>
    <row r="105" spans="17:21">
      <c r="Q105">
        <v>93</v>
      </c>
      <c r="R105" s="3">
        <f t="shared" ca="1" si="12"/>
        <v>20.744586549210073</v>
      </c>
      <c r="T105">
        <v>93</v>
      </c>
      <c r="U105" s="3">
        <f t="shared" ca="1" si="13"/>
        <v>20.637261416676679</v>
      </c>
    </row>
    <row r="106" spans="17:21">
      <c r="Q106">
        <v>94</v>
      </c>
      <c r="R106" s="3">
        <f t="shared" ca="1" si="12"/>
        <v>20.963016821900297</v>
      </c>
      <c r="T106">
        <v>94</v>
      </c>
      <c r="U106" s="3">
        <f t="shared" ca="1" si="13"/>
        <v>20.854522458860988</v>
      </c>
    </row>
    <row r="107" spans="17:21">
      <c r="Q107">
        <v>95</v>
      </c>
      <c r="R107" s="3">
        <f t="shared" ca="1" si="12"/>
        <v>21.181447094589213</v>
      </c>
      <c r="T107">
        <v>95</v>
      </c>
      <c r="U107" s="3">
        <f t="shared" ca="1" si="13"/>
        <v>21.071783501046237</v>
      </c>
    </row>
    <row r="108" spans="17:21">
      <c r="Q108">
        <v>96</v>
      </c>
      <c r="R108" s="3">
        <f t="shared" ca="1" si="12"/>
        <v>21.399877367276797</v>
      </c>
      <c r="T108">
        <v>96</v>
      </c>
      <c r="U108" s="3">
        <f t="shared" ca="1" si="13"/>
        <v>21.289044543230581</v>
      </c>
    </row>
    <row r="109" spans="17:21">
      <c r="Q109">
        <v>97</v>
      </c>
      <c r="R109" s="3">
        <f ca="1">(1+R108*$F$38+R107*$G$38+R106*$H$38+R105*$I$38+R104*$J$38+R103*$K$38+R102*$L$38+R101*$M$38)/(1-$E$38)</f>
        <v>21.61830763996441</v>
      </c>
      <c r="T109">
        <v>97</v>
      </c>
      <c r="U109" s="3">
        <f ca="1">(1+U108*$F$80+U107*$G$80+U106*$H$80+U105*$I$80+U104*$J$80+U103*$K$80+U102*$L$80+U101*$M$80)/(1-$E$80)</f>
        <v>21.506305585413894</v>
      </c>
    </row>
    <row r="110" spans="17:21">
      <c r="Q110">
        <v>98</v>
      </c>
      <c r="R110" s="3">
        <f ca="1">(1+R109*$F$38+R108*$G$38+R107*$H$38+R106*$I$38+R105*$J$38+R104*$K$38+R103*$L$38+R102*$M$38)/(1-$E$38)</f>
        <v>21.836737912652815</v>
      </c>
      <c r="T110">
        <v>98</v>
      </c>
      <c r="U110" s="3">
        <f ca="1">(1+U109*$F$80+U108*$G$80+U107*$H$80+U106*$I$80+U105*$J$80+U104*$K$80+U103*$L$80+U102*$M$80)/(1-$E$80)</f>
        <v>21.723566627597148</v>
      </c>
    </row>
    <row r="111" spans="17:21">
      <c r="Q111">
        <v>99</v>
      </c>
      <c r="R111" s="3">
        <f ca="1">(1+R110*$F$38+R109*$G$38+R108*$H$38+R107*$I$38+R106*$J$38+R105*$K$38+R104*$L$38+R103*$M$38)/(1-$E$38)</f>
        <v>22.055168185341614</v>
      </c>
      <c r="T111">
        <v>99</v>
      </c>
      <c r="U111" s="3">
        <f ca="1">(1+U110*$F$80+U109*$G$80+U108*$H$80+U107*$I$80+U106*$J$80+U105*$K$80+U104*$L$80+U103*$M$80)/(1-$E$80)</f>
        <v>21.940827669780965</v>
      </c>
    </row>
    <row r="112" spans="17:21">
      <c r="Q112">
        <v>100</v>
      </c>
      <c r="R112" s="3">
        <f ca="1">(1+R111*$F$38+R110*$G$38+R109*$H$38+R108*$I$38+R107*$J$38+R106*$K$38+R105*$L$38+R104*$M$38)/(1-$E$38)</f>
        <v>22.273598458030175</v>
      </c>
      <c r="T112">
        <v>100</v>
      </c>
      <c r="U112" s="3">
        <f ca="1">(1+U111*$F$80+U110*$G$80+U109*$H$80+U108*$I$80+U107*$J$80+U106*$K$80+U105*$L$80+U104*$M$80)/(1-$E$80)</f>
        <v>22.158088711965124</v>
      </c>
    </row>
    <row r="113" spans="18:18">
      <c r="R113" s="3"/>
    </row>
  </sheetData>
  <phoneticPr fontId="2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indexed="46"/>
  </sheetPr>
  <dimension ref="A1:BM498"/>
  <sheetViews>
    <sheetView zoomScale="200" zoomScaleNormal="200" workbookViewId="0">
      <pane ySplit="1" topLeftCell="A2" activePane="bottomLeft" state="frozen"/>
      <selection pane="bottomLeft"/>
    </sheetView>
  </sheetViews>
  <sheetFormatPr defaultRowHeight="12.75"/>
  <cols>
    <col min="1" max="1" width="24.42578125" bestFit="1" customWidth="1"/>
    <col min="2" max="2" width="4.7109375" customWidth="1"/>
    <col min="3" max="3" width="5.42578125" customWidth="1"/>
    <col min="4" max="5" width="3.7109375" customWidth="1"/>
    <col min="6" max="6" width="5.140625" customWidth="1"/>
    <col min="7" max="15" width="4.7109375" customWidth="1"/>
    <col min="16" max="21" width="5.5703125" customWidth="1"/>
    <col min="22" max="22" width="4.7109375" customWidth="1"/>
    <col min="23" max="23" width="6.140625" customWidth="1"/>
    <col min="24" max="26" width="4.7109375" customWidth="1"/>
    <col min="27" max="27" width="6.42578125" customWidth="1"/>
    <col min="28" max="28" width="6.140625" customWidth="1"/>
    <col min="29" max="30" width="6.7109375" customWidth="1"/>
    <col min="31" max="31" width="7.5703125" customWidth="1"/>
    <col min="32" max="32" width="5.42578125" customWidth="1"/>
    <col min="33" max="33" width="6" customWidth="1"/>
    <col min="34" max="34" width="6.85546875" customWidth="1"/>
    <col min="35" max="35" width="7.5703125" style="35" customWidth="1"/>
    <col min="36" max="37" width="4.7109375" style="35" customWidth="1"/>
    <col min="38" max="38" width="4.7109375" customWidth="1"/>
    <col min="39" max="39" width="5.85546875" style="35" customWidth="1"/>
    <col min="40" max="41" width="6.7109375" customWidth="1"/>
    <col min="42" max="42" width="8.140625" customWidth="1"/>
    <col min="43" max="43" width="7.140625" customWidth="1"/>
    <col min="44" max="49" width="5.7109375" customWidth="1"/>
    <col min="50" max="52" width="6.7109375" customWidth="1"/>
    <col min="53" max="53" width="7.7109375" customWidth="1"/>
  </cols>
  <sheetData>
    <row r="1" spans="1:55">
      <c r="B1" t="s">
        <v>30</v>
      </c>
      <c r="C1" t="s">
        <v>518</v>
      </c>
      <c r="D1" t="s">
        <v>652</v>
      </c>
      <c r="E1" t="s">
        <v>484</v>
      </c>
      <c r="F1" s="31" t="s">
        <v>511</v>
      </c>
      <c r="G1" t="s">
        <v>3</v>
      </c>
      <c r="H1" t="s">
        <v>4</v>
      </c>
      <c r="I1" t="s">
        <v>5</v>
      </c>
      <c r="J1" t="s">
        <v>42</v>
      </c>
      <c r="K1" t="s">
        <v>208</v>
      </c>
      <c r="L1" t="s">
        <v>209</v>
      </c>
      <c r="M1" t="s">
        <v>210</v>
      </c>
      <c r="N1" t="s">
        <v>10</v>
      </c>
      <c r="O1" t="s">
        <v>9</v>
      </c>
      <c r="P1" t="s">
        <v>479</v>
      </c>
      <c r="Q1" t="s">
        <v>635</v>
      </c>
      <c r="R1" t="s">
        <v>636</v>
      </c>
      <c r="S1" t="s">
        <v>637</v>
      </c>
      <c r="T1" s="35" t="s">
        <v>638</v>
      </c>
      <c r="U1" s="145" t="s">
        <v>639</v>
      </c>
      <c r="V1" t="s">
        <v>12</v>
      </c>
      <c r="W1" t="s">
        <v>152</v>
      </c>
      <c r="X1" t="s">
        <v>345</v>
      </c>
      <c r="Y1" t="s">
        <v>480</v>
      </c>
      <c r="Z1" t="s">
        <v>481</v>
      </c>
      <c r="AA1" t="s">
        <v>122</v>
      </c>
      <c r="AB1" t="s">
        <v>11</v>
      </c>
      <c r="AC1" t="s">
        <v>119</v>
      </c>
      <c r="AD1" t="s">
        <v>118</v>
      </c>
      <c r="AE1" t="s">
        <v>13</v>
      </c>
      <c r="AF1" t="s">
        <v>116</v>
      </c>
      <c r="AG1" t="s">
        <v>289</v>
      </c>
      <c r="AH1" t="s">
        <v>163</v>
      </c>
      <c r="AI1" s="35" t="s">
        <v>457</v>
      </c>
      <c r="AJ1" s="35" t="s">
        <v>458</v>
      </c>
      <c r="AK1" s="145" t="s">
        <v>433</v>
      </c>
      <c r="AL1" t="s">
        <v>339</v>
      </c>
      <c r="AM1" s="145" t="s">
        <v>649</v>
      </c>
      <c r="AN1" t="s">
        <v>61</v>
      </c>
      <c r="AO1" t="s">
        <v>62</v>
      </c>
      <c r="AP1" t="s">
        <v>390</v>
      </c>
      <c r="AQ1" t="s">
        <v>382</v>
      </c>
      <c r="AR1" t="s">
        <v>383</v>
      </c>
      <c r="AS1" t="s">
        <v>384</v>
      </c>
      <c r="AT1" t="s">
        <v>385</v>
      </c>
      <c r="AU1" t="s">
        <v>386</v>
      </c>
      <c r="AV1" t="s">
        <v>387</v>
      </c>
      <c r="AW1" t="s">
        <v>388</v>
      </c>
      <c r="AX1" t="s">
        <v>439</v>
      </c>
      <c r="AY1" t="s">
        <v>440</v>
      </c>
      <c r="AZ1" t="s">
        <v>441</v>
      </c>
      <c r="BA1" t="s">
        <v>442</v>
      </c>
      <c r="BB1" t="s">
        <v>844</v>
      </c>
      <c r="BC1" t="s">
        <v>845</v>
      </c>
    </row>
    <row r="4" spans="1:55">
      <c r="A4" s="31" t="s">
        <v>522</v>
      </c>
      <c r="B4" t="s">
        <v>30</v>
      </c>
      <c r="C4" t="s">
        <v>518</v>
      </c>
      <c r="D4" t="s">
        <v>652</v>
      </c>
      <c r="E4" t="s">
        <v>484</v>
      </c>
      <c r="F4" s="31" t="s">
        <v>511</v>
      </c>
      <c r="G4" t="s">
        <v>3</v>
      </c>
      <c r="H4" t="s">
        <v>4</v>
      </c>
      <c r="I4" t="s">
        <v>5</v>
      </c>
      <c r="J4" t="s">
        <v>42</v>
      </c>
      <c r="K4" t="s">
        <v>208</v>
      </c>
      <c r="L4" t="s">
        <v>209</v>
      </c>
      <c r="M4" t="s">
        <v>210</v>
      </c>
      <c r="N4" t="s">
        <v>10</v>
      </c>
      <c r="O4" t="s">
        <v>9</v>
      </c>
      <c r="P4" t="s">
        <v>479</v>
      </c>
      <c r="Q4" t="s">
        <v>635</v>
      </c>
      <c r="R4" t="s">
        <v>636</v>
      </c>
      <c r="S4" t="s">
        <v>637</v>
      </c>
      <c r="T4" s="35" t="s">
        <v>638</v>
      </c>
      <c r="U4" s="145" t="s">
        <v>639</v>
      </c>
      <c r="V4" t="s">
        <v>12</v>
      </c>
      <c r="W4" t="s">
        <v>152</v>
      </c>
      <c r="X4" t="s">
        <v>345</v>
      </c>
      <c r="Y4" t="s">
        <v>480</v>
      </c>
      <c r="Z4" t="s">
        <v>481</v>
      </c>
      <c r="AA4" t="s">
        <v>122</v>
      </c>
      <c r="AB4" t="s">
        <v>11</v>
      </c>
      <c r="AC4" t="s">
        <v>119</v>
      </c>
      <c r="AD4" t="s">
        <v>118</v>
      </c>
      <c r="AE4" t="s">
        <v>13</v>
      </c>
      <c r="AF4" t="s">
        <v>116</v>
      </c>
      <c r="AG4" t="s">
        <v>289</v>
      </c>
      <c r="AH4" t="s">
        <v>163</v>
      </c>
      <c r="AI4" s="35" t="s">
        <v>457</v>
      </c>
      <c r="AJ4" s="35" t="s">
        <v>458</v>
      </c>
      <c r="AK4" s="145" t="s">
        <v>433</v>
      </c>
      <c r="AL4" t="s">
        <v>339</v>
      </c>
      <c r="AM4" s="145" t="s">
        <v>649</v>
      </c>
      <c r="AN4" t="s">
        <v>61</v>
      </c>
      <c r="AO4" t="s">
        <v>62</v>
      </c>
      <c r="AP4" t="s">
        <v>390</v>
      </c>
      <c r="AQ4" t="s">
        <v>382</v>
      </c>
      <c r="AR4" t="s">
        <v>383</v>
      </c>
      <c r="AS4" t="s">
        <v>384</v>
      </c>
      <c r="AT4" t="s">
        <v>385</v>
      </c>
      <c r="AU4" t="s">
        <v>386</v>
      </c>
      <c r="AV4" t="s">
        <v>387</v>
      </c>
      <c r="AW4" t="s">
        <v>388</v>
      </c>
      <c r="AX4" t="s">
        <v>439</v>
      </c>
      <c r="AY4" t="s">
        <v>440</v>
      </c>
      <c r="AZ4" t="s">
        <v>441</v>
      </c>
      <c r="BA4" t="s">
        <v>442</v>
      </c>
    </row>
    <row r="5" spans="1:55" s="200" customFormat="1">
      <c r="A5" s="202" t="s">
        <v>54</v>
      </c>
      <c r="F5" s="202"/>
      <c r="T5" s="203"/>
      <c r="U5" s="145"/>
      <c r="AI5" s="203"/>
      <c r="AJ5" s="203"/>
      <c r="AK5" s="145"/>
      <c r="AM5" s="145"/>
    </row>
    <row r="6" spans="1:55">
      <c r="A6" s="158" t="s">
        <v>673</v>
      </c>
      <c r="B6" s="158"/>
      <c r="C6" s="158"/>
      <c r="D6" s="158"/>
      <c r="E6" s="158"/>
      <c r="F6" s="159">
        <v>228</v>
      </c>
      <c r="G6" s="158"/>
      <c r="H6" s="158"/>
      <c r="I6" s="158"/>
      <c r="J6" s="158"/>
      <c r="K6" s="158"/>
      <c r="L6" s="158"/>
      <c r="M6" s="158"/>
      <c r="N6" s="159">
        <v>34</v>
      </c>
      <c r="O6" s="158"/>
      <c r="P6" s="158"/>
      <c r="Q6" s="158"/>
      <c r="R6" s="158"/>
      <c r="S6" s="158"/>
      <c r="T6" s="158"/>
      <c r="U6" s="158"/>
      <c r="V6" s="160">
        <v>0.04</v>
      </c>
      <c r="W6" s="158"/>
      <c r="X6" s="158"/>
      <c r="Y6" s="158"/>
      <c r="Z6" s="158"/>
      <c r="AA6" s="158"/>
      <c r="AB6" s="158"/>
      <c r="AC6" s="158"/>
      <c r="AD6" s="158"/>
      <c r="AE6" s="159">
        <v>5</v>
      </c>
      <c r="AF6" s="158"/>
      <c r="AG6" s="158"/>
      <c r="AH6" s="158"/>
      <c r="AI6" s="158"/>
      <c r="AJ6" s="158"/>
      <c r="AK6" s="158"/>
      <c r="AL6" s="158"/>
      <c r="AM6" s="158"/>
      <c r="AN6" s="159">
        <v>90</v>
      </c>
      <c r="AO6" s="159">
        <v>180</v>
      </c>
      <c r="AP6" s="158"/>
      <c r="AQ6" s="158"/>
      <c r="AR6" s="158"/>
      <c r="AS6" s="158"/>
      <c r="AT6" s="158"/>
      <c r="AU6" s="158"/>
      <c r="AV6" s="158"/>
      <c r="AW6" s="158"/>
      <c r="AX6" s="158"/>
      <c r="AY6" s="158"/>
      <c r="AZ6" s="158"/>
      <c r="BA6" s="159">
        <v>12</v>
      </c>
    </row>
    <row r="7" spans="1:55">
      <c r="A7" s="158" t="s">
        <v>608</v>
      </c>
      <c r="B7" s="158"/>
      <c r="C7" s="158"/>
      <c r="D7" s="158"/>
      <c r="E7" s="158"/>
      <c r="F7" s="159">
        <v>242</v>
      </c>
      <c r="G7" s="158"/>
      <c r="H7" s="158"/>
      <c r="I7" s="158"/>
      <c r="J7" s="158"/>
      <c r="K7" s="158"/>
      <c r="L7" s="158"/>
      <c r="M7" s="158"/>
      <c r="N7" s="159">
        <v>15</v>
      </c>
      <c r="O7" s="158"/>
      <c r="P7" s="158"/>
      <c r="Q7" s="158"/>
      <c r="R7" s="158"/>
      <c r="S7" s="158"/>
      <c r="T7" s="158"/>
      <c r="U7" s="158"/>
      <c r="V7" s="158"/>
      <c r="W7" s="158"/>
      <c r="X7" s="158"/>
      <c r="Y7" s="158"/>
      <c r="Z7" s="158"/>
      <c r="AA7" s="158"/>
      <c r="AB7" s="158"/>
      <c r="AC7" s="158"/>
      <c r="AD7" s="158"/>
      <c r="AE7" s="158"/>
      <c r="AF7" s="158"/>
      <c r="AG7" s="158"/>
      <c r="AH7" s="158"/>
      <c r="AI7" s="158"/>
      <c r="AJ7" s="158"/>
      <c r="AK7" s="158"/>
      <c r="AL7" s="158"/>
      <c r="AM7" s="158"/>
      <c r="AN7" s="159">
        <v>122</v>
      </c>
      <c r="AO7" s="159">
        <v>227</v>
      </c>
      <c r="AP7" s="158"/>
      <c r="AQ7" s="158"/>
      <c r="AR7" s="158"/>
      <c r="AS7" s="158"/>
      <c r="AT7" s="158"/>
      <c r="AU7" s="158"/>
      <c r="AV7" s="158"/>
      <c r="AW7" s="158"/>
      <c r="AX7" s="158"/>
      <c r="AY7" s="158"/>
      <c r="AZ7" s="158"/>
      <c r="BA7" s="158"/>
    </row>
    <row r="8" spans="1:55" s="200" customFormat="1">
      <c r="A8" s="158" t="s">
        <v>839</v>
      </c>
      <c r="B8" s="158"/>
      <c r="C8" s="158"/>
      <c r="D8" s="158"/>
      <c r="E8" s="158"/>
      <c r="F8" s="159">
        <v>269</v>
      </c>
      <c r="G8" s="158"/>
      <c r="H8" s="158"/>
      <c r="I8" s="158"/>
      <c r="J8" s="158"/>
      <c r="K8" s="158"/>
      <c r="L8" s="158"/>
      <c r="M8" s="158"/>
      <c r="N8" s="158">
        <v>50</v>
      </c>
      <c r="O8" s="158">
        <v>105</v>
      </c>
      <c r="P8" s="158"/>
      <c r="Q8" s="158">
        <v>50</v>
      </c>
      <c r="R8" s="158"/>
      <c r="S8" s="158">
        <v>50</v>
      </c>
      <c r="T8" s="158"/>
      <c r="U8" s="158">
        <v>217</v>
      </c>
      <c r="V8" s="158"/>
      <c r="W8" s="158"/>
      <c r="X8" s="158"/>
      <c r="Y8" s="158"/>
      <c r="Z8" s="158"/>
      <c r="AA8" s="158"/>
      <c r="AB8" s="158"/>
      <c r="AC8" s="158"/>
      <c r="AD8" s="158"/>
      <c r="AE8" s="158"/>
      <c r="AF8" s="158"/>
      <c r="AG8" s="158"/>
      <c r="AH8" s="158"/>
      <c r="AI8" s="158"/>
      <c r="AJ8" s="158"/>
      <c r="AK8" s="158"/>
      <c r="AL8" s="158"/>
      <c r="AM8" s="158"/>
      <c r="AN8" s="159">
        <v>154</v>
      </c>
      <c r="AO8" s="159">
        <v>222</v>
      </c>
      <c r="AP8" s="160"/>
      <c r="AQ8" s="160"/>
      <c r="AR8" s="160"/>
      <c r="AS8" s="160"/>
      <c r="AT8" s="158"/>
      <c r="AU8" s="158"/>
      <c r="AV8" s="158"/>
      <c r="AW8" s="158"/>
      <c r="AX8" s="158"/>
      <c r="AY8" s="158"/>
      <c r="AZ8" s="158"/>
      <c r="BA8" s="158"/>
    </row>
    <row r="9" spans="1:55" s="200" customFormat="1">
      <c r="A9" s="158" t="s">
        <v>848</v>
      </c>
      <c r="B9" s="158"/>
      <c r="C9" s="158"/>
      <c r="D9" s="158"/>
      <c r="E9" s="158"/>
      <c r="F9" s="159">
        <v>269</v>
      </c>
      <c r="G9" s="158"/>
      <c r="H9" s="158"/>
      <c r="I9" s="158"/>
      <c r="J9" s="158"/>
      <c r="K9" s="158"/>
      <c r="L9" s="158"/>
      <c r="M9" s="158"/>
      <c r="N9" s="158">
        <v>50</v>
      </c>
      <c r="O9" s="158">
        <v>105</v>
      </c>
      <c r="P9" s="158"/>
      <c r="Q9" s="158">
        <v>50</v>
      </c>
      <c r="R9" s="158"/>
      <c r="S9" s="158">
        <v>50</v>
      </c>
      <c r="T9" s="158"/>
      <c r="U9" s="158">
        <v>217</v>
      </c>
      <c r="V9" s="158"/>
      <c r="W9" s="158"/>
      <c r="X9" s="158"/>
      <c r="Y9" s="158"/>
      <c r="Z9" s="158"/>
      <c r="AA9" s="158"/>
      <c r="AB9" s="158"/>
      <c r="AC9" s="158"/>
      <c r="AD9" s="158"/>
      <c r="AE9" s="158">
        <v>25</v>
      </c>
      <c r="AF9" s="158"/>
      <c r="AG9" s="158"/>
      <c r="AH9" s="158"/>
      <c r="AI9" s="158"/>
      <c r="AJ9" s="158"/>
      <c r="AK9" s="158"/>
      <c r="AL9" s="158"/>
      <c r="AM9" s="158"/>
      <c r="AN9" s="159">
        <v>154</v>
      </c>
      <c r="AO9" s="159">
        <v>222</v>
      </c>
      <c r="AP9" s="160"/>
      <c r="AQ9" s="160"/>
      <c r="AR9" s="160"/>
      <c r="AS9" s="160"/>
      <c r="AT9" s="158"/>
      <c r="AU9" s="158"/>
      <c r="AV9" s="158"/>
      <c r="AW9" s="158"/>
      <c r="AX9" s="158"/>
      <c r="AY9" s="158"/>
      <c r="AZ9" s="158"/>
      <c r="BA9" s="158"/>
    </row>
    <row r="10" spans="1:55" s="200" customFormat="1">
      <c r="A10" s="158" t="s">
        <v>849</v>
      </c>
      <c r="B10" s="158"/>
      <c r="C10" s="158"/>
      <c r="D10" s="158"/>
      <c r="E10" s="158"/>
      <c r="F10" s="159">
        <v>269</v>
      </c>
      <c r="G10" s="158"/>
      <c r="H10" s="158"/>
      <c r="I10" s="158"/>
      <c r="J10" s="158"/>
      <c r="K10" s="158"/>
      <c r="L10" s="158"/>
      <c r="M10" s="158"/>
      <c r="N10" s="158">
        <v>50</v>
      </c>
      <c r="O10" s="158">
        <v>105</v>
      </c>
      <c r="P10" s="158"/>
      <c r="Q10" s="158">
        <v>50</v>
      </c>
      <c r="R10" s="158"/>
      <c r="S10" s="158">
        <v>50</v>
      </c>
      <c r="T10" s="158"/>
      <c r="U10" s="158">
        <v>217</v>
      </c>
      <c r="V10" s="158"/>
      <c r="W10" s="158"/>
      <c r="X10" s="158"/>
      <c r="Y10" s="158"/>
      <c r="Z10" s="158"/>
      <c r="AA10" s="158"/>
      <c r="AB10" s="158"/>
      <c r="AC10" s="158"/>
      <c r="AD10" s="158"/>
      <c r="AE10" s="158"/>
      <c r="AF10" s="158"/>
      <c r="AG10" s="158"/>
      <c r="AH10" s="158"/>
      <c r="AI10" s="158"/>
      <c r="AJ10" s="158"/>
      <c r="AK10" s="158"/>
      <c r="AL10" s="158"/>
      <c r="AM10" s="158"/>
      <c r="AN10" s="159">
        <v>154</v>
      </c>
      <c r="AO10" s="159">
        <v>222</v>
      </c>
      <c r="AP10" s="160"/>
      <c r="AQ10" s="160"/>
      <c r="AR10" s="160"/>
      <c r="AS10" s="160"/>
      <c r="AT10" s="158"/>
      <c r="AU10" s="158"/>
      <c r="AV10" s="158"/>
      <c r="AW10" s="158"/>
      <c r="AX10" s="158"/>
      <c r="AY10" s="158"/>
      <c r="AZ10" s="158"/>
      <c r="BA10" s="158"/>
      <c r="BB10" s="89">
        <v>0.5</v>
      </c>
    </row>
    <row r="11" spans="1:55" s="200" customFormat="1">
      <c r="A11" s="158" t="s">
        <v>871</v>
      </c>
      <c r="B11" s="158"/>
      <c r="C11" s="158"/>
      <c r="D11" s="158"/>
      <c r="E11" s="158"/>
      <c r="F11" s="159">
        <v>250</v>
      </c>
      <c r="G11" s="158"/>
      <c r="H11" s="158">
        <v>15</v>
      </c>
      <c r="I11" s="158"/>
      <c r="J11" s="158">
        <v>15</v>
      </c>
      <c r="K11" s="158">
        <v>15</v>
      </c>
      <c r="L11" s="158"/>
      <c r="M11" s="158"/>
      <c r="N11" s="158">
        <v>40</v>
      </c>
      <c r="O11" s="158">
        <v>30</v>
      </c>
      <c r="P11" s="158"/>
      <c r="Q11" s="158">
        <v>40</v>
      </c>
      <c r="R11" s="158"/>
      <c r="S11" s="158">
        <v>40</v>
      </c>
      <c r="T11" s="158">
        <v>16</v>
      </c>
      <c r="U11" s="158">
        <v>217</v>
      </c>
      <c r="V11" s="158"/>
      <c r="W11" s="158"/>
      <c r="X11" s="158"/>
      <c r="Y11" s="158"/>
      <c r="Z11" s="158"/>
      <c r="AA11" s="158"/>
      <c r="AB11" s="158"/>
      <c r="AC11" s="158"/>
      <c r="AD11" s="158"/>
      <c r="AE11" s="158"/>
      <c r="AF11" s="158"/>
      <c r="AG11" s="158"/>
      <c r="AH11" s="158"/>
      <c r="AI11" s="158"/>
      <c r="AJ11" s="158"/>
      <c r="AK11" s="158"/>
      <c r="AL11" s="158"/>
      <c r="AM11" s="158"/>
      <c r="AN11" s="159">
        <v>157</v>
      </c>
      <c r="AO11" s="159">
        <v>227</v>
      </c>
      <c r="AP11" s="160"/>
      <c r="AQ11" s="160"/>
      <c r="AR11" s="160"/>
      <c r="AS11" s="160"/>
      <c r="AT11" s="158"/>
      <c r="AU11" s="158"/>
      <c r="AV11" s="158"/>
      <c r="AW11" s="158"/>
      <c r="AX11" s="158"/>
      <c r="AY11" s="158"/>
      <c r="AZ11" s="158"/>
      <c r="BA11" s="158"/>
      <c r="BB11" s="89"/>
    </row>
    <row r="12" spans="1:55" s="200" customFormat="1">
      <c r="A12" s="158" t="s">
        <v>765</v>
      </c>
      <c r="B12" s="158"/>
      <c r="C12" s="158"/>
      <c r="D12" s="158"/>
      <c r="E12" s="158"/>
      <c r="F12" s="159">
        <v>269</v>
      </c>
      <c r="G12" s="158"/>
      <c r="H12" s="158"/>
      <c r="I12" s="158"/>
      <c r="J12" s="158"/>
      <c r="K12" s="158"/>
      <c r="L12" s="158"/>
      <c r="M12" s="158"/>
      <c r="N12" s="158"/>
      <c r="O12" s="158"/>
      <c r="P12" s="158"/>
      <c r="Q12" s="158"/>
      <c r="R12" s="158"/>
      <c r="S12" s="158"/>
      <c r="T12" s="158"/>
      <c r="U12" s="158">
        <v>186</v>
      </c>
      <c r="V12" s="158"/>
      <c r="W12" s="158"/>
      <c r="X12" s="158"/>
      <c r="Y12" s="158"/>
      <c r="Z12" s="158"/>
      <c r="AA12" s="158"/>
      <c r="AB12" s="158"/>
      <c r="AC12" s="158"/>
      <c r="AD12" s="158"/>
      <c r="AE12" s="158">
        <v>10</v>
      </c>
      <c r="AF12" s="158"/>
      <c r="AG12" s="159">
        <v>500</v>
      </c>
      <c r="AH12" s="158"/>
      <c r="AI12" s="158"/>
      <c r="AJ12" s="158"/>
      <c r="AK12" s="158"/>
      <c r="AL12" s="158"/>
      <c r="AM12" s="158"/>
      <c r="AN12" s="159">
        <v>159</v>
      </c>
      <c r="AO12" s="159">
        <v>227</v>
      </c>
      <c r="AP12" s="158"/>
      <c r="AQ12" s="158"/>
      <c r="AR12" s="158"/>
      <c r="AS12" s="158"/>
      <c r="AT12" s="158"/>
      <c r="AU12" s="158"/>
      <c r="AV12" s="158"/>
      <c r="AW12" s="158"/>
      <c r="AX12" s="158"/>
      <c r="AY12" s="158"/>
      <c r="AZ12" s="158"/>
      <c r="BA12" s="158"/>
    </row>
    <row r="13" spans="1:55" s="200" customFormat="1">
      <c r="A13" s="158" t="s">
        <v>835</v>
      </c>
      <c r="B13" s="158"/>
      <c r="C13" s="158"/>
      <c r="D13" s="158"/>
      <c r="E13" s="158"/>
      <c r="F13" s="159">
        <v>269</v>
      </c>
      <c r="G13" s="158"/>
      <c r="H13" s="158"/>
      <c r="I13" s="158"/>
      <c r="J13" s="158"/>
      <c r="K13" s="158"/>
      <c r="L13" s="158"/>
      <c r="M13" s="158"/>
      <c r="N13" s="158">
        <v>30</v>
      </c>
      <c r="O13" s="158"/>
      <c r="P13" s="158"/>
      <c r="Q13" s="158"/>
      <c r="R13" s="158"/>
      <c r="S13" s="158">
        <v>30</v>
      </c>
      <c r="T13" s="158"/>
      <c r="U13" s="158">
        <v>186</v>
      </c>
      <c r="V13" s="158"/>
      <c r="W13" s="158"/>
      <c r="X13" s="158"/>
      <c r="Y13" s="158"/>
      <c r="Z13" s="158"/>
      <c r="AA13" s="158"/>
      <c r="AB13" s="158"/>
      <c r="AC13" s="158"/>
      <c r="AD13" s="158"/>
      <c r="AE13" s="158">
        <v>10</v>
      </c>
      <c r="AF13" s="158"/>
      <c r="AG13" s="159">
        <v>500</v>
      </c>
      <c r="AH13" s="158"/>
      <c r="AI13" s="158"/>
      <c r="AJ13" s="158"/>
      <c r="AK13" s="158"/>
      <c r="AL13" s="158"/>
      <c r="AM13" s="158"/>
      <c r="AN13" s="159">
        <v>166</v>
      </c>
      <c r="AO13" s="159">
        <v>227</v>
      </c>
      <c r="AP13" s="158"/>
      <c r="AQ13" s="158"/>
      <c r="AR13" s="158"/>
      <c r="AS13" s="158"/>
      <c r="AT13" s="158"/>
      <c r="AU13" s="158"/>
      <c r="AV13" s="158"/>
      <c r="AW13" s="158"/>
      <c r="AX13" s="158"/>
      <c r="AY13" s="158"/>
      <c r="AZ13" s="158"/>
      <c r="BA13" s="158"/>
    </row>
    <row r="14" spans="1:55" s="200" customFormat="1">
      <c r="A14" s="158" t="s">
        <v>868</v>
      </c>
      <c r="B14" s="158"/>
      <c r="C14" s="158"/>
      <c r="D14" s="158"/>
      <c r="E14" s="158"/>
      <c r="F14" s="159"/>
      <c r="G14" s="158"/>
      <c r="H14" s="158"/>
      <c r="I14" s="158"/>
      <c r="J14" s="158"/>
      <c r="K14" s="158"/>
      <c r="L14" s="158"/>
      <c r="M14" s="158"/>
      <c r="N14" s="158"/>
      <c r="O14" s="158"/>
      <c r="P14" s="158"/>
      <c r="Q14" s="158"/>
      <c r="R14" s="158"/>
      <c r="S14" s="158"/>
      <c r="T14" s="158"/>
      <c r="U14" s="158"/>
      <c r="V14" s="158"/>
      <c r="W14" s="158"/>
      <c r="X14" s="158"/>
      <c r="Y14" s="158"/>
      <c r="Z14" s="158"/>
      <c r="AA14" s="158"/>
      <c r="AB14" s="158"/>
      <c r="AC14" s="158"/>
      <c r="AD14" s="158"/>
      <c r="AE14" s="158"/>
      <c r="AF14" s="158"/>
      <c r="AG14" s="159">
        <v>1000</v>
      </c>
      <c r="AH14" s="158"/>
      <c r="AI14" s="158"/>
      <c r="AJ14" s="158"/>
      <c r="AK14" s="158"/>
      <c r="AL14" s="158"/>
      <c r="AM14" s="158"/>
      <c r="AN14" s="159">
        <v>49</v>
      </c>
      <c r="AO14" s="159">
        <v>216</v>
      </c>
      <c r="AP14" s="158"/>
      <c r="AQ14" s="158"/>
      <c r="AR14" s="158"/>
      <c r="AS14" s="158"/>
      <c r="AT14" s="158"/>
      <c r="AU14" s="158"/>
      <c r="AV14" s="158"/>
      <c r="AW14" s="158"/>
      <c r="AX14" s="158"/>
      <c r="AY14" s="158"/>
      <c r="AZ14" s="158"/>
      <c r="BA14" s="158"/>
    </row>
    <row r="15" spans="1:55">
      <c r="A15" s="158" t="s">
        <v>629</v>
      </c>
      <c r="B15" s="158"/>
      <c r="C15" s="158"/>
      <c r="D15" s="158"/>
      <c r="E15" s="158"/>
      <c r="F15" s="220">
        <v>242</v>
      </c>
      <c r="G15" s="158"/>
      <c r="H15" s="158"/>
      <c r="I15" s="158"/>
      <c r="J15" s="159">
        <v>10</v>
      </c>
      <c r="K15" s="158"/>
      <c r="L15" s="158"/>
      <c r="M15" s="158"/>
      <c r="N15" s="159">
        <v>15</v>
      </c>
      <c r="O15" s="158"/>
      <c r="P15" s="158"/>
      <c r="Q15" s="158"/>
      <c r="R15" s="158"/>
      <c r="S15" s="158"/>
      <c r="T15" s="158"/>
      <c r="U15" s="158"/>
      <c r="V15" s="158"/>
      <c r="W15" s="158"/>
      <c r="X15" s="158"/>
      <c r="Y15" s="158"/>
      <c r="Z15" s="158"/>
      <c r="AA15" s="158"/>
      <c r="AB15" s="158"/>
      <c r="AC15" s="158"/>
      <c r="AD15" s="158"/>
      <c r="AE15" s="158"/>
      <c r="AF15" s="158"/>
      <c r="AG15" s="158"/>
      <c r="AH15" s="158"/>
      <c r="AI15" s="158"/>
      <c r="AJ15" s="158"/>
      <c r="AK15" s="158"/>
      <c r="AL15" s="158"/>
      <c r="AM15" s="158"/>
      <c r="AN15" s="159">
        <v>122</v>
      </c>
      <c r="AO15" s="159">
        <v>227</v>
      </c>
      <c r="AP15" s="158"/>
      <c r="AQ15" s="158"/>
      <c r="AR15" s="158"/>
      <c r="AS15" s="158"/>
      <c r="AT15" s="158"/>
      <c r="AU15" s="158"/>
      <c r="AV15" s="158"/>
      <c r="AW15" s="158"/>
      <c r="AX15" s="158"/>
      <c r="AY15" s="158"/>
      <c r="AZ15" s="158"/>
      <c r="BA15" s="158"/>
    </row>
    <row r="16" spans="1:55">
      <c r="A16" s="158" t="s">
        <v>127</v>
      </c>
      <c r="B16" s="158"/>
      <c r="C16" s="158"/>
      <c r="D16" s="158"/>
      <c r="E16" s="158"/>
      <c r="F16" s="220"/>
      <c r="G16" s="158"/>
      <c r="H16" s="158"/>
      <c r="I16" s="158"/>
      <c r="J16" s="158"/>
      <c r="K16" s="158"/>
      <c r="L16" s="158"/>
      <c r="M16" s="158"/>
      <c r="N16" s="159">
        <v>8</v>
      </c>
      <c r="O16" s="159">
        <v>8</v>
      </c>
      <c r="P16" s="158"/>
      <c r="Q16" s="158"/>
      <c r="R16" s="158"/>
      <c r="S16" s="158"/>
      <c r="T16" s="158"/>
      <c r="U16" s="158"/>
      <c r="V16" s="158"/>
      <c r="W16" s="158"/>
      <c r="X16" s="158"/>
      <c r="Y16" s="158"/>
      <c r="Z16" s="158"/>
      <c r="AA16" s="158"/>
      <c r="AB16" s="158"/>
      <c r="AC16" s="158"/>
      <c r="AD16" s="160">
        <v>0.1</v>
      </c>
      <c r="AE16" s="158"/>
      <c r="AF16" s="158"/>
      <c r="AG16" s="158"/>
      <c r="AH16" s="158"/>
      <c r="AI16" s="158"/>
      <c r="AJ16" s="158"/>
      <c r="AK16" s="158"/>
      <c r="AL16" s="158"/>
      <c r="AM16" s="158"/>
      <c r="AN16" s="159">
        <v>39</v>
      </c>
      <c r="AO16" s="159">
        <v>180</v>
      </c>
      <c r="AP16" s="158"/>
      <c r="AQ16" s="158"/>
      <c r="AR16" s="158"/>
      <c r="AS16" s="158"/>
      <c r="AT16" s="158"/>
      <c r="AU16" s="158"/>
      <c r="AV16" s="158"/>
      <c r="AW16" s="158"/>
      <c r="AX16" s="158"/>
      <c r="AY16" s="158"/>
      <c r="AZ16" s="158"/>
      <c r="BA16" s="158"/>
    </row>
    <row r="17" spans="1:53" s="200" customFormat="1">
      <c r="A17" s="158" t="s">
        <v>728</v>
      </c>
      <c r="B17" s="158"/>
      <c r="C17" s="158"/>
      <c r="D17" s="158"/>
      <c r="E17" s="158"/>
      <c r="F17" s="220">
        <v>242</v>
      </c>
      <c r="G17" s="158"/>
      <c r="H17" s="159">
        <v>15</v>
      </c>
      <c r="I17" s="158"/>
      <c r="J17" s="158"/>
      <c r="K17" s="158"/>
      <c r="L17" s="158"/>
      <c r="M17" s="158"/>
      <c r="N17" s="159">
        <v>35</v>
      </c>
      <c r="O17" s="159">
        <v>30</v>
      </c>
      <c r="P17" s="158"/>
      <c r="Q17" s="158">
        <v>15</v>
      </c>
      <c r="R17" s="158">
        <v>10</v>
      </c>
      <c r="S17" s="158"/>
      <c r="T17" s="158"/>
      <c r="U17" s="158"/>
      <c r="V17" s="158"/>
      <c r="W17" s="212">
        <v>0.03</v>
      </c>
      <c r="X17" s="158"/>
      <c r="Y17" s="158"/>
      <c r="Z17" s="158"/>
      <c r="AA17" s="158"/>
      <c r="AB17" s="158"/>
      <c r="AC17" s="158"/>
      <c r="AD17" s="160"/>
      <c r="AE17" s="158">
        <v>5</v>
      </c>
      <c r="AF17" s="158"/>
      <c r="AG17" s="158"/>
      <c r="AH17" s="158"/>
      <c r="AI17" s="158"/>
      <c r="AJ17" s="158"/>
      <c r="AK17" s="158"/>
      <c r="AL17" s="158"/>
      <c r="AM17" s="158"/>
      <c r="AN17" s="159">
        <v>147</v>
      </c>
      <c r="AO17" s="159">
        <v>227</v>
      </c>
      <c r="AP17" s="158"/>
      <c r="AQ17" s="158"/>
      <c r="AR17" s="158"/>
      <c r="AS17" s="158"/>
      <c r="AT17" s="158"/>
      <c r="AU17" s="158"/>
      <c r="AV17" s="158"/>
      <c r="AW17" s="158"/>
      <c r="AX17" s="158"/>
      <c r="AY17" s="158"/>
      <c r="AZ17" s="158"/>
      <c r="BA17" s="158"/>
    </row>
    <row r="18" spans="1:53" s="200" customFormat="1">
      <c r="A18" s="158" t="s">
        <v>865</v>
      </c>
      <c r="B18" s="158"/>
      <c r="C18" s="158"/>
      <c r="D18" s="158"/>
      <c r="E18" s="158"/>
      <c r="F18" s="220">
        <v>242</v>
      </c>
      <c r="G18" s="158"/>
      <c r="H18" s="159"/>
      <c r="I18" s="158"/>
      <c r="J18" s="158">
        <v>15</v>
      </c>
      <c r="K18" s="158"/>
      <c r="L18" s="158"/>
      <c r="M18" s="158"/>
      <c r="N18" s="159">
        <v>35</v>
      </c>
      <c r="O18" s="159">
        <v>30</v>
      </c>
      <c r="P18" s="158"/>
      <c r="Q18" s="158">
        <v>15</v>
      </c>
      <c r="R18" s="158">
        <v>10</v>
      </c>
      <c r="S18" s="158"/>
      <c r="T18" s="158"/>
      <c r="U18" s="158"/>
      <c r="V18" s="158"/>
      <c r="W18" s="212">
        <v>0.03</v>
      </c>
      <c r="X18" s="158"/>
      <c r="Y18" s="158"/>
      <c r="Z18" s="158"/>
      <c r="AA18" s="158"/>
      <c r="AB18" s="158"/>
      <c r="AC18" s="158"/>
      <c r="AD18" s="160"/>
      <c r="AE18" s="158">
        <v>5</v>
      </c>
      <c r="AF18" s="158"/>
      <c r="AG18" s="158"/>
      <c r="AH18" s="158"/>
      <c r="AI18" s="158"/>
      <c r="AJ18" s="158"/>
      <c r="AK18" s="158"/>
      <c r="AL18" s="158"/>
      <c r="AM18" s="158"/>
      <c r="AN18" s="159">
        <v>147</v>
      </c>
      <c r="AO18" s="159">
        <v>227</v>
      </c>
      <c r="AP18" s="158"/>
      <c r="AQ18" s="158"/>
      <c r="AR18" s="158"/>
      <c r="AS18" s="158"/>
      <c r="AT18" s="158"/>
      <c r="AU18" s="158"/>
      <c r="AV18" s="158"/>
      <c r="AW18" s="158"/>
      <c r="AX18" s="158"/>
      <c r="AY18" s="158"/>
      <c r="AZ18" s="158"/>
      <c r="BA18" s="158"/>
    </row>
    <row r="19" spans="1:53" s="200" customFormat="1">
      <c r="A19" s="158" t="s">
        <v>830</v>
      </c>
      <c r="B19" s="158"/>
      <c r="C19" s="158"/>
      <c r="D19" s="158"/>
      <c r="E19" s="158"/>
      <c r="F19" s="220">
        <v>242</v>
      </c>
      <c r="G19" s="158"/>
      <c r="H19" s="159">
        <v>15</v>
      </c>
      <c r="I19" s="158"/>
      <c r="J19" s="158"/>
      <c r="K19" s="158"/>
      <c r="L19" s="158"/>
      <c r="M19" s="158"/>
      <c r="N19" s="159">
        <v>35</v>
      </c>
      <c r="O19" s="159">
        <v>30</v>
      </c>
      <c r="P19" s="158"/>
      <c r="Q19" s="158">
        <v>15</v>
      </c>
      <c r="R19" s="158">
        <v>10</v>
      </c>
      <c r="S19" s="158"/>
      <c r="T19" s="158"/>
      <c r="U19" s="158"/>
      <c r="V19" s="158"/>
      <c r="W19" s="212"/>
      <c r="X19" s="158"/>
      <c r="Y19" s="158"/>
      <c r="Z19" s="158"/>
      <c r="AA19" s="158"/>
      <c r="AB19" s="158"/>
      <c r="AC19" s="158">
        <v>4</v>
      </c>
      <c r="AD19" s="160"/>
      <c r="AE19" s="158">
        <v>5</v>
      </c>
      <c r="AF19" s="158"/>
      <c r="AG19" s="158"/>
      <c r="AH19" s="219"/>
      <c r="AI19" s="158"/>
      <c r="AJ19" s="158"/>
      <c r="AK19" s="158"/>
      <c r="AL19" s="158"/>
      <c r="AM19" s="158"/>
      <c r="AN19" s="159">
        <v>140</v>
      </c>
      <c r="AO19" s="159">
        <v>227</v>
      </c>
      <c r="AP19" s="158"/>
      <c r="AQ19" s="158"/>
      <c r="AR19" s="158"/>
      <c r="AS19" s="158"/>
      <c r="AT19" s="158"/>
      <c r="AU19" s="158"/>
      <c r="AV19" s="158"/>
      <c r="AW19" s="158"/>
      <c r="AX19" s="158"/>
      <c r="AY19" s="158"/>
      <c r="AZ19" s="158"/>
      <c r="BA19" s="158"/>
    </row>
    <row r="20" spans="1:53" s="200" customFormat="1">
      <c r="A20" s="158" t="s">
        <v>874</v>
      </c>
      <c r="B20" s="158"/>
      <c r="C20" s="158"/>
      <c r="D20" s="158"/>
      <c r="E20" s="158"/>
      <c r="F20" s="220">
        <v>242</v>
      </c>
      <c r="G20" s="158"/>
      <c r="H20" s="159"/>
      <c r="I20" s="158"/>
      <c r="J20" s="158">
        <v>15</v>
      </c>
      <c r="K20" s="158"/>
      <c r="L20" s="158"/>
      <c r="M20" s="158"/>
      <c r="N20" s="159">
        <v>35</v>
      </c>
      <c r="O20" s="159">
        <v>30</v>
      </c>
      <c r="P20" s="158"/>
      <c r="Q20" s="158">
        <v>15</v>
      </c>
      <c r="R20" s="158">
        <v>10</v>
      </c>
      <c r="S20" s="158"/>
      <c r="T20" s="158"/>
      <c r="U20" s="158"/>
      <c r="V20" s="158"/>
      <c r="W20" s="212"/>
      <c r="X20" s="158"/>
      <c r="Y20" s="158"/>
      <c r="Z20" s="158"/>
      <c r="AA20" s="158"/>
      <c r="AB20" s="158"/>
      <c r="AC20" s="158"/>
      <c r="AD20" s="160">
        <v>0.06</v>
      </c>
      <c r="AE20" s="158">
        <v>5</v>
      </c>
      <c r="AF20" s="158"/>
      <c r="AG20" s="158"/>
      <c r="AH20" s="219"/>
      <c r="AI20" s="158"/>
      <c r="AJ20" s="158"/>
      <c r="AK20" s="158"/>
      <c r="AL20" s="158"/>
      <c r="AM20" s="158"/>
      <c r="AN20" s="159">
        <v>140</v>
      </c>
      <c r="AO20" s="159">
        <v>227</v>
      </c>
      <c r="AP20" s="158"/>
      <c r="AQ20" s="158"/>
      <c r="AR20" s="158"/>
      <c r="AS20" s="158"/>
      <c r="AT20" s="158"/>
      <c r="AU20" s="158"/>
      <c r="AV20" s="158"/>
      <c r="AW20" s="158"/>
      <c r="AX20" s="158"/>
      <c r="AY20" s="158"/>
      <c r="AZ20" s="158"/>
      <c r="BA20" s="158"/>
    </row>
    <row r="21" spans="1:53">
      <c r="A21" s="158" t="s">
        <v>534</v>
      </c>
      <c r="B21" s="158"/>
      <c r="C21" s="158"/>
      <c r="D21" s="158"/>
      <c r="E21" s="158"/>
      <c r="F21" s="220"/>
      <c r="G21" s="158"/>
      <c r="H21" s="158"/>
      <c r="I21" s="158"/>
      <c r="J21" s="159">
        <v>20</v>
      </c>
      <c r="K21" s="158"/>
      <c r="L21" s="158"/>
      <c r="M21" s="158"/>
      <c r="N21" s="158"/>
      <c r="O21" s="158"/>
      <c r="P21" s="158"/>
      <c r="Q21" s="158"/>
      <c r="R21" s="158"/>
      <c r="S21" s="158"/>
      <c r="T21" s="158"/>
      <c r="U21" s="158"/>
      <c r="V21" s="158"/>
      <c r="W21" s="158"/>
      <c r="X21" s="158"/>
      <c r="Y21" s="158"/>
      <c r="Z21" s="158"/>
      <c r="AA21" s="158"/>
      <c r="AB21" s="158"/>
      <c r="AC21" s="158"/>
      <c r="AD21" s="158"/>
      <c r="AE21" s="158"/>
      <c r="AF21" s="158"/>
      <c r="AG21" s="158"/>
      <c r="AH21" s="158"/>
      <c r="AI21" s="158"/>
      <c r="AJ21" s="158"/>
      <c r="AK21" s="158"/>
      <c r="AL21" s="158"/>
      <c r="AM21" s="158"/>
      <c r="AN21" s="159">
        <v>64</v>
      </c>
      <c r="AO21" s="159">
        <v>210</v>
      </c>
      <c r="AP21" s="158"/>
      <c r="AQ21" s="158"/>
      <c r="AR21" s="158"/>
      <c r="AS21" s="158"/>
      <c r="AT21" s="158"/>
      <c r="AU21" s="158"/>
      <c r="AV21" s="158"/>
      <c r="AW21" s="158"/>
      <c r="AX21" s="158"/>
      <c r="AY21" s="158"/>
      <c r="AZ21" s="158"/>
      <c r="BA21" s="158"/>
    </row>
    <row r="22" spans="1:53">
      <c r="A22" s="158" t="s">
        <v>537</v>
      </c>
      <c r="B22" s="158"/>
      <c r="C22" s="158"/>
      <c r="D22" s="158"/>
      <c r="E22" s="158"/>
      <c r="F22" s="220">
        <v>242</v>
      </c>
      <c r="G22" s="158"/>
      <c r="H22" s="158"/>
      <c r="I22" s="158"/>
      <c r="J22" s="159">
        <v>20</v>
      </c>
      <c r="K22" s="158"/>
      <c r="L22" s="158"/>
      <c r="M22" s="158"/>
      <c r="N22" s="158"/>
      <c r="O22" s="158"/>
      <c r="P22" s="158"/>
      <c r="Q22" s="158"/>
      <c r="R22" s="158"/>
      <c r="S22" s="158"/>
      <c r="T22" s="158"/>
      <c r="U22" s="158"/>
      <c r="V22" s="158"/>
      <c r="W22" s="158"/>
      <c r="X22" s="158"/>
      <c r="Y22" s="158"/>
      <c r="Z22" s="158"/>
      <c r="AA22" s="158"/>
      <c r="AB22" s="158"/>
      <c r="AC22" s="158"/>
      <c r="AD22" s="158"/>
      <c r="AE22" s="158"/>
      <c r="AF22" s="158"/>
      <c r="AG22" s="158"/>
      <c r="AH22" s="158"/>
      <c r="AI22" s="158"/>
      <c r="AJ22" s="158"/>
      <c r="AK22" s="158"/>
      <c r="AL22" s="158"/>
      <c r="AM22" s="158"/>
      <c r="AN22" s="159">
        <v>106</v>
      </c>
      <c r="AO22" s="159">
        <v>210</v>
      </c>
      <c r="AP22" s="158"/>
      <c r="AQ22" s="158"/>
      <c r="AR22" s="158"/>
      <c r="AS22" s="158"/>
      <c r="AT22" s="158"/>
      <c r="AU22" s="158"/>
      <c r="AV22" s="158"/>
      <c r="AW22" s="158"/>
      <c r="AX22" s="158"/>
      <c r="AY22" s="158"/>
      <c r="AZ22" s="158"/>
      <c r="BA22" s="158"/>
    </row>
    <row r="23" spans="1:53" s="200" customFormat="1">
      <c r="A23" s="158" t="s">
        <v>749</v>
      </c>
      <c r="B23" s="158"/>
      <c r="C23" s="158"/>
      <c r="D23" s="158"/>
      <c r="E23" s="158"/>
      <c r="F23" s="220">
        <v>269</v>
      </c>
      <c r="G23" s="158"/>
      <c r="H23" s="158"/>
      <c r="I23" s="158"/>
      <c r="J23" s="159">
        <v>50</v>
      </c>
      <c r="K23" s="158"/>
      <c r="L23" s="158"/>
      <c r="M23" s="158"/>
      <c r="N23" s="158"/>
      <c r="O23" s="158"/>
      <c r="P23" s="158"/>
      <c r="Q23" s="158"/>
      <c r="R23" s="158"/>
      <c r="S23" s="158"/>
      <c r="T23" s="158"/>
      <c r="U23" s="158">
        <v>186</v>
      </c>
      <c r="V23" s="158"/>
      <c r="W23" s="158"/>
      <c r="X23" s="158"/>
      <c r="Y23" s="158"/>
      <c r="Z23" s="158"/>
      <c r="AA23" s="158"/>
      <c r="AB23" s="158"/>
      <c r="AC23" s="158"/>
      <c r="AD23" s="158"/>
      <c r="AE23" s="158"/>
      <c r="AF23" s="158"/>
      <c r="AG23" s="158"/>
      <c r="AH23" s="158"/>
      <c r="AI23" s="158"/>
      <c r="AJ23" s="158"/>
      <c r="AK23" s="158"/>
      <c r="AL23" s="158"/>
      <c r="AM23" s="158"/>
      <c r="AN23" s="159">
        <v>148</v>
      </c>
      <c r="AO23" s="159">
        <v>210</v>
      </c>
      <c r="AP23" s="158"/>
      <c r="AQ23" s="158"/>
      <c r="AR23" s="158"/>
      <c r="AS23" s="158"/>
      <c r="AT23" s="158"/>
      <c r="AU23" s="158"/>
      <c r="AV23" s="158"/>
      <c r="AW23" s="158"/>
      <c r="AX23" s="158"/>
      <c r="AY23" s="158"/>
      <c r="AZ23" s="158"/>
      <c r="BA23" s="158"/>
    </row>
    <row r="24" spans="1:53" s="200" customFormat="1">
      <c r="A24" s="158" t="s">
        <v>834</v>
      </c>
      <c r="B24" s="158"/>
      <c r="C24" s="158"/>
      <c r="D24" s="158"/>
      <c r="E24" s="158"/>
      <c r="F24" s="220">
        <v>269</v>
      </c>
      <c r="G24" s="158"/>
      <c r="H24" s="159">
        <v>20</v>
      </c>
      <c r="I24" s="158"/>
      <c r="J24" s="159">
        <v>70</v>
      </c>
      <c r="K24" s="158"/>
      <c r="L24" s="158"/>
      <c r="M24" s="158"/>
      <c r="N24" s="158"/>
      <c r="O24" s="158"/>
      <c r="P24" s="158"/>
      <c r="Q24" s="158"/>
      <c r="R24" s="158"/>
      <c r="S24" s="158"/>
      <c r="T24" s="158"/>
      <c r="U24" s="158">
        <v>186</v>
      </c>
      <c r="V24" s="158"/>
      <c r="W24" s="158"/>
      <c r="X24" s="158"/>
      <c r="Y24" s="158"/>
      <c r="Z24" s="158"/>
      <c r="AA24" s="158"/>
      <c r="AB24" s="158"/>
      <c r="AC24" s="158"/>
      <c r="AD24" s="158"/>
      <c r="AE24" s="158"/>
      <c r="AF24" s="158"/>
      <c r="AG24" s="158"/>
      <c r="AH24" s="158"/>
      <c r="AI24" s="158"/>
      <c r="AJ24" s="158"/>
      <c r="AK24" s="158"/>
      <c r="AL24" s="158"/>
      <c r="AM24" s="158"/>
      <c r="AN24" s="159">
        <v>153</v>
      </c>
      <c r="AO24" s="159">
        <v>210</v>
      </c>
      <c r="AP24" s="158"/>
      <c r="AQ24" s="158"/>
      <c r="AR24" s="158"/>
      <c r="AS24" s="158"/>
      <c r="AT24" s="158"/>
      <c r="AU24" s="158"/>
      <c r="AV24" s="158"/>
      <c r="AW24" s="158"/>
      <c r="AX24" s="158"/>
      <c r="AY24" s="158"/>
      <c r="AZ24" s="158"/>
      <c r="BA24" s="158"/>
    </row>
    <row r="25" spans="1:53">
      <c r="A25" s="158" t="s">
        <v>535</v>
      </c>
      <c r="B25" s="158"/>
      <c r="C25" s="158"/>
      <c r="D25" s="158"/>
      <c r="E25" s="158"/>
      <c r="F25" s="158"/>
      <c r="G25" s="158"/>
      <c r="H25" s="158"/>
      <c r="I25" s="158"/>
      <c r="J25" s="158"/>
      <c r="K25" s="158"/>
      <c r="L25" s="158"/>
      <c r="M25" s="158"/>
      <c r="N25" s="158"/>
      <c r="O25" s="159">
        <v>40</v>
      </c>
      <c r="P25" s="158"/>
      <c r="Q25" s="158"/>
      <c r="R25" s="158"/>
      <c r="S25" s="158"/>
      <c r="T25" s="158"/>
      <c r="U25" s="158"/>
      <c r="V25" s="158"/>
      <c r="W25" s="158"/>
      <c r="X25" s="158"/>
      <c r="Y25" s="158"/>
      <c r="Z25" s="158"/>
      <c r="AA25" s="158"/>
      <c r="AB25" s="158"/>
      <c r="AC25" s="158"/>
      <c r="AD25" s="158"/>
      <c r="AE25" s="158"/>
      <c r="AF25" s="158"/>
      <c r="AG25" s="158"/>
      <c r="AH25" s="158"/>
      <c r="AI25" s="158"/>
      <c r="AJ25" s="158"/>
      <c r="AK25" s="158"/>
      <c r="AL25" s="158"/>
      <c r="AM25" s="158"/>
      <c r="AN25" s="159">
        <v>64</v>
      </c>
      <c r="AO25" s="159">
        <v>210</v>
      </c>
      <c r="AP25" s="158"/>
      <c r="AQ25" s="158"/>
      <c r="AR25" s="158"/>
      <c r="AS25" s="158"/>
      <c r="AT25" s="158"/>
      <c r="AU25" s="158"/>
      <c r="AV25" s="158"/>
      <c r="AW25" s="158"/>
      <c r="AX25" s="158"/>
      <c r="AY25" s="158"/>
      <c r="AZ25" s="158"/>
      <c r="BA25" s="158"/>
    </row>
    <row r="26" spans="1:53">
      <c r="A26" s="158" t="s">
        <v>538</v>
      </c>
      <c r="B26" s="158"/>
      <c r="C26" s="158"/>
      <c r="D26" s="158"/>
      <c r="E26" s="158"/>
      <c r="F26" s="159">
        <v>242</v>
      </c>
      <c r="G26" s="158"/>
      <c r="H26" s="158"/>
      <c r="I26" s="158"/>
      <c r="J26" s="158"/>
      <c r="K26" s="158"/>
      <c r="L26" s="158"/>
      <c r="M26" s="158"/>
      <c r="N26" s="158"/>
      <c r="O26" s="159">
        <v>40</v>
      </c>
      <c r="P26" s="158"/>
      <c r="Q26" s="158"/>
      <c r="R26" s="158"/>
      <c r="S26" s="158"/>
      <c r="T26" s="158"/>
      <c r="U26" s="158"/>
      <c r="V26" s="158"/>
      <c r="W26" s="158"/>
      <c r="X26" s="158"/>
      <c r="Y26" s="158"/>
      <c r="Z26" s="158"/>
      <c r="AA26" s="158"/>
      <c r="AB26" s="158"/>
      <c r="AC26" s="158"/>
      <c r="AD26" s="158"/>
      <c r="AE26" s="158"/>
      <c r="AF26" s="158"/>
      <c r="AG26" s="158"/>
      <c r="AH26" s="158"/>
      <c r="AI26" s="158"/>
      <c r="AJ26" s="158"/>
      <c r="AK26" s="158"/>
      <c r="AL26" s="158"/>
      <c r="AM26" s="158"/>
      <c r="AN26" s="159">
        <v>109</v>
      </c>
      <c r="AO26" s="159">
        <v>210</v>
      </c>
      <c r="AP26" s="158"/>
      <c r="AQ26" s="158"/>
      <c r="AR26" s="158"/>
      <c r="AS26" s="158"/>
      <c r="AT26" s="158"/>
      <c r="AU26" s="158"/>
      <c r="AV26" s="158"/>
      <c r="AW26" s="158"/>
      <c r="AX26" s="158"/>
      <c r="AY26" s="158"/>
      <c r="AZ26" s="158"/>
      <c r="BA26" s="158"/>
    </row>
    <row r="27" spans="1:53" s="200" customFormat="1">
      <c r="A27" s="158" t="s">
        <v>747</v>
      </c>
      <c r="B27" s="158"/>
      <c r="C27" s="158"/>
      <c r="D27" s="158"/>
      <c r="E27" s="158"/>
      <c r="F27" s="159">
        <v>269</v>
      </c>
      <c r="G27" s="158"/>
      <c r="H27" s="158"/>
      <c r="I27" s="158"/>
      <c r="J27" s="158"/>
      <c r="K27" s="158"/>
      <c r="L27" s="158"/>
      <c r="M27" s="158"/>
      <c r="N27" s="158"/>
      <c r="O27" s="159">
        <v>60</v>
      </c>
      <c r="P27" s="158"/>
      <c r="Q27" s="158"/>
      <c r="R27" s="158"/>
      <c r="S27" s="158"/>
      <c r="T27" s="158"/>
      <c r="U27" s="158">
        <v>186</v>
      </c>
      <c r="V27" s="158"/>
      <c r="W27" s="158"/>
      <c r="X27" s="158"/>
      <c r="Y27" s="158"/>
      <c r="Z27" s="158"/>
      <c r="AA27" s="158"/>
      <c r="AB27" s="158"/>
      <c r="AC27" s="158"/>
      <c r="AD27" s="158"/>
      <c r="AE27" s="158"/>
      <c r="AF27" s="158"/>
      <c r="AG27" s="158"/>
      <c r="AH27" s="158"/>
      <c r="AI27" s="158"/>
      <c r="AJ27" s="158"/>
      <c r="AK27" s="158"/>
      <c r="AL27" s="158"/>
      <c r="AM27" s="158"/>
      <c r="AN27" s="159">
        <v>148</v>
      </c>
      <c r="AO27" s="159">
        <v>210</v>
      </c>
      <c r="AP27" s="158"/>
      <c r="AQ27" s="158"/>
      <c r="AR27" s="158"/>
      <c r="AS27" s="158"/>
      <c r="AT27" s="158"/>
      <c r="AU27" s="158"/>
      <c r="AV27" s="158"/>
      <c r="AW27" s="158"/>
      <c r="AX27" s="158"/>
      <c r="AY27" s="158"/>
      <c r="AZ27" s="158"/>
      <c r="BA27" s="158"/>
    </row>
    <row r="28" spans="1:53" s="200" customFormat="1">
      <c r="A28" s="158" t="s">
        <v>833</v>
      </c>
      <c r="B28" s="158"/>
      <c r="C28" s="158"/>
      <c r="D28" s="158"/>
      <c r="E28" s="158"/>
      <c r="F28" s="159">
        <v>269</v>
      </c>
      <c r="G28" s="158"/>
      <c r="H28" s="158"/>
      <c r="I28" s="158"/>
      <c r="J28" s="158"/>
      <c r="K28" s="158"/>
      <c r="L28" s="158"/>
      <c r="M28" s="158"/>
      <c r="N28" s="158"/>
      <c r="O28" s="159">
        <v>60</v>
      </c>
      <c r="P28" s="158"/>
      <c r="Q28" s="158"/>
      <c r="R28" s="158"/>
      <c r="S28" s="158"/>
      <c r="T28" s="158"/>
      <c r="U28" s="158">
        <v>186</v>
      </c>
      <c r="V28" s="158"/>
      <c r="W28" s="158"/>
      <c r="X28" s="158"/>
      <c r="Y28" s="158"/>
      <c r="Z28" s="158"/>
      <c r="AA28" s="158"/>
      <c r="AB28" s="158"/>
      <c r="AC28" s="158"/>
      <c r="AD28" s="158"/>
      <c r="AE28" s="158"/>
      <c r="AF28" s="158"/>
      <c r="AG28" s="158"/>
      <c r="AH28" s="158"/>
      <c r="AI28" s="158"/>
      <c r="AJ28" s="158"/>
      <c r="AK28" s="158"/>
      <c r="AL28" s="158"/>
      <c r="AM28" s="158"/>
      <c r="AN28" s="159">
        <v>156</v>
      </c>
      <c r="AO28" s="159">
        <v>210</v>
      </c>
      <c r="AP28" s="158"/>
      <c r="AQ28" s="158"/>
      <c r="AR28" s="158"/>
      <c r="AS28" s="158"/>
      <c r="AT28" s="158"/>
      <c r="AU28" s="158"/>
      <c r="AV28" s="158"/>
      <c r="AW28" s="158"/>
      <c r="AX28" s="158"/>
      <c r="AY28" s="158"/>
      <c r="AZ28" s="158"/>
      <c r="BA28" s="158"/>
    </row>
    <row r="29" spans="1:53">
      <c r="A29" s="158" t="s">
        <v>536</v>
      </c>
      <c r="B29" s="158"/>
      <c r="C29" s="158"/>
      <c r="D29" s="158"/>
      <c r="E29" s="158"/>
      <c r="F29" s="158"/>
      <c r="G29" s="158"/>
      <c r="H29" s="158"/>
      <c r="I29" s="158"/>
      <c r="J29" s="158"/>
      <c r="K29" s="158"/>
      <c r="L29" s="158"/>
      <c r="M29" s="158"/>
      <c r="N29" s="158"/>
      <c r="O29" s="158"/>
      <c r="P29" s="158"/>
      <c r="Q29" s="158"/>
      <c r="R29" s="158"/>
      <c r="S29" s="158"/>
      <c r="T29" s="158"/>
      <c r="U29" s="158"/>
      <c r="V29" s="158"/>
      <c r="W29" s="158"/>
      <c r="X29" s="158"/>
      <c r="Y29" s="158"/>
      <c r="Z29" s="158"/>
      <c r="AA29" s="158"/>
      <c r="AB29" s="158"/>
      <c r="AC29" s="158"/>
      <c r="AD29" s="158"/>
      <c r="AE29" s="158"/>
      <c r="AF29" s="158"/>
      <c r="AG29" s="158"/>
      <c r="AH29" s="158"/>
      <c r="AI29" s="158"/>
      <c r="AJ29" s="158"/>
      <c r="AK29" s="158"/>
      <c r="AL29" s="158"/>
      <c r="AM29" s="158"/>
      <c r="AN29" s="159">
        <v>62</v>
      </c>
      <c r="AO29" s="159">
        <v>227</v>
      </c>
      <c r="AP29" s="158"/>
      <c r="AQ29" s="158"/>
      <c r="AR29" s="158"/>
      <c r="AS29" s="158"/>
      <c r="AT29" s="158"/>
      <c r="AU29" s="158"/>
      <c r="AV29" s="158"/>
      <c r="AW29" s="158"/>
      <c r="AX29" s="160">
        <v>0.6</v>
      </c>
      <c r="AY29" s="160">
        <v>0.67</v>
      </c>
      <c r="AZ29" s="160">
        <v>0.33</v>
      </c>
      <c r="BA29" s="158"/>
    </row>
    <row r="30" spans="1:53">
      <c r="A30" s="158" t="s">
        <v>539</v>
      </c>
      <c r="B30" s="158"/>
      <c r="C30" s="158"/>
      <c r="D30" s="158"/>
      <c r="E30" s="158"/>
      <c r="F30" s="159">
        <v>242</v>
      </c>
      <c r="G30" s="158"/>
      <c r="H30" s="158"/>
      <c r="I30" s="158"/>
      <c r="J30" s="158"/>
      <c r="K30" s="158"/>
      <c r="L30" s="158"/>
      <c r="M30" s="158"/>
      <c r="N30" s="158"/>
      <c r="O30" s="158"/>
      <c r="P30" s="158"/>
      <c r="Q30" s="158"/>
      <c r="R30" s="158"/>
      <c r="S30" s="158"/>
      <c r="T30" s="158"/>
      <c r="U30" s="158"/>
      <c r="V30" s="158"/>
      <c r="W30" s="158"/>
      <c r="X30" s="158"/>
      <c r="Y30" s="158"/>
      <c r="Z30" s="158"/>
      <c r="AA30" s="158"/>
      <c r="AB30" s="158"/>
      <c r="AC30" s="158"/>
      <c r="AD30" s="158"/>
      <c r="AE30" s="158"/>
      <c r="AF30" s="158"/>
      <c r="AG30" s="158"/>
      <c r="AH30" s="158"/>
      <c r="AI30" s="158"/>
      <c r="AJ30" s="158"/>
      <c r="AK30" s="158"/>
      <c r="AL30" s="158"/>
      <c r="AM30" s="158"/>
      <c r="AN30" s="159">
        <v>113</v>
      </c>
      <c r="AO30" s="159">
        <v>227</v>
      </c>
      <c r="AP30" s="158"/>
      <c r="AQ30" s="158"/>
      <c r="AR30" s="158"/>
      <c r="AS30" s="158"/>
      <c r="AT30" s="158"/>
      <c r="AU30" s="158"/>
      <c r="AV30" s="158"/>
      <c r="AW30" s="158"/>
      <c r="AX30" s="160">
        <v>0.6</v>
      </c>
      <c r="AY30" s="160">
        <v>0.67</v>
      </c>
      <c r="AZ30" s="160">
        <v>0.33</v>
      </c>
      <c r="BA30" s="158"/>
    </row>
    <row r="31" spans="1:53" s="200" customFormat="1">
      <c r="A31" s="158" t="s">
        <v>748</v>
      </c>
      <c r="B31" s="158"/>
      <c r="C31" s="158"/>
      <c r="D31" s="158"/>
      <c r="E31" s="158"/>
      <c r="F31" s="159">
        <v>269</v>
      </c>
      <c r="G31" s="158"/>
      <c r="H31" s="158"/>
      <c r="I31" s="158"/>
      <c r="J31" s="158"/>
      <c r="K31" s="158"/>
      <c r="L31" s="158"/>
      <c r="M31" s="158"/>
      <c r="N31" s="158"/>
      <c r="O31" s="158"/>
      <c r="P31" s="158"/>
      <c r="Q31" s="158"/>
      <c r="R31" s="158"/>
      <c r="S31" s="158">
        <v>40</v>
      </c>
      <c r="T31" s="158"/>
      <c r="U31" s="158">
        <v>186</v>
      </c>
      <c r="V31" s="158"/>
      <c r="W31" s="158"/>
      <c r="X31" s="158"/>
      <c r="Y31" s="158"/>
      <c r="Z31" s="158"/>
      <c r="AA31" s="158"/>
      <c r="AB31" s="158"/>
      <c r="AC31" s="158"/>
      <c r="AD31" s="158"/>
      <c r="AE31" s="158"/>
      <c r="AF31" s="158"/>
      <c r="AG31" s="158"/>
      <c r="AH31" s="158"/>
      <c r="AI31" s="158"/>
      <c r="AJ31" s="158"/>
      <c r="AK31" s="158"/>
      <c r="AL31" s="158"/>
      <c r="AM31" s="158"/>
      <c r="AN31" s="159">
        <v>142</v>
      </c>
      <c r="AO31" s="159">
        <v>227</v>
      </c>
      <c r="AP31" s="158"/>
      <c r="AQ31" s="158"/>
      <c r="AR31" s="158"/>
      <c r="AS31" s="158"/>
      <c r="AT31" s="158"/>
      <c r="AU31" s="158"/>
      <c r="AV31" s="158"/>
      <c r="AW31" s="158"/>
      <c r="AX31" s="160">
        <v>0.6</v>
      </c>
      <c r="AY31" s="160">
        <v>0.67</v>
      </c>
      <c r="AZ31" s="160">
        <v>0.33</v>
      </c>
      <c r="BA31" s="158"/>
    </row>
    <row r="32" spans="1:53" s="200" customFormat="1">
      <c r="A32" s="158" t="s">
        <v>894</v>
      </c>
      <c r="B32" s="158"/>
      <c r="C32" s="158"/>
      <c r="D32" s="158"/>
      <c r="E32" s="158"/>
      <c r="F32" s="159">
        <v>269</v>
      </c>
      <c r="G32" s="158"/>
      <c r="H32" s="158"/>
      <c r="I32" s="158"/>
      <c r="J32" s="158"/>
      <c r="K32" s="158"/>
      <c r="L32" s="158"/>
      <c r="M32" s="158"/>
      <c r="N32" s="158"/>
      <c r="O32" s="158"/>
      <c r="P32" s="158"/>
      <c r="Q32" s="158"/>
      <c r="R32" s="158"/>
      <c r="S32" s="158">
        <v>40</v>
      </c>
      <c r="T32" s="158"/>
      <c r="U32" s="158">
        <v>186</v>
      </c>
      <c r="V32" s="158"/>
      <c r="W32" s="158"/>
      <c r="X32" s="158"/>
      <c r="Y32" s="158"/>
      <c r="Z32" s="158"/>
      <c r="AA32" s="158"/>
      <c r="AB32" s="158"/>
      <c r="AC32" s="158"/>
      <c r="AD32" s="158"/>
      <c r="AE32" s="158"/>
      <c r="AF32" s="158"/>
      <c r="AG32" s="158"/>
      <c r="AH32" s="158"/>
      <c r="AI32" s="158"/>
      <c r="AJ32" s="158"/>
      <c r="AK32" s="158"/>
      <c r="AL32" s="158"/>
      <c r="AM32" s="158"/>
      <c r="AN32" s="159">
        <v>156</v>
      </c>
      <c r="AO32" s="159">
        <v>227</v>
      </c>
      <c r="AP32" s="158"/>
      <c r="AQ32" s="158"/>
      <c r="AR32" s="158"/>
      <c r="AS32" s="158"/>
      <c r="AT32" s="158"/>
      <c r="AU32" s="158"/>
      <c r="AV32" s="158"/>
      <c r="AW32" s="158"/>
      <c r="AX32" s="160">
        <v>0.6</v>
      </c>
      <c r="AY32" s="160">
        <v>0.67</v>
      </c>
      <c r="AZ32" s="160">
        <v>0.33</v>
      </c>
      <c r="BA32" s="158"/>
    </row>
    <row r="33" spans="1:53">
      <c r="A33" s="158" t="s">
        <v>729</v>
      </c>
      <c r="B33" s="158"/>
      <c r="C33" s="158"/>
      <c r="D33" s="158"/>
      <c r="E33" s="158"/>
      <c r="F33" s="159">
        <v>242</v>
      </c>
      <c r="G33" s="159">
        <v>22</v>
      </c>
      <c r="H33" s="159">
        <v>22</v>
      </c>
      <c r="I33" s="159">
        <v>12</v>
      </c>
      <c r="J33" s="159">
        <v>12</v>
      </c>
      <c r="K33" s="159">
        <v>12</v>
      </c>
      <c r="L33" s="159">
        <v>12</v>
      </c>
      <c r="M33" s="159">
        <v>12</v>
      </c>
      <c r="N33" s="159">
        <v>20</v>
      </c>
      <c r="O33" s="158"/>
      <c r="P33" s="158"/>
      <c r="Q33" s="159">
        <v>20</v>
      </c>
      <c r="R33" s="158"/>
      <c r="S33" s="158"/>
      <c r="T33" s="158"/>
      <c r="U33" s="158"/>
      <c r="V33" s="158"/>
      <c r="W33" s="158"/>
      <c r="X33" s="158"/>
      <c r="Y33" s="158"/>
      <c r="Z33" s="158"/>
      <c r="AA33" s="158"/>
      <c r="AB33" s="158"/>
      <c r="AC33" s="158"/>
      <c r="AD33" s="158"/>
      <c r="AE33" s="158"/>
      <c r="AF33" s="158"/>
      <c r="AG33" s="158"/>
      <c r="AH33" s="158"/>
      <c r="AI33" s="158"/>
      <c r="AJ33" s="158"/>
      <c r="AK33" s="158"/>
      <c r="AL33" s="158"/>
      <c r="AM33" s="158"/>
      <c r="AN33" s="159">
        <v>135</v>
      </c>
      <c r="AO33" s="159">
        <v>227</v>
      </c>
      <c r="AP33" s="158"/>
      <c r="AQ33" s="158"/>
      <c r="AR33" s="158"/>
      <c r="AS33" s="158"/>
      <c r="AT33" s="158"/>
      <c r="AU33" s="158"/>
      <c r="AV33" s="158"/>
      <c r="AW33" s="158"/>
      <c r="AX33" s="158"/>
      <c r="AY33" s="158"/>
      <c r="AZ33" s="158"/>
      <c r="BA33" s="158"/>
    </row>
    <row r="34" spans="1:53">
      <c r="A34" s="158" t="s">
        <v>674</v>
      </c>
      <c r="B34" s="158"/>
      <c r="C34" s="158"/>
      <c r="D34" s="158"/>
      <c r="E34" s="158"/>
      <c r="F34" s="159">
        <v>242</v>
      </c>
      <c r="G34" s="159">
        <v>14</v>
      </c>
      <c r="H34" s="158"/>
      <c r="I34" s="158"/>
      <c r="J34" s="159">
        <v>14</v>
      </c>
      <c r="K34" s="158"/>
      <c r="L34" s="158"/>
      <c r="M34" s="158"/>
      <c r="N34" s="159">
        <v>16</v>
      </c>
      <c r="O34" s="158"/>
      <c r="P34" s="158"/>
      <c r="Q34" s="158"/>
      <c r="R34" s="158"/>
      <c r="S34" s="158"/>
      <c r="T34" s="158"/>
      <c r="U34" s="158"/>
      <c r="V34" s="160">
        <v>0.03</v>
      </c>
      <c r="W34" s="158"/>
      <c r="X34" s="158"/>
      <c r="Y34" s="158"/>
      <c r="Z34" s="158"/>
      <c r="AA34" s="158"/>
      <c r="AB34" s="158"/>
      <c r="AC34" s="158"/>
      <c r="AD34" s="158"/>
      <c r="AE34" s="158"/>
      <c r="AF34" s="158"/>
      <c r="AG34" s="158"/>
      <c r="AH34" s="158"/>
      <c r="AI34" s="158"/>
      <c r="AJ34" s="158"/>
      <c r="AK34" s="158"/>
      <c r="AL34" s="158"/>
      <c r="AM34" s="158"/>
      <c r="AN34" s="159">
        <v>128</v>
      </c>
      <c r="AO34" s="159">
        <v>222</v>
      </c>
      <c r="AP34" s="158"/>
      <c r="AQ34" s="158"/>
      <c r="AR34" s="158"/>
      <c r="AS34" s="158"/>
      <c r="AT34" s="158"/>
      <c r="AU34" s="158"/>
      <c r="AV34" s="158"/>
      <c r="AW34" s="158"/>
      <c r="AX34" s="158"/>
      <c r="AY34" s="158"/>
      <c r="AZ34" s="158"/>
      <c r="BA34" s="158"/>
    </row>
    <row r="35" spans="1:53">
      <c r="A35" s="158" t="s">
        <v>597</v>
      </c>
      <c r="B35" s="158"/>
      <c r="C35" s="158"/>
      <c r="D35" s="158"/>
      <c r="E35" s="158"/>
      <c r="F35" s="159">
        <v>203</v>
      </c>
      <c r="G35" s="158"/>
      <c r="H35" s="158"/>
      <c r="I35" s="158"/>
      <c r="J35" s="158"/>
      <c r="K35" s="158"/>
      <c r="L35" s="158"/>
      <c r="M35" s="158"/>
      <c r="N35" s="159">
        <v>24</v>
      </c>
      <c r="O35" s="158"/>
      <c r="P35" s="158"/>
      <c r="Q35" s="158"/>
      <c r="R35" s="158"/>
      <c r="S35" s="158"/>
      <c r="T35" s="158"/>
      <c r="U35" s="158"/>
      <c r="V35" s="158"/>
      <c r="W35" s="158"/>
      <c r="X35" s="158"/>
      <c r="Y35" s="158"/>
      <c r="Z35" s="158"/>
      <c r="AA35" s="158"/>
      <c r="AB35" s="158"/>
      <c r="AC35" s="158"/>
      <c r="AD35" s="158"/>
      <c r="AE35" s="158"/>
      <c r="AF35" s="158"/>
      <c r="AG35" s="158"/>
      <c r="AH35" s="158"/>
      <c r="AI35" s="158"/>
      <c r="AJ35" s="158"/>
      <c r="AK35" s="158"/>
      <c r="AL35" s="158"/>
      <c r="AM35" s="158"/>
      <c r="AN35" s="159">
        <v>95</v>
      </c>
      <c r="AO35" s="159">
        <v>185</v>
      </c>
      <c r="AP35" s="158"/>
      <c r="AQ35" s="158"/>
      <c r="AR35" s="158"/>
      <c r="AS35" s="158"/>
      <c r="AT35" s="158"/>
      <c r="AU35" s="158"/>
      <c r="AV35" s="158"/>
      <c r="AW35" s="158"/>
      <c r="AX35" s="158"/>
      <c r="AY35" s="158"/>
      <c r="AZ35" s="158"/>
      <c r="BA35" s="158"/>
    </row>
    <row r="36" spans="1:53">
      <c r="A36" s="158" t="s">
        <v>598</v>
      </c>
      <c r="B36" s="158"/>
      <c r="C36" s="158"/>
      <c r="D36" s="158"/>
      <c r="E36" s="158"/>
      <c r="F36" s="159">
        <v>203</v>
      </c>
      <c r="G36" s="158"/>
      <c r="H36" s="158"/>
      <c r="I36" s="158"/>
      <c r="J36" s="158"/>
      <c r="K36" s="158"/>
      <c r="L36" s="158"/>
      <c r="M36" s="158"/>
      <c r="N36" s="159">
        <v>24</v>
      </c>
      <c r="O36" s="158"/>
      <c r="P36" s="158"/>
      <c r="Q36" s="158"/>
      <c r="R36" s="158"/>
      <c r="S36" s="158"/>
      <c r="T36" s="158"/>
      <c r="U36" s="158"/>
      <c r="V36" s="158"/>
      <c r="W36" s="158"/>
      <c r="X36" s="158"/>
      <c r="Y36" s="158"/>
      <c r="Z36" s="158"/>
      <c r="AA36" s="158"/>
      <c r="AB36" s="158"/>
      <c r="AC36" s="158"/>
      <c r="AD36" s="158"/>
      <c r="AE36" s="158"/>
      <c r="AF36" s="158"/>
      <c r="AG36" s="158"/>
      <c r="AH36" s="158"/>
      <c r="AI36" s="158"/>
      <c r="AJ36" s="158"/>
      <c r="AK36" s="159">
        <v>400</v>
      </c>
      <c r="AL36" s="158"/>
      <c r="AM36" s="158"/>
      <c r="AN36" s="159">
        <v>95</v>
      </c>
      <c r="AO36" s="159">
        <v>185</v>
      </c>
      <c r="AP36" s="160">
        <v>0.4</v>
      </c>
      <c r="AQ36" s="160">
        <v>1</v>
      </c>
      <c r="AR36" s="158"/>
      <c r="AS36" s="158"/>
      <c r="AT36" s="158"/>
      <c r="AU36" s="158"/>
      <c r="AV36" s="158"/>
      <c r="AW36" s="158"/>
      <c r="AX36" s="158"/>
      <c r="AY36" s="158"/>
      <c r="AZ36" s="158"/>
      <c r="BA36" s="158"/>
    </row>
    <row r="37" spans="1:53">
      <c r="A37" s="158" t="s">
        <v>758</v>
      </c>
      <c r="B37" s="158"/>
      <c r="C37" s="158"/>
      <c r="D37" s="158"/>
      <c r="E37" s="158"/>
      <c r="F37" s="159">
        <v>228</v>
      </c>
      <c r="G37" s="158"/>
      <c r="H37" s="158"/>
      <c r="I37" s="158"/>
      <c r="J37" s="158"/>
      <c r="K37" s="158"/>
      <c r="L37" s="158"/>
      <c r="M37" s="158"/>
      <c r="N37" s="159">
        <v>77</v>
      </c>
      <c r="O37" s="158"/>
      <c r="P37" s="158"/>
      <c r="Q37" s="159">
        <v>50</v>
      </c>
      <c r="R37" s="158"/>
      <c r="S37" s="158"/>
      <c r="T37" s="158"/>
      <c r="U37" s="158"/>
      <c r="V37" s="158"/>
      <c r="W37" s="158"/>
      <c r="X37" s="158"/>
      <c r="Y37" s="158"/>
      <c r="Z37" s="158"/>
      <c r="AA37" s="158"/>
      <c r="AB37" s="158"/>
      <c r="AC37" s="158"/>
      <c r="AD37" s="158"/>
      <c r="AE37" s="158"/>
      <c r="AF37" s="158"/>
      <c r="AG37" s="158"/>
      <c r="AH37" s="158"/>
      <c r="AI37" s="158"/>
      <c r="AJ37" s="158"/>
      <c r="AK37" s="158"/>
      <c r="AL37" s="158"/>
      <c r="AM37" s="158"/>
      <c r="AN37" s="159">
        <v>98</v>
      </c>
      <c r="AO37" s="159">
        <v>190</v>
      </c>
      <c r="AP37" s="158"/>
      <c r="AQ37" s="158"/>
      <c r="AR37" s="158"/>
      <c r="AS37" s="158"/>
      <c r="AT37" s="158"/>
      <c r="AU37" s="158"/>
      <c r="AV37" s="158"/>
      <c r="AW37" s="158"/>
      <c r="AX37" s="158"/>
      <c r="AY37" s="158"/>
      <c r="AZ37" s="158"/>
      <c r="BA37" s="158"/>
    </row>
    <row r="38" spans="1:53">
      <c r="A38" s="158" t="s">
        <v>675</v>
      </c>
      <c r="B38" s="158"/>
      <c r="C38" s="158"/>
      <c r="D38" s="158"/>
      <c r="E38" s="158"/>
      <c r="F38" s="159">
        <v>242</v>
      </c>
      <c r="G38" s="158"/>
      <c r="H38" s="158"/>
      <c r="I38" s="158"/>
      <c r="J38" s="158"/>
      <c r="K38" s="158"/>
      <c r="L38" s="158"/>
      <c r="M38" s="158"/>
      <c r="N38" s="159">
        <v>20</v>
      </c>
      <c r="O38" s="158"/>
      <c r="P38" s="158"/>
      <c r="Q38" s="158"/>
      <c r="R38" s="158"/>
      <c r="S38" s="158"/>
      <c r="T38" s="158"/>
      <c r="U38" s="158"/>
      <c r="V38" s="158"/>
      <c r="W38" s="158"/>
      <c r="X38" s="158"/>
      <c r="Y38" s="158"/>
      <c r="Z38" s="158"/>
      <c r="AA38" s="158"/>
      <c r="AB38" s="158"/>
      <c r="AC38" s="158"/>
      <c r="AD38" s="158"/>
      <c r="AE38" s="158"/>
      <c r="AF38" s="158"/>
      <c r="AG38" s="158"/>
      <c r="AH38" s="158"/>
      <c r="AI38" s="158"/>
      <c r="AJ38" s="158"/>
      <c r="AK38" s="158"/>
      <c r="AL38" s="158"/>
      <c r="AM38" s="158"/>
      <c r="AN38" s="159">
        <v>100</v>
      </c>
      <c r="AO38" s="159">
        <v>222</v>
      </c>
      <c r="AP38" s="160">
        <v>0.4</v>
      </c>
      <c r="AQ38" s="160">
        <v>1</v>
      </c>
      <c r="AR38" s="158"/>
      <c r="AS38" s="158"/>
      <c r="AT38" s="158"/>
      <c r="AU38" s="158"/>
      <c r="AV38" s="158"/>
      <c r="AW38" s="158"/>
      <c r="AX38" s="158"/>
      <c r="AY38" s="158"/>
      <c r="AZ38" s="158"/>
      <c r="BA38" s="158"/>
    </row>
    <row r="39" spans="1:53" s="200" customFormat="1">
      <c r="A39" s="158" t="s">
        <v>731</v>
      </c>
      <c r="B39" s="158"/>
      <c r="C39" s="158"/>
      <c r="D39" s="158"/>
      <c r="E39" s="159"/>
      <c r="F39" s="206">
        <v>228</v>
      </c>
      <c r="G39" s="206"/>
      <c r="H39" s="206"/>
      <c r="I39" s="206"/>
      <c r="J39" s="206">
        <v>20</v>
      </c>
      <c r="K39" s="206"/>
      <c r="L39" s="206"/>
      <c r="M39" s="206"/>
      <c r="N39" s="206">
        <v>27</v>
      </c>
      <c r="O39" s="206">
        <v>27</v>
      </c>
      <c r="P39" s="206"/>
      <c r="Q39" s="206">
        <v>50</v>
      </c>
      <c r="R39" s="204"/>
      <c r="S39" s="204"/>
      <c r="T39" s="204"/>
      <c r="U39" s="204"/>
      <c r="V39" s="204"/>
      <c r="W39" s="204"/>
      <c r="X39" s="204"/>
      <c r="Y39" s="204"/>
      <c r="Z39" s="204"/>
      <c r="AA39" s="204"/>
      <c r="AB39" s="204"/>
      <c r="AC39" s="205">
        <v>0.03</v>
      </c>
      <c r="AD39" s="158"/>
      <c r="AE39" s="158"/>
      <c r="AF39" s="158"/>
      <c r="AG39" s="158"/>
      <c r="AH39" s="158"/>
      <c r="AI39" s="158"/>
      <c r="AJ39" s="158"/>
      <c r="AK39" s="158"/>
      <c r="AL39" s="158"/>
      <c r="AM39" s="158"/>
      <c r="AN39" s="159">
        <v>123</v>
      </c>
      <c r="AO39" s="159">
        <v>190</v>
      </c>
      <c r="AP39" s="161"/>
      <c r="AQ39" s="161"/>
      <c r="AR39" s="158"/>
      <c r="AS39" s="158"/>
      <c r="AT39" s="158"/>
      <c r="AU39" s="158"/>
      <c r="AV39" s="158"/>
      <c r="AW39" s="158"/>
      <c r="AX39" s="158"/>
      <c r="AY39" s="158"/>
      <c r="AZ39" s="158"/>
      <c r="BA39" s="158"/>
    </row>
    <row r="40" spans="1:53">
      <c r="A40" s="158" t="s">
        <v>610</v>
      </c>
      <c r="B40" s="158"/>
      <c r="C40" s="158"/>
      <c r="D40" s="158"/>
      <c r="E40" s="158"/>
      <c r="F40" s="159">
        <v>188</v>
      </c>
      <c r="G40" s="158"/>
      <c r="H40" s="159">
        <v>12</v>
      </c>
      <c r="I40" s="158"/>
      <c r="J40" s="159">
        <v>12</v>
      </c>
      <c r="K40" s="158"/>
      <c r="L40" s="158"/>
      <c r="M40" s="158"/>
      <c r="N40" s="158"/>
      <c r="O40" s="158"/>
      <c r="P40" s="158"/>
      <c r="Q40" s="158"/>
      <c r="R40" s="158"/>
      <c r="S40" s="158"/>
      <c r="T40" s="158"/>
      <c r="U40" s="158"/>
      <c r="V40" s="158"/>
      <c r="W40" s="158"/>
      <c r="X40" s="158"/>
      <c r="Y40" s="158"/>
      <c r="Z40" s="158"/>
      <c r="AA40" s="158"/>
      <c r="AB40" s="158"/>
      <c r="AC40" s="160">
        <v>0.06</v>
      </c>
      <c r="AD40" s="158"/>
      <c r="AE40" s="158"/>
      <c r="AF40" s="158"/>
      <c r="AG40" s="158"/>
      <c r="AH40" s="158"/>
      <c r="AI40" s="158"/>
      <c r="AJ40" s="158"/>
      <c r="AK40" s="158"/>
      <c r="AL40" s="158"/>
      <c r="AM40" s="158"/>
      <c r="AN40" s="159">
        <v>110</v>
      </c>
      <c r="AO40" s="159">
        <v>227</v>
      </c>
      <c r="AP40" s="160">
        <v>0.4</v>
      </c>
      <c r="AQ40" s="160">
        <v>1</v>
      </c>
      <c r="AR40" s="158"/>
      <c r="AS40" s="158"/>
      <c r="AT40" s="158"/>
      <c r="AU40" s="158"/>
      <c r="AV40" s="158"/>
      <c r="AW40" s="158"/>
      <c r="AX40" s="158"/>
      <c r="AY40" s="158"/>
      <c r="AZ40" s="158"/>
      <c r="BA40" s="158"/>
    </row>
    <row r="41" spans="1:53">
      <c r="A41" s="158" t="s">
        <v>609</v>
      </c>
      <c r="B41" s="158"/>
      <c r="C41" s="158"/>
      <c r="D41" s="158"/>
      <c r="E41" s="158"/>
      <c r="F41" s="159">
        <v>188</v>
      </c>
      <c r="G41" s="158"/>
      <c r="H41" s="159">
        <v>12</v>
      </c>
      <c r="I41" s="158"/>
      <c r="J41" s="159">
        <v>12</v>
      </c>
      <c r="K41" s="158"/>
      <c r="L41" s="158"/>
      <c r="M41" s="158"/>
      <c r="N41" s="158"/>
      <c r="O41" s="158"/>
      <c r="P41" s="158"/>
      <c r="Q41" s="158"/>
      <c r="R41" s="158"/>
      <c r="S41" s="158"/>
      <c r="T41" s="158"/>
      <c r="U41" s="158"/>
      <c r="V41" s="158"/>
      <c r="W41" s="158"/>
      <c r="X41" s="158"/>
      <c r="Y41" s="158"/>
      <c r="Z41" s="158"/>
      <c r="AA41" s="158"/>
      <c r="AB41" s="158"/>
      <c r="AC41" s="160">
        <v>0.02</v>
      </c>
      <c r="AD41" s="158"/>
      <c r="AE41" s="158"/>
      <c r="AF41" s="158"/>
      <c r="AG41" s="158"/>
      <c r="AH41" s="160">
        <v>0.02</v>
      </c>
      <c r="AI41" s="158"/>
      <c r="AJ41" s="158"/>
      <c r="AK41" s="158"/>
      <c r="AL41" s="158"/>
      <c r="AM41" s="158"/>
      <c r="AN41" s="159">
        <v>110</v>
      </c>
      <c r="AO41" s="159">
        <v>227</v>
      </c>
      <c r="AP41" s="160">
        <v>0.4</v>
      </c>
      <c r="AQ41" s="160">
        <v>1</v>
      </c>
      <c r="AR41" s="158"/>
      <c r="AS41" s="158"/>
      <c r="AT41" s="158"/>
      <c r="AU41" s="158"/>
      <c r="AV41" s="158"/>
      <c r="AW41" s="158"/>
      <c r="AX41" s="158"/>
      <c r="AY41" s="158"/>
      <c r="AZ41" s="158"/>
      <c r="BA41" s="158"/>
    </row>
    <row r="42" spans="1:53">
      <c r="A42" s="158"/>
      <c r="B42" s="158"/>
      <c r="C42" s="158"/>
      <c r="D42" s="158"/>
      <c r="E42" s="158"/>
      <c r="F42" s="158"/>
      <c r="G42" s="158"/>
      <c r="H42" s="158"/>
      <c r="I42" s="158"/>
      <c r="J42" s="158"/>
      <c r="K42" s="158"/>
      <c r="L42" s="158"/>
      <c r="M42" s="158"/>
      <c r="N42" s="158"/>
      <c r="O42" s="158"/>
      <c r="P42" s="158"/>
      <c r="Q42" s="158"/>
      <c r="R42" s="158"/>
      <c r="S42" s="158"/>
      <c r="T42" s="158"/>
      <c r="U42" s="158"/>
      <c r="V42" s="158"/>
      <c r="W42" s="158"/>
      <c r="X42" s="158"/>
      <c r="Y42" s="158"/>
      <c r="Z42" s="158"/>
      <c r="AA42" s="158"/>
      <c r="AB42" s="158"/>
      <c r="AC42" s="158"/>
      <c r="AD42" s="158"/>
      <c r="AE42" s="158"/>
      <c r="AF42" s="158"/>
      <c r="AG42" s="158"/>
      <c r="AH42" s="158"/>
      <c r="AI42" s="158"/>
      <c r="AJ42" s="158"/>
      <c r="AK42" s="158"/>
      <c r="AL42" s="158"/>
      <c r="AM42" s="158"/>
      <c r="AN42" s="158"/>
      <c r="AO42" s="158"/>
      <c r="AP42" s="158"/>
      <c r="AQ42" s="158"/>
      <c r="AR42" s="158"/>
      <c r="AS42" s="158"/>
      <c r="AT42" s="158"/>
      <c r="AU42" s="158"/>
      <c r="AV42" s="158"/>
      <c r="AW42" s="158"/>
      <c r="AX42" s="158"/>
      <c r="AY42" s="158"/>
      <c r="AZ42" s="158"/>
      <c r="BA42" s="158"/>
    </row>
    <row r="43" spans="1:53">
      <c r="A43" s="158"/>
      <c r="B43" s="158"/>
      <c r="C43" s="158"/>
      <c r="D43" s="158"/>
      <c r="E43" s="158"/>
      <c r="F43" s="158"/>
      <c r="G43" s="158"/>
      <c r="H43" s="158"/>
      <c r="I43" s="158"/>
      <c r="J43" s="158"/>
      <c r="K43" s="158"/>
      <c r="L43" s="158"/>
      <c r="M43" s="158"/>
      <c r="N43" s="158"/>
      <c r="O43" s="158"/>
      <c r="P43" s="158"/>
      <c r="Q43" s="158"/>
      <c r="R43" s="158"/>
      <c r="S43" s="158"/>
      <c r="T43" s="158"/>
      <c r="U43" s="158"/>
      <c r="V43" s="158"/>
      <c r="W43" s="158"/>
      <c r="X43" s="158"/>
      <c r="Y43" s="158"/>
      <c r="Z43" s="158"/>
      <c r="AA43" s="158"/>
      <c r="AB43" s="158"/>
      <c r="AC43" s="158"/>
      <c r="AD43" s="158"/>
      <c r="AE43" s="158"/>
      <c r="AF43" s="158"/>
      <c r="AG43" s="158"/>
      <c r="AH43" s="158"/>
      <c r="AI43" s="158"/>
      <c r="AJ43" s="158"/>
      <c r="AK43" s="158"/>
      <c r="AL43" s="158"/>
      <c r="AM43" s="158"/>
      <c r="AN43" s="158"/>
      <c r="AO43" s="158"/>
      <c r="AP43" s="158"/>
      <c r="AQ43" s="158"/>
      <c r="AR43" s="158"/>
      <c r="AS43" s="158"/>
      <c r="AT43" s="158"/>
      <c r="AU43" s="158"/>
      <c r="AV43" s="158"/>
      <c r="AW43" s="158"/>
      <c r="AX43" s="158"/>
      <c r="AY43" s="158"/>
      <c r="AZ43" s="158"/>
      <c r="BA43" s="158"/>
    </row>
    <row r="44" spans="1:53">
      <c r="A44" s="31" t="s">
        <v>523</v>
      </c>
      <c r="B44" t="s">
        <v>30</v>
      </c>
      <c r="C44" t="s">
        <v>518</v>
      </c>
      <c r="D44" t="s">
        <v>652</v>
      </c>
      <c r="E44" t="s">
        <v>484</v>
      </c>
      <c r="F44" s="31" t="s">
        <v>511</v>
      </c>
      <c r="G44" t="s">
        <v>3</v>
      </c>
      <c r="H44" t="s">
        <v>4</v>
      </c>
      <c r="I44" t="s">
        <v>5</v>
      </c>
      <c r="J44" t="s">
        <v>42</v>
      </c>
      <c r="K44" t="s">
        <v>208</v>
      </c>
      <c r="L44" t="s">
        <v>209</v>
      </c>
      <c r="M44" t="s">
        <v>210</v>
      </c>
      <c r="N44" t="s">
        <v>10</v>
      </c>
      <c r="O44" t="s">
        <v>9</v>
      </c>
      <c r="P44" t="s">
        <v>479</v>
      </c>
      <c r="Q44" t="s">
        <v>635</v>
      </c>
      <c r="R44" t="s">
        <v>636</v>
      </c>
      <c r="S44" t="s">
        <v>637</v>
      </c>
      <c r="T44" s="35" t="s">
        <v>638</v>
      </c>
      <c r="U44" s="145" t="s">
        <v>639</v>
      </c>
      <c r="V44" t="s">
        <v>12</v>
      </c>
      <c r="W44" t="s">
        <v>152</v>
      </c>
      <c r="X44" t="s">
        <v>345</v>
      </c>
      <c r="Y44" t="s">
        <v>480</v>
      </c>
      <c r="Z44" t="s">
        <v>481</v>
      </c>
      <c r="AA44" t="s">
        <v>122</v>
      </c>
      <c r="AB44" t="s">
        <v>11</v>
      </c>
      <c r="AC44" t="s">
        <v>119</v>
      </c>
      <c r="AD44" t="s">
        <v>118</v>
      </c>
      <c r="AE44" t="s">
        <v>13</v>
      </c>
      <c r="AF44" t="s">
        <v>116</v>
      </c>
      <c r="AG44" t="s">
        <v>289</v>
      </c>
      <c r="AH44" t="s">
        <v>163</v>
      </c>
      <c r="AI44" s="35" t="s">
        <v>457</v>
      </c>
      <c r="AJ44" s="35" t="s">
        <v>458</v>
      </c>
      <c r="AK44" s="145" t="s">
        <v>433</v>
      </c>
      <c r="AL44" t="s">
        <v>339</v>
      </c>
      <c r="AM44" s="145" t="s">
        <v>649</v>
      </c>
      <c r="AN44" t="s">
        <v>61</v>
      </c>
      <c r="AO44" t="s">
        <v>62</v>
      </c>
      <c r="AP44" t="s">
        <v>390</v>
      </c>
      <c r="AQ44" t="s">
        <v>382</v>
      </c>
      <c r="AR44" t="s">
        <v>383</v>
      </c>
      <c r="AS44" t="s">
        <v>384</v>
      </c>
      <c r="AT44" t="s">
        <v>385</v>
      </c>
      <c r="AU44" t="s">
        <v>386</v>
      </c>
      <c r="AV44" t="s">
        <v>387</v>
      </c>
      <c r="AW44" t="s">
        <v>388</v>
      </c>
      <c r="AX44" t="s">
        <v>439</v>
      </c>
      <c r="AY44" t="s">
        <v>440</v>
      </c>
      <c r="AZ44" t="s">
        <v>441</v>
      </c>
      <c r="BA44" t="s">
        <v>442</v>
      </c>
    </row>
    <row r="45" spans="1:53">
      <c r="A45" s="31" t="s">
        <v>54</v>
      </c>
      <c r="V45" s="2"/>
      <c r="W45" s="2"/>
      <c r="X45" s="2"/>
      <c r="Y45" s="2"/>
      <c r="Z45" s="2"/>
      <c r="AA45" s="2"/>
      <c r="AB45" s="35"/>
      <c r="AC45" s="2"/>
      <c r="AD45" s="2"/>
      <c r="AF45" s="35"/>
      <c r="AG45" s="35"/>
      <c r="AH45" s="2"/>
      <c r="AL45" s="35"/>
      <c r="AN45">
        <v>0</v>
      </c>
      <c r="AO45">
        <v>0</v>
      </c>
    </row>
    <row r="46" spans="1:53" s="200" customFormat="1">
      <c r="A46" s="202" t="s">
        <v>812</v>
      </c>
      <c r="F46" s="200">
        <v>242</v>
      </c>
      <c r="H46" s="200">
        <v>11</v>
      </c>
      <c r="J46" s="200">
        <v>11</v>
      </c>
      <c r="M46" s="200">
        <v>11</v>
      </c>
      <c r="N46" s="200">
        <v>15</v>
      </c>
      <c r="V46" s="201"/>
      <c r="W46" s="201"/>
      <c r="X46" s="201"/>
      <c r="Y46" s="201"/>
      <c r="Z46" s="201"/>
      <c r="AA46" s="201"/>
      <c r="AB46" s="203"/>
      <c r="AC46" s="201">
        <v>0.03</v>
      </c>
      <c r="AD46" s="201"/>
      <c r="AF46" s="203"/>
      <c r="AG46" s="203"/>
      <c r="AH46" s="201"/>
      <c r="AI46" s="203"/>
      <c r="AJ46" s="203"/>
      <c r="AK46" s="203"/>
      <c r="AL46" s="203"/>
      <c r="AM46" s="203"/>
      <c r="AN46" s="200">
        <v>95</v>
      </c>
      <c r="AO46" s="200">
        <v>178</v>
      </c>
    </row>
    <row r="47" spans="1:53" s="200" customFormat="1">
      <c r="A47" s="202" t="s">
        <v>891</v>
      </c>
      <c r="F47" s="200">
        <v>242</v>
      </c>
      <c r="N47" s="200">
        <v>20</v>
      </c>
      <c r="V47" s="201"/>
      <c r="W47" s="201"/>
      <c r="X47" s="201"/>
      <c r="Y47" s="201"/>
      <c r="Z47" s="201"/>
      <c r="AA47" s="201"/>
      <c r="AB47" s="203"/>
      <c r="AC47" s="201"/>
      <c r="AD47" s="201"/>
      <c r="AF47" s="203"/>
      <c r="AG47" s="203"/>
      <c r="AH47" s="201"/>
      <c r="AI47" s="203"/>
      <c r="AJ47" s="203"/>
      <c r="AK47" s="203"/>
      <c r="AL47" s="203"/>
      <c r="AM47" s="203"/>
      <c r="AN47" s="200">
        <v>93</v>
      </c>
      <c r="AO47" s="200">
        <v>189</v>
      </c>
      <c r="AP47" s="89">
        <v>0.4</v>
      </c>
      <c r="AQ47" s="89">
        <v>1</v>
      </c>
    </row>
    <row r="48" spans="1:53" s="200" customFormat="1">
      <c r="A48" s="200" t="s">
        <v>813</v>
      </c>
      <c r="F48" s="200">
        <v>242</v>
      </c>
      <c r="K48" s="200">
        <v>10</v>
      </c>
      <c r="S48" s="200">
        <v>35</v>
      </c>
      <c r="T48" s="200">
        <v>44</v>
      </c>
      <c r="U48" s="200">
        <v>118</v>
      </c>
      <c r="V48" s="201"/>
      <c r="W48" s="201"/>
      <c r="X48" s="201"/>
      <c r="Y48" s="201"/>
      <c r="Z48" s="201"/>
      <c r="AA48" s="201"/>
      <c r="AB48" s="203"/>
      <c r="AC48" s="201"/>
      <c r="AD48" s="201"/>
      <c r="AF48" s="201"/>
      <c r="AG48" s="203"/>
      <c r="AH48" s="201"/>
      <c r="AI48" s="203"/>
      <c r="AJ48" s="203"/>
      <c r="AK48" s="203"/>
      <c r="AL48" s="201"/>
      <c r="AM48" s="203"/>
      <c r="AN48" s="200">
        <v>94</v>
      </c>
      <c r="AO48" s="200">
        <v>201</v>
      </c>
    </row>
    <row r="49" spans="1:53" s="200" customFormat="1">
      <c r="A49" s="200" t="s">
        <v>840</v>
      </c>
      <c r="F49" s="200">
        <v>242</v>
      </c>
      <c r="G49" s="200">
        <v>13</v>
      </c>
      <c r="H49" s="200">
        <v>13</v>
      </c>
      <c r="I49" s="200">
        <v>13</v>
      </c>
      <c r="J49" s="200">
        <v>13</v>
      </c>
      <c r="K49" s="200">
        <v>13</v>
      </c>
      <c r="L49" s="200">
        <v>13</v>
      </c>
      <c r="M49" s="200">
        <v>13</v>
      </c>
      <c r="N49" s="200">
        <v>13</v>
      </c>
      <c r="O49" s="200">
        <v>13</v>
      </c>
      <c r="V49" s="201"/>
      <c r="W49" s="201"/>
      <c r="X49" s="201"/>
      <c r="Y49" s="201"/>
      <c r="Z49" s="201"/>
      <c r="AA49" s="201"/>
      <c r="AB49" s="203"/>
      <c r="AC49" s="201"/>
      <c r="AD49" s="201"/>
      <c r="AF49" s="201"/>
      <c r="AG49" s="203"/>
      <c r="AH49" s="201"/>
      <c r="AI49" s="203"/>
      <c r="AJ49" s="203"/>
      <c r="AK49" s="203"/>
      <c r="AL49" s="201"/>
      <c r="AM49" s="203"/>
      <c r="AN49" s="200">
        <v>113</v>
      </c>
      <c r="AO49" s="200">
        <v>208</v>
      </c>
    </row>
    <row r="50" spans="1:53">
      <c r="A50" t="s">
        <v>584</v>
      </c>
      <c r="F50">
        <v>242</v>
      </c>
      <c r="J50">
        <v>4</v>
      </c>
      <c r="V50" s="2"/>
      <c r="W50" s="2"/>
      <c r="X50" s="2"/>
      <c r="Y50" s="2"/>
      <c r="Z50" s="2"/>
      <c r="AA50" s="2"/>
      <c r="AB50" s="35"/>
      <c r="AC50" s="2"/>
      <c r="AD50" s="2"/>
      <c r="AF50" s="2"/>
      <c r="AG50" s="35"/>
      <c r="AH50" s="2"/>
      <c r="AL50" s="2"/>
      <c r="AN50">
        <v>101</v>
      </c>
      <c r="AO50">
        <v>196</v>
      </c>
    </row>
    <row r="51" spans="1:53">
      <c r="A51" s="31" t="s">
        <v>585</v>
      </c>
      <c r="F51">
        <v>242</v>
      </c>
      <c r="G51">
        <v>7</v>
      </c>
      <c r="J51">
        <v>4</v>
      </c>
      <c r="O51">
        <v>10</v>
      </c>
      <c r="V51" s="2"/>
      <c r="W51" s="2"/>
      <c r="X51" s="2"/>
      <c r="Y51" s="2"/>
      <c r="Z51" s="2"/>
      <c r="AA51" s="2"/>
      <c r="AB51" s="35"/>
      <c r="AC51" s="2"/>
      <c r="AD51" s="2"/>
      <c r="AF51" s="2"/>
      <c r="AG51" s="35"/>
      <c r="AH51" s="2"/>
      <c r="AL51" s="2"/>
      <c r="AN51">
        <v>104</v>
      </c>
      <c r="AO51">
        <v>196</v>
      </c>
    </row>
    <row r="52" spans="1:53">
      <c r="A52" s="31" t="s">
        <v>586</v>
      </c>
      <c r="F52">
        <v>242</v>
      </c>
      <c r="H52">
        <v>7</v>
      </c>
      <c r="J52">
        <v>4</v>
      </c>
      <c r="N52">
        <v>10</v>
      </c>
      <c r="V52" s="2"/>
      <c r="W52" s="2"/>
      <c r="X52" s="2"/>
      <c r="Y52" s="2"/>
      <c r="Z52" s="2"/>
      <c r="AA52" s="2"/>
      <c r="AB52" s="35"/>
      <c r="AC52" s="2"/>
      <c r="AD52" s="2"/>
      <c r="AF52" s="2"/>
      <c r="AG52" s="35"/>
      <c r="AH52" s="2"/>
      <c r="AL52" s="2"/>
      <c r="AN52">
        <v>104</v>
      </c>
      <c r="AO52">
        <v>196</v>
      </c>
    </row>
    <row r="53" spans="1:53">
      <c r="A53" s="31" t="s">
        <v>587</v>
      </c>
      <c r="F53">
        <v>242</v>
      </c>
      <c r="J53">
        <v>4</v>
      </c>
      <c r="O53">
        <v>10</v>
      </c>
      <c r="V53" s="2">
        <v>0.03</v>
      </c>
      <c r="W53" s="2"/>
      <c r="X53" s="2"/>
      <c r="Y53" s="2"/>
      <c r="Z53" s="2"/>
      <c r="AA53" s="2"/>
      <c r="AB53" s="35"/>
      <c r="AC53" s="2"/>
      <c r="AD53" s="2"/>
      <c r="AF53" s="2"/>
      <c r="AG53" s="35"/>
      <c r="AH53" s="2"/>
      <c r="AL53" s="2"/>
      <c r="AN53">
        <v>101</v>
      </c>
      <c r="AO53">
        <v>196</v>
      </c>
    </row>
    <row r="54" spans="1:53" s="200" customFormat="1">
      <c r="A54" s="202" t="s">
        <v>875</v>
      </c>
      <c r="F54" s="200">
        <v>250</v>
      </c>
      <c r="H54" s="200">
        <v>15</v>
      </c>
      <c r="K54" s="200">
        <v>15</v>
      </c>
      <c r="L54" s="200">
        <v>15</v>
      </c>
      <c r="N54" s="200">
        <v>40</v>
      </c>
      <c r="O54" s="200">
        <v>30</v>
      </c>
      <c r="S54" s="200">
        <v>40</v>
      </c>
      <c r="T54" s="200">
        <v>16</v>
      </c>
      <c r="U54" s="200">
        <v>217</v>
      </c>
      <c r="V54" s="201"/>
      <c r="W54" s="201"/>
      <c r="X54" s="201"/>
      <c r="Y54" s="201"/>
      <c r="Z54" s="201"/>
      <c r="AA54" s="201"/>
      <c r="AB54" s="203"/>
      <c r="AC54" s="201"/>
      <c r="AD54" s="201"/>
      <c r="AF54" s="201"/>
      <c r="AG54" s="203"/>
      <c r="AH54" s="201"/>
      <c r="AI54" s="203"/>
      <c r="AJ54" s="203"/>
      <c r="AK54" s="203"/>
      <c r="AL54" s="201"/>
      <c r="AM54" s="203"/>
      <c r="AN54" s="200">
        <v>125</v>
      </c>
      <c r="AO54" s="200">
        <v>180</v>
      </c>
    </row>
    <row r="55" spans="1:53" s="200" customFormat="1">
      <c r="A55" s="202" t="s">
        <v>899</v>
      </c>
      <c r="F55" s="200">
        <v>228</v>
      </c>
      <c r="J55" s="200">
        <v>15</v>
      </c>
      <c r="N55" s="200">
        <v>67</v>
      </c>
      <c r="S55" s="200">
        <v>40</v>
      </c>
      <c r="V55" s="201"/>
      <c r="W55" s="201">
        <v>0.04</v>
      </c>
      <c r="X55" s="201"/>
      <c r="Y55" s="201"/>
      <c r="Z55" s="201"/>
      <c r="AA55" s="201"/>
      <c r="AC55" s="201"/>
      <c r="AD55" s="201"/>
      <c r="AF55" s="201"/>
      <c r="AH55" s="201">
        <v>0.05</v>
      </c>
      <c r="AL55" s="201"/>
      <c r="AN55" s="200">
        <v>117</v>
      </c>
      <c r="AO55" s="200">
        <v>175</v>
      </c>
    </row>
    <row r="58" spans="1:53">
      <c r="A58" s="31" t="s">
        <v>661</v>
      </c>
      <c r="B58" t="s">
        <v>30</v>
      </c>
      <c r="C58" t="s">
        <v>518</v>
      </c>
      <c r="D58" t="s">
        <v>652</v>
      </c>
      <c r="E58" t="s">
        <v>484</v>
      </c>
      <c r="F58" s="31" t="s">
        <v>511</v>
      </c>
      <c r="G58" t="s">
        <v>3</v>
      </c>
      <c r="H58" t="s">
        <v>4</v>
      </c>
      <c r="I58" t="s">
        <v>5</v>
      </c>
      <c r="J58" t="s">
        <v>42</v>
      </c>
      <c r="K58" t="s">
        <v>208</v>
      </c>
      <c r="L58" t="s">
        <v>209</v>
      </c>
      <c r="M58" t="s">
        <v>210</v>
      </c>
      <c r="N58" t="s">
        <v>10</v>
      </c>
      <c r="O58" t="s">
        <v>9</v>
      </c>
      <c r="P58" t="s">
        <v>479</v>
      </c>
      <c r="Q58" t="s">
        <v>635</v>
      </c>
      <c r="R58" t="s">
        <v>636</v>
      </c>
      <c r="S58" t="s">
        <v>637</v>
      </c>
      <c r="T58" s="35" t="s">
        <v>638</v>
      </c>
      <c r="U58" s="145" t="s">
        <v>639</v>
      </c>
      <c r="V58" t="s">
        <v>12</v>
      </c>
      <c r="W58" t="s">
        <v>152</v>
      </c>
      <c r="X58" t="s">
        <v>345</v>
      </c>
      <c r="Y58" t="s">
        <v>480</v>
      </c>
      <c r="Z58" t="s">
        <v>481</v>
      </c>
      <c r="AA58" t="s">
        <v>122</v>
      </c>
      <c r="AB58" t="s">
        <v>11</v>
      </c>
      <c r="AC58" t="s">
        <v>119</v>
      </c>
      <c r="AD58" t="s">
        <v>118</v>
      </c>
      <c r="AE58" t="s">
        <v>13</v>
      </c>
      <c r="AF58" t="s">
        <v>116</v>
      </c>
      <c r="AG58" t="s">
        <v>289</v>
      </c>
      <c r="AH58" t="s">
        <v>163</v>
      </c>
      <c r="AI58" s="35" t="s">
        <v>457</v>
      </c>
      <c r="AJ58" s="35" t="s">
        <v>458</v>
      </c>
      <c r="AK58" s="145" t="s">
        <v>433</v>
      </c>
      <c r="AL58" t="s">
        <v>339</v>
      </c>
      <c r="AM58" s="145" t="s">
        <v>649</v>
      </c>
      <c r="AN58" t="s">
        <v>61</v>
      </c>
      <c r="AO58" t="s">
        <v>62</v>
      </c>
      <c r="AP58" t="s">
        <v>390</v>
      </c>
      <c r="AQ58" t="s">
        <v>382</v>
      </c>
      <c r="AR58" t="s">
        <v>383</v>
      </c>
      <c r="AS58" t="s">
        <v>384</v>
      </c>
      <c r="AT58" t="s">
        <v>385</v>
      </c>
      <c r="AU58" t="s">
        <v>386</v>
      </c>
      <c r="AV58" t="s">
        <v>387</v>
      </c>
      <c r="AW58" t="s">
        <v>388</v>
      </c>
      <c r="AX58" t="s">
        <v>439</v>
      </c>
      <c r="AY58" t="s">
        <v>440</v>
      </c>
      <c r="AZ58" t="s">
        <v>441</v>
      </c>
      <c r="BA58" t="s">
        <v>442</v>
      </c>
    </row>
    <row r="59" spans="1:53">
      <c r="A59" s="31" t="s">
        <v>54</v>
      </c>
      <c r="V59" s="2"/>
      <c r="W59" s="2"/>
      <c r="X59" s="2"/>
      <c r="Y59" s="2"/>
      <c r="Z59" s="2"/>
      <c r="AA59" s="2"/>
      <c r="AB59" s="35"/>
      <c r="AC59" s="2"/>
      <c r="AD59" s="2"/>
      <c r="AF59" s="35"/>
      <c r="AG59" s="35"/>
      <c r="AH59" s="2"/>
      <c r="AL59" s="35"/>
      <c r="AN59">
        <v>0</v>
      </c>
      <c r="AO59">
        <v>0</v>
      </c>
    </row>
    <row r="60" spans="1:53">
      <c r="A60" s="31" t="s">
        <v>541</v>
      </c>
      <c r="F60">
        <v>215</v>
      </c>
      <c r="Q60">
        <v>5</v>
      </c>
      <c r="V60" s="2"/>
      <c r="W60" s="2"/>
      <c r="X60" s="2"/>
      <c r="Y60" s="2"/>
      <c r="Z60" s="2"/>
      <c r="AA60" s="2"/>
      <c r="AB60" s="35"/>
      <c r="AC60" s="2"/>
      <c r="AD60" s="2"/>
      <c r="AF60" s="35"/>
      <c r="AG60" s="35"/>
      <c r="AH60" s="2"/>
      <c r="AL60" s="35"/>
      <c r="AN60">
        <v>90</v>
      </c>
      <c r="AO60">
        <v>192</v>
      </c>
    </row>
    <row r="61" spans="1:53">
      <c r="A61" s="31" t="s">
        <v>657</v>
      </c>
      <c r="F61">
        <v>215</v>
      </c>
      <c r="N61">
        <v>5</v>
      </c>
      <c r="O61">
        <v>5</v>
      </c>
      <c r="Q61">
        <v>10</v>
      </c>
      <c r="V61" s="2"/>
      <c r="W61" s="2"/>
      <c r="X61" s="2"/>
      <c r="Y61" s="2"/>
      <c r="Z61" s="2"/>
      <c r="AA61" s="2"/>
      <c r="AB61" s="35"/>
      <c r="AC61" s="2">
        <v>0.01</v>
      </c>
      <c r="AD61" s="2"/>
      <c r="AF61" s="35"/>
      <c r="AG61" s="35"/>
      <c r="AH61" s="2"/>
      <c r="AL61" s="35"/>
      <c r="AN61">
        <v>98</v>
      </c>
      <c r="AO61">
        <v>192</v>
      </c>
    </row>
    <row r="62" spans="1:53">
      <c r="A62" s="31" t="s">
        <v>658</v>
      </c>
      <c r="F62">
        <v>228</v>
      </c>
      <c r="N62">
        <v>6</v>
      </c>
      <c r="O62">
        <v>6</v>
      </c>
      <c r="Q62">
        <v>11</v>
      </c>
      <c r="V62" s="2"/>
      <c r="W62" s="2"/>
      <c r="X62" s="2"/>
      <c r="Y62" s="2"/>
      <c r="Z62" s="2"/>
      <c r="AA62" s="2"/>
      <c r="AB62" s="35"/>
      <c r="AC62" s="2">
        <v>0.02</v>
      </c>
      <c r="AD62" s="2"/>
      <c r="AF62" s="35"/>
      <c r="AG62" s="35"/>
      <c r="AH62" s="2"/>
      <c r="AL62" s="35"/>
      <c r="AN62">
        <v>99</v>
      </c>
      <c r="AO62">
        <v>192</v>
      </c>
    </row>
    <row r="63" spans="1:53">
      <c r="A63" s="31" t="s">
        <v>655</v>
      </c>
      <c r="F63">
        <v>81</v>
      </c>
      <c r="O63">
        <v>12</v>
      </c>
      <c r="Q63">
        <v>3</v>
      </c>
      <c r="V63" s="2"/>
      <c r="W63" s="2"/>
      <c r="X63" s="2"/>
      <c r="Y63" s="2"/>
      <c r="Z63" s="2"/>
      <c r="AA63" s="2"/>
      <c r="AB63" s="35"/>
      <c r="AC63" s="2"/>
      <c r="AD63" s="2"/>
      <c r="AF63" s="35"/>
      <c r="AG63" s="35"/>
      <c r="AH63" s="2"/>
      <c r="AL63" s="35"/>
      <c r="AN63">
        <v>71</v>
      </c>
      <c r="AO63">
        <v>192</v>
      </c>
    </row>
    <row r="64" spans="1:53">
      <c r="A64" s="31" t="s">
        <v>656</v>
      </c>
      <c r="F64">
        <v>94</v>
      </c>
      <c r="O64">
        <v>13</v>
      </c>
      <c r="Q64">
        <v>4</v>
      </c>
      <c r="V64" s="2"/>
      <c r="W64" s="2"/>
      <c r="X64" s="2"/>
      <c r="Y64" s="2"/>
      <c r="Z64" s="2"/>
      <c r="AA64" s="2"/>
      <c r="AB64" s="35"/>
      <c r="AC64" s="2"/>
      <c r="AD64" s="2"/>
      <c r="AF64" s="35"/>
      <c r="AG64" s="35"/>
      <c r="AH64" s="2"/>
      <c r="AL64" s="35"/>
      <c r="AN64">
        <v>72</v>
      </c>
      <c r="AO64">
        <v>192</v>
      </c>
    </row>
    <row r="65" spans="1:41" s="200" customFormat="1">
      <c r="A65" s="202" t="s">
        <v>785</v>
      </c>
      <c r="F65" s="200">
        <v>242</v>
      </c>
      <c r="O65" s="200">
        <v>13</v>
      </c>
      <c r="V65" s="201"/>
      <c r="W65" s="201"/>
      <c r="X65" s="201"/>
      <c r="Y65" s="201"/>
      <c r="Z65" s="201"/>
      <c r="AA65" s="201"/>
      <c r="AB65" s="203"/>
      <c r="AC65" s="201"/>
      <c r="AD65" s="201"/>
      <c r="AE65" s="200">
        <v>2</v>
      </c>
      <c r="AF65" s="203"/>
      <c r="AG65" s="203"/>
      <c r="AH65" s="201"/>
      <c r="AI65" s="203"/>
      <c r="AJ65" s="203"/>
      <c r="AK65" s="203"/>
      <c r="AL65" s="203"/>
      <c r="AM65" s="203"/>
      <c r="AN65" s="200">
        <v>101</v>
      </c>
      <c r="AO65" s="200">
        <v>192</v>
      </c>
    </row>
    <row r="66" spans="1:41">
      <c r="A66" s="31" t="s">
        <v>659</v>
      </c>
      <c r="F66">
        <v>215</v>
      </c>
      <c r="V66" s="2"/>
      <c r="W66" s="2"/>
      <c r="X66" s="2"/>
      <c r="Y66" s="2"/>
      <c r="Z66" s="2"/>
      <c r="AA66" s="2"/>
      <c r="AB66" s="35"/>
      <c r="AC66" s="2"/>
      <c r="AD66" s="2"/>
      <c r="AF66" s="35"/>
      <c r="AG66" s="35"/>
      <c r="AH66" s="2"/>
      <c r="AL66" s="35"/>
      <c r="AN66">
        <v>92</v>
      </c>
      <c r="AO66">
        <v>192</v>
      </c>
    </row>
    <row r="67" spans="1:41">
      <c r="A67" s="31" t="s">
        <v>660</v>
      </c>
      <c r="F67">
        <v>242</v>
      </c>
      <c r="I67">
        <v>3</v>
      </c>
      <c r="J67">
        <v>3</v>
      </c>
      <c r="N67">
        <v>5</v>
      </c>
      <c r="O67">
        <v>5</v>
      </c>
      <c r="Q67">
        <v>10</v>
      </c>
      <c r="V67" s="2"/>
      <c r="W67" s="2"/>
      <c r="X67" s="2"/>
      <c r="Y67" s="2"/>
      <c r="Z67" s="2"/>
      <c r="AA67" s="2"/>
      <c r="AB67" s="35"/>
      <c r="AC67" s="2"/>
      <c r="AD67" s="2"/>
      <c r="AF67" s="35"/>
      <c r="AG67" s="35"/>
      <c r="AH67" s="2"/>
      <c r="AL67" s="35"/>
      <c r="AN67">
        <v>104</v>
      </c>
      <c r="AO67">
        <v>192</v>
      </c>
    </row>
    <row r="68" spans="1:41">
      <c r="A68" t="s">
        <v>660</v>
      </c>
      <c r="F68">
        <v>242</v>
      </c>
      <c r="I68">
        <v>3</v>
      </c>
      <c r="J68">
        <v>3</v>
      </c>
      <c r="N68">
        <v>5</v>
      </c>
      <c r="O68">
        <v>5</v>
      </c>
      <c r="Q68">
        <v>10</v>
      </c>
      <c r="AN68">
        <v>104</v>
      </c>
      <c r="AO68">
        <v>192</v>
      </c>
    </row>
    <row r="70" spans="1:41">
      <c r="A70" t="s">
        <v>128</v>
      </c>
      <c r="B70" t="s">
        <v>30</v>
      </c>
      <c r="C70" t="s">
        <v>518</v>
      </c>
      <c r="D70" t="s">
        <v>652</v>
      </c>
      <c r="E70" t="s">
        <v>484</v>
      </c>
      <c r="F70" s="31" t="s">
        <v>511</v>
      </c>
      <c r="G70" t="s">
        <v>3</v>
      </c>
      <c r="H70" t="s">
        <v>4</v>
      </c>
      <c r="I70" t="s">
        <v>5</v>
      </c>
      <c r="J70" t="s">
        <v>42</v>
      </c>
      <c r="K70" t="s">
        <v>208</v>
      </c>
      <c r="L70" t="s">
        <v>209</v>
      </c>
      <c r="M70" t="s">
        <v>210</v>
      </c>
      <c r="N70" t="s">
        <v>10</v>
      </c>
      <c r="O70" t="s">
        <v>9</v>
      </c>
      <c r="P70" t="s">
        <v>479</v>
      </c>
      <c r="Q70" t="s">
        <v>635</v>
      </c>
      <c r="R70" t="s">
        <v>636</v>
      </c>
      <c r="S70" t="s">
        <v>637</v>
      </c>
      <c r="T70" s="35" t="s">
        <v>638</v>
      </c>
      <c r="U70" s="145" t="s">
        <v>639</v>
      </c>
      <c r="V70" t="s">
        <v>12</v>
      </c>
      <c r="W70" t="s">
        <v>152</v>
      </c>
      <c r="X70" t="s">
        <v>345</v>
      </c>
      <c r="Y70" t="s">
        <v>480</v>
      </c>
      <c r="Z70" t="s">
        <v>481</v>
      </c>
      <c r="AA70" t="s">
        <v>122</v>
      </c>
      <c r="AB70" t="s">
        <v>11</v>
      </c>
      <c r="AC70" t="s">
        <v>119</v>
      </c>
      <c r="AD70" t="s">
        <v>118</v>
      </c>
      <c r="AE70" t="s">
        <v>13</v>
      </c>
      <c r="AF70" t="s">
        <v>116</v>
      </c>
      <c r="AG70" t="s">
        <v>289</v>
      </c>
      <c r="AH70" t="s">
        <v>163</v>
      </c>
      <c r="AI70" s="35" t="s">
        <v>457</v>
      </c>
      <c r="AJ70" s="35" t="s">
        <v>458</v>
      </c>
      <c r="AK70" s="145" t="s">
        <v>433</v>
      </c>
      <c r="AL70" t="s">
        <v>339</v>
      </c>
      <c r="AM70" s="145" t="s">
        <v>649</v>
      </c>
    </row>
    <row r="71" spans="1:41">
      <c r="A71" t="s">
        <v>302</v>
      </c>
      <c r="J71">
        <v>6</v>
      </c>
    </row>
    <row r="72" spans="1:41">
      <c r="A72" t="s">
        <v>130</v>
      </c>
      <c r="G72">
        <v>3</v>
      </c>
    </row>
    <row r="73" spans="1:41" s="200" customFormat="1">
      <c r="A73" s="200" t="s">
        <v>915</v>
      </c>
      <c r="F73" s="200">
        <v>242</v>
      </c>
      <c r="H73" s="200">
        <v>5</v>
      </c>
      <c r="J73" s="200">
        <v>6</v>
      </c>
      <c r="AC73" s="201">
        <v>0.02</v>
      </c>
    </row>
    <row r="74" spans="1:41">
      <c r="A74" t="s">
        <v>129</v>
      </c>
    </row>
    <row r="77" spans="1:41">
      <c r="A77" t="s">
        <v>15</v>
      </c>
      <c r="B77" t="s">
        <v>30</v>
      </c>
      <c r="C77" t="s">
        <v>518</v>
      </c>
      <c r="D77" t="s">
        <v>652</v>
      </c>
      <c r="E77" t="s">
        <v>484</v>
      </c>
      <c r="F77" s="31" t="s">
        <v>511</v>
      </c>
      <c r="G77" t="s">
        <v>3</v>
      </c>
      <c r="H77" t="s">
        <v>4</v>
      </c>
      <c r="I77" t="s">
        <v>5</v>
      </c>
      <c r="J77" t="s">
        <v>42</v>
      </c>
      <c r="K77" t="s">
        <v>208</v>
      </c>
      <c r="L77" t="s">
        <v>209</v>
      </c>
      <c r="M77" t="s">
        <v>210</v>
      </c>
      <c r="N77" t="s">
        <v>10</v>
      </c>
      <c r="O77" t="s">
        <v>9</v>
      </c>
      <c r="P77" t="s">
        <v>479</v>
      </c>
      <c r="Q77" t="s">
        <v>635</v>
      </c>
      <c r="R77" t="s">
        <v>636</v>
      </c>
      <c r="S77" t="s">
        <v>637</v>
      </c>
      <c r="T77" s="35" t="s">
        <v>638</v>
      </c>
      <c r="U77" s="145" t="s">
        <v>639</v>
      </c>
      <c r="V77" t="s">
        <v>12</v>
      </c>
      <c r="W77" t="s">
        <v>152</v>
      </c>
      <c r="X77" t="s">
        <v>345</v>
      </c>
      <c r="Y77" t="s">
        <v>480</v>
      </c>
      <c r="Z77" t="s">
        <v>481</v>
      </c>
      <c r="AA77" t="s">
        <v>122</v>
      </c>
      <c r="AB77" t="s">
        <v>11</v>
      </c>
      <c r="AC77" t="s">
        <v>119</v>
      </c>
      <c r="AD77" t="s">
        <v>118</v>
      </c>
      <c r="AE77" t="s">
        <v>13</v>
      </c>
      <c r="AF77" t="s">
        <v>116</v>
      </c>
      <c r="AG77" t="s">
        <v>289</v>
      </c>
      <c r="AH77" t="s">
        <v>163</v>
      </c>
      <c r="AI77" s="35" t="s">
        <v>457</v>
      </c>
      <c r="AJ77" s="35" t="s">
        <v>458</v>
      </c>
      <c r="AK77" s="145" t="s">
        <v>433</v>
      </c>
      <c r="AL77" t="s">
        <v>339</v>
      </c>
      <c r="AM77" s="145" t="s">
        <v>649</v>
      </c>
    </row>
    <row r="78" spans="1:41" s="200" customFormat="1">
      <c r="A78" s="200" t="s">
        <v>886</v>
      </c>
      <c r="F78" s="202"/>
      <c r="G78" s="200">
        <v>7</v>
      </c>
      <c r="H78" s="200">
        <v>7</v>
      </c>
      <c r="I78" s="200">
        <v>7</v>
      </c>
      <c r="O78" s="200">
        <v>10</v>
      </c>
      <c r="T78" s="203"/>
      <c r="U78" s="145"/>
      <c r="AE78" s="200">
        <v>5</v>
      </c>
      <c r="AI78" s="203"/>
      <c r="AJ78" s="203"/>
      <c r="AK78" s="145"/>
      <c r="AM78" s="145"/>
    </row>
    <row r="79" spans="1:41">
      <c r="A79" t="s">
        <v>77</v>
      </c>
      <c r="H79">
        <v>1</v>
      </c>
      <c r="N79">
        <v>4</v>
      </c>
      <c r="O79">
        <v>4</v>
      </c>
      <c r="V79" s="2"/>
      <c r="W79" s="2"/>
      <c r="X79" s="2"/>
      <c r="Y79" s="2"/>
      <c r="Z79" s="2"/>
      <c r="AA79" s="2"/>
      <c r="AB79" s="35"/>
      <c r="AC79" s="2"/>
      <c r="AD79" s="2"/>
      <c r="AF79" s="35"/>
      <c r="AG79" s="35"/>
      <c r="AH79" s="2"/>
      <c r="AL79" s="35"/>
    </row>
    <row r="80" spans="1:41">
      <c r="A80" t="s">
        <v>131</v>
      </c>
      <c r="O80">
        <v>12</v>
      </c>
      <c r="V80" s="2"/>
      <c r="W80" s="2"/>
      <c r="X80" s="2"/>
      <c r="Y80" s="2"/>
      <c r="Z80" s="2"/>
      <c r="AA80" s="2"/>
      <c r="AB80" s="35"/>
      <c r="AC80" s="2"/>
      <c r="AD80" s="2"/>
      <c r="AF80" s="35"/>
      <c r="AG80" s="35"/>
      <c r="AH80" s="2"/>
      <c r="AL80" s="35"/>
    </row>
    <row r="81" spans="1:43">
      <c r="A81" t="s">
        <v>296</v>
      </c>
      <c r="J81">
        <v>2</v>
      </c>
      <c r="V81" s="2"/>
      <c r="W81" s="2"/>
      <c r="X81" s="2"/>
      <c r="Y81" s="2"/>
      <c r="Z81" s="2"/>
      <c r="AA81" s="2"/>
      <c r="AB81" s="35"/>
      <c r="AC81" s="2"/>
      <c r="AD81" s="2"/>
      <c r="AF81" s="35"/>
      <c r="AG81" s="35"/>
      <c r="AH81" s="2"/>
      <c r="AL81" s="35"/>
    </row>
    <row r="82" spans="1:43" s="200" customFormat="1">
      <c r="A82" s="200" t="s">
        <v>876</v>
      </c>
      <c r="H82" s="200">
        <v>10</v>
      </c>
      <c r="J82" s="200">
        <v>10</v>
      </c>
      <c r="N82" s="200">
        <v>15</v>
      </c>
      <c r="V82" s="201"/>
      <c r="W82" s="201"/>
      <c r="X82" s="201"/>
      <c r="Y82" s="201"/>
      <c r="Z82" s="201"/>
      <c r="AA82" s="201"/>
      <c r="AB82" s="203"/>
      <c r="AC82" s="201"/>
      <c r="AD82" s="201"/>
      <c r="AF82" s="203"/>
      <c r="AG82" s="203"/>
      <c r="AH82" s="201"/>
      <c r="AI82" s="203"/>
      <c r="AJ82" s="203"/>
      <c r="AK82" s="203"/>
      <c r="AL82" s="203"/>
      <c r="AM82" s="203"/>
    </row>
    <row r="83" spans="1:43">
      <c r="A83" t="s">
        <v>303</v>
      </c>
      <c r="H83">
        <v>4</v>
      </c>
      <c r="V83" s="2"/>
      <c r="W83" s="2"/>
      <c r="X83" s="2"/>
      <c r="Y83" s="2"/>
      <c r="Z83" s="2"/>
      <c r="AA83" s="2"/>
      <c r="AB83" s="35"/>
      <c r="AC83" s="2"/>
      <c r="AD83" s="2"/>
      <c r="AF83" s="35"/>
      <c r="AG83" s="35"/>
      <c r="AH83" s="2"/>
      <c r="AL83" s="35"/>
    </row>
    <row r="84" spans="1:43">
      <c r="A84" t="s">
        <v>676</v>
      </c>
      <c r="G84">
        <v>3</v>
      </c>
      <c r="K84">
        <v>5</v>
      </c>
      <c r="O84">
        <v>10</v>
      </c>
      <c r="V84" s="2"/>
      <c r="W84" s="2"/>
      <c r="X84" s="2"/>
      <c r="Y84" s="2"/>
      <c r="Z84" s="2"/>
      <c r="AA84" s="2"/>
      <c r="AB84" s="35"/>
      <c r="AC84" s="2"/>
      <c r="AD84" s="2"/>
      <c r="AF84" s="35"/>
      <c r="AG84" s="35"/>
      <c r="AH84" s="2"/>
      <c r="AL84" s="35"/>
    </row>
    <row r="85" spans="1:43">
      <c r="A85" t="s">
        <v>132</v>
      </c>
      <c r="N85">
        <v>6</v>
      </c>
      <c r="O85">
        <v>6</v>
      </c>
      <c r="V85" s="2"/>
      <c r="W85" s="2"/>
      <c r="X85" s="2"/>
      <c r="Y85" s="2"/>
      <c r="Z85" s="2"/>
      <c r="AA85" s="2"/>
      <c r="AB85" s="35"/>
      <c r="AC85" s="2"/>
      <c r="AD85" s="2"/>
      <c r="AF85" s="35"/>
      <c r="AG85" s="35"/>
      <c r="AH85" s="2"/>
      <c r="AL85" s="35"/>
    </row>
    <row r="86" spans="1:43">
      <c r="A86" t="s">
        <v>295</v>
      </c>
      <c r="G86">
        <v>5</v>
      </c>
      <c r="V86" s="2"/>
      <c r="W86" s="2"/>
      <c r="X86" s="2"/>
      <c r="Y86" s="2"/>
      <c r="Z86" s="2"/>
      <c r="AA86" s="2"/>
      <c r="AB86" s="35"/>
      <c r="AC86" s="2"/>
      <c r="AD86" s="2"/>
      <c r="AF86" s="35"/>
      <c r="AG86" s="35"/>
      <c r="AH86" s="2"/>
      <c r="AL86" s="35"/>
    </row>
    <row r="87" spans="1:43">
      <c r="A87" t="s">
        <v>577</v>
      </c>
      <c r="N87">
        <v>5</v>
      </c>
      <c r="O87">
        <v>10</v>
      </c>
      <c r="V87" s="2"/>
      <c r="W87" s="2"/>
      <c r="X87" s="2"/>
      <c r="Y87" s="2"/>
      <c r="Z87" s="2"/>
      <c r="AA87" s="2"/>
      <c r="AB87" s="35"/>
      <c r="AC87" s="2"/>
      <c r="AD87" s="2"/>
      <c r="AE87">
        <v>3</v>
      </c>
      <c r="AF87" s="2"/>
      <c r="AG87" s="2"/>
      <c r="AH87" s="2"/>
      <c r="AL87" s="35"/>
      <c r="AN87" s="2"/>
      <c r="AO87" s="35"/>
    </row>
    <row r="88" spans="1:43">
      <c r="A88" s="31" t="s">
        <v>540</v>
      </c>
      <c r="H88">
        <v>4</v>
      </c>
      <c r="N88">
        <v>4</v>
      </c>
      <c r="V88" s="2"/>
      <c r="W88" s="2"/>
      <c r="X88" s="2"/>
      <c r="Y88" s="2"/>
      <c r="Z88" s="2"/>
      <c r="AA88" s="2"/>
      <c r="AB88" s="35"/>
      <c r="AC88" s="2"/>
      <c r="AD88" s="2"/>
      <c r="AF88" s="35"/>
      <c r="AG88" s="35"/>
      <c r="AH88" s="2"/>
      <c r="AL88" s="35"/>
    </row>
    <row r="89" spans="1:43">
      <c r="A89" t="s">
        <v>630</v>
      </c>
      <c r="K89">
        <v>6</v>
      </c>
      <c r="V89" s="2"/>
      <c r="W89" s="2"/>
      <c r="X89" s="2"/>
      <c r="Y89" s="2"/>
      <c r="Z89" s="2"/>
      <c r="AA89" s="2"/>
      <c r="AB89" s="35"/>
      <c r="AC89" s="2"/>
      <c r="AD89" s="2"/>
      <c r="AF89" s="35"/>
      <c r="AG89" s="35"/>
      <c r="AH89" s="2"/>
      <c r="AL89" s="2"/>
      <c r="AQ89" s="2"/>
    </row>
    <row r="90" spans="1:43" s="200" customFormat="1">
      <c r="A90" s="202" t="s">
        <v>908</v>
      </c>
      <c r="G90" s="200">
        <v>15</v>
      </c>
      <c r="N90" s="200">
        <v>13</v>
      </c>
      <c r="O90" s="200">
        <v>13</v>
      </c>
      <c r="T90" s="200">
        <v>7</v>
      </c>
      <c r="V90" s="201"/>
      <c r="W90" s="201"/>
      <c r="X90" s="201"/>
      <c r="Y90" s="201"/>
      <c r="Z90" s="201"/>
      <c r="AA90" s="201"/>
      <c r="AB90" s="201"/>
      <c r="AC90" s="201"/>
      <c r="AD90" s="201"/>
      <c r="AH90" s="201"/>
    </row>
    <row r="91" spans="1:43" s="31" customFormat="1">
      <c r="A91" s="31" t="s">
        <v>596</v>
      </c>
      <c r="J91" s="31">
        <v>3</v>
      </c>
      <c r="N91" s="31">
        <v>15</v>
      </c>
      <c r="O91" s="31">
        <v>15</v>
      </c>
      <c r="V91" s="12"/>
      <c r="W91" s="12"/>
      <c r="X91" s="12"/>
      <c r="Y91" s="12"/>
      <c r="Z91" s="12"/>
      <c r="AA91" s="12"/>
      <c r="AB91" s="50"/>
      <c r="AC91" s="12"/>
      <c r="AD91" s="12"/>
      <c r="AF91" s="50"/>
      <c r="AG91" s="12"/>
      <c r="AH91" s="12"/>
      <c r="AI91" s="50"/>
      <c r="AJ91" s="50"/>
      <c r="AK91" s="50"/>
      <c r="AL91" s="50"/>
      <c r="AM91" s="50"/>
    </row>
    <row r="92" spans="1:43" s="202" customFormat="1">
      <c r="A92" s="202" t="s">
        <v>884</v>
      </c>
      <c r="G92" s="202">
        <v>5</v>
      </c>
      <c r="H92" s="202">
        <v>5</v>
      </c>
      <c r="N92" s="202">
        <v>10</v>
      </c>
      <c r="O92" s="202">
        <v>10</v>
      </c>
      <c r="V92" s="188"/>
      <c r="W92" s="188"/>
      <c r="X92" s="188"/>
      <c r="Y92" s="188"/>
      <c r="Z92" s="188"/>
      <c r="AA92" s="188"/>
      <c r="AB92" s="191"/>
      <c r="AC92" s="188"/>
      <c r="AD92" s="188"/>
      <c r="AF92" s="191"/>
      <c r="AG92" s="188"/>
      <c r="AH92" s="188"/>
      <c r="AI92" s="191"/>
      <c r="AJ92" s="191"/>
      <c r="AK92" s="191"/>
      <c r="AL92" s="191"/>
      <c r="AM92" s="191"/>
    </row>
    <row r="93" spans="1:43">
      <c r="A93" t="s">
        <v>74</v>
      </c>
      <c r="V93" s="2"/>
      <c r="W93" s="2"/>
      <c r="X93" s="2"/>
      <c r="Y93" s="2"/>
      <c r="Z93" s="2"/>
      <c r="AA93" s="2"/>
      <c r="AB93" s="35"/>
      <c r="AC93" s="2"/>
      <c r="AD93" s="2"/>
      <c r="AE93">
        <v>2</v>
      </c>
      <c r="AF93" s="35"/>
      <c r="AG93" s="35"/>
      <c r="AH93" s="2"/>
      <c r="AL93" s="35"/>
    </row>
    <row r="94" spans="1:43" s="200" customFormat="1">
      <c r="A94" s="200" t="s">
        <v>795</v>
      </c>
      <c r="N94" s="200">
        <v>15</v>
      </c>
      <c r="O94" s="200">
        <v>15</v>
      </c>
      <c r="V94" s="201"/>
      <c r="W94" s="201"/>
      <c r="X94" s="201"/>
      <c r="Y94" s="201"/>
      <c r="Z94" s="201"/>
      <c r="AA94" s="201"/>
      <c r="AB94" s="203"/>
      <c r="AC94" s="201"/>
      <c r="AD94" s="201"/>
      <c r="AE94" s="200">
        <v>3</v>
      </c>
      <c r="AF94" s="203"/>
      <c r="AG94" s="203"/>
      <c r="AH94" s="201"/>
      <c r="AI94" s="203"/>
      <c r="AJ94" s="203"/>
      <c r="AK94" s="203"/>
      <c r="AL94" s="203"/>
      <c r="AM94" s="203"/>
    </row>
    <row r="95" spans="1:43">
      <c r="A95" t="s">
        <v>574</v>
      </c>
      <c r="V95" s="2"/>
      <c r="W95" s="2"/>
      <c r="X95" s="2"/>
      <c r="Y95" s="2"/>
      <c r="Z95" s="2"/>
      <c r="AA95" s="2"/>
      <c r="AB95" s="35"/>
      <c r="AC95" s="2">
        <v>0.01</v>
      </c>
      <c r="AD95" s="2">
        <v>0.05</v>
      </c>
      <c r="AF95" s="2"/>
      <c r="AG95" s="35"/>
      <c r="AH95" s="2"/>
      <c r="AL95" s="2"/>
    </row>
    <row r="96" spans="1:43">
      <c r="A96" t="s">
        <v>575</v>
      </c>
      <c r="V96" s="2"/>
      <c r="W96" s="2"/>
      <c r="X96" s="2"/>
      <c r="Y96" s="2"/>
      <c r="Z96" s="2"/>
      <c r="AA96" s="2"/>
      <c r="AB96" s="35"/>
      <c r="AC96" s="2">
        <v>0.02</v>
      </c>
      <c r="AD96" s="2">
        <v>0.06</v>
      </c>
      <c r="AF96" s="2"/>
      <c r="AG96" s="35"/>
      <c r="AH96" s="2"/>
      <c r="AL96" s="2"/>
    </row>
    <row r="97" spans="1:41">
      <c r="AB97" s="35"/>
      <c r="AF97" s="35"/>
      <c r="AG97" s="35"/>
      <c r="AL97" s="35"/>
    </row>
    <row r="99" spans="1:41">
      <c r="A99" t="s">
        <v>16</v>
      </c>
      <c r="B99" t="s">
        <v>30</v>
      </c>
      <c r="C99" t="s">
        <v>518</v>
      </c>
      <c r="D99" t="s">
        <v>652</v>
      </c>
      <c r="E99" t="s">
        <v>484</v>
      </c>
      <c r="F99" s="31" t="s">
        <v>511</v>
      </c>
      <c r="G99" t="s">
        <v>3</v>
      </c>
      <c r="H99" t="s">
        <v>4</v>
      </c>
      <c r="I99" t="s">
        <v>5</v>
      </c>
      <c r="J99" t="s">
        <v>42</v>
      </c>
      <c r="K99" t="s">
        <v>208</v>
      </c>
      <c r="L99" t="s">
        <v>209</v>
      </c>
      <c r="M99" t="s">
        <v>210</v>
      </c>
      <c r="N99" t="s">
        <v>10</v>
      </c>
      <c r="O99" t="s">
        <v>9</v>
      </c>
      <c r="P99" t="s">
        <v>479</v>
      </c>
      <c r="Q99" t="s">
        <v>635</v>
      </c>
      <c r="R99" t="s">
        <v>636</v>
      </c>
      <c r="S99" t="s">
        <v>637</v>
      </c>
      <c r="T99" s="35" t="s">
        <v>638</v>
      </c>
      <c r="U99" s="145" t="s">
        <v>639</v>
      </c>
      <c r="V99" t="s">
        <v>12</v>
      </c>
      <c r="W99" t="s">
        <v>152</v>
      </c>
      <c r="X99" t="s">
        <v>345</v>
      </c>
      <c r="Y99" t="s">
        <v>480</v>
      </c>
      <c r="Z99" t="s">
        <v>481</v>
      </c>
      <c r="AA99" t="s">
        <v>122</v>
      </c>
      <c r="AB99" t="s">
        <v>11</v>
      </c>
      <c r="AC99" t="s">
        <v>119</v>
      </c>
      <c r="AD99" t="s">
        <v>118</v>
      </c>
      <c r="AE99" t="s">
        <v>13</v>
      </c>
      <c r="AF99" t="s">
        <v>116</v>
      </c>
      <c r="AG99" t="s">
        <v>289</v>
      </c>
      <c r="AH99" t="s">
        <v>163</v>
      </c>
      <c r="AI99" s="35" t="s">
        <v>457</v>
      </c>
      <c r="AJ99" s="35" t="s">
        <v>458</v>
      </c>
      <c r="AK99" s="145" t="s">
        <v>433</v>
      </c>
      <c r="AL99" t="s">
        <v>339</v>
      </c>
      <c r="AM99" s="145" t="s">
        <v>649</v>
      </c>
    </row>
    <row r="100" spans="1:41">
      <c r="A100" s="162" t="s">
        <v>704</v>
      </c>
      <c r="B100" s="162"/>
      <c r="C100" s="162"/>
      <c r="D100" s="162"/>
      <c r="E100" s="162"/>
      <c r="F100" s="162"/>
      <c r="G100" s="162">
        <v>19</v>
      </c>
      <c r="H100" s="162">
        <v>33</v>
      </c>
      <c r="I100" s="162">
        <v>15</v>
      </c>
      <c r="J100" s="162">
        <v>31</v>
      </c>
      <c r="K100" s="162">
        <v>14</v>
      </c>
      <c r="L100" s="162">
        <v>14</v>
      </c>
      <c r="M100" s="162">
        <v>14</v>
      </c>
      <c r="N100" s="162">
        <v>20</v>
      </c>
      <c r="O100" s="162">
        <v>36</v>
      </c>
      <c r="P100" s="162"/>
      <c r="Q100" s="162"/>
      <c r="R100" s="162">
        <v>36</v>
      </c>
      <c r="S100" s="162"/>
      <c r="T100" s="162"/>
      <c r="U100" s="162"/>
      <c r="V100" s="163"/>
      <c r="W100" s="163">
        <v>0.04</v>
      </c>
      <c r="X100" s="163"/>
      <c r="Y100" s="163"/>
      <c r="Z100" s="163"/>
      <c r="AA100" s="163"/>
      <c r="AB100" s="164">
        <v>81</v>
      </c>
      <c r="AC100" s="163"/>
      <c r="AD100" s="163">
        <v>0.06</v>
      </c>
      <c r="AE100" s="164"/>
      <c r="AF100" s="164"/>
      <c r="AG100" s="2"/>
      <c r="AH100" s="2"/>
      <c r="AL100" s="35"/>
      <c r="AN100" s="2"/>
      <c r="AO100" s="35"/>
    </row>
    <row r="101" spans="1:41" s="162" customFormat="1">
      <c r="A101" s="165" t="s">
        <v>705</v>
      </c>
      <c r="B101" s="165"/>
      <c r="C101" s="165"/>
      <c r="D101" s="165"/>
      <c r="E101" s="165"/>
      <c r="F101" s="165"/>
      <c r="G101" s="165">
        <v>31</v>
      </c>
      <c r="H101" s="165">
        <v>33</v>
      </c>
      <c r="I101" s="165">
        <v>15</v>
      </c>
      <c r="J101" s="165">
        <v>19</v>
      </c>
      <c r="K101" s="165">
        <v>14</v>
      </c>
      <c r="L101" s="165">
        <v>14</v>
      </c>
      <c r="M101" s="165">
        <v>14</v>
      </c>
      <c r="N101" s="165"/>
      <c r="O101" s="165">
        <v>56</v>
      </c>
      <c r="P101" s="165"/>
      <c r="Q101" s="165"/>
      <c r="R101" s="165">
        <v>36</v>
      </c>
      <c r="S101" s="165"/>
      <c r="T101" s="165"/>
      <c r="U101" s="165"/>
      <c r="V101" s="166"/>
      <c r="W101" s="166">
        <v>0.04</v>
      </c>
      <c r="X101" s="166"/>
      <c r="Y101" s="166"/>
      <c r="Z101" s="166"/>
      <c r="AA101" s="166"/>
      <c r="AB101" s="167">
        <v>81</v>
      </c>
      <c r="AC101" s="166"/>
      <c r="AD101" s="166">
        <v>0.06</v>
      </c>
      <c r="AE101" s="167"/>
      <c r="AF101" s="167"/>
      <c r="AG101" s="163"/>
      <c r="AH101" s="163"/>
      <c r="AI101" s="164"/>
      <c r="AJ101" s="164"/>
      <c r="AK101" s="164"/>
      <c r="AL101" s="164"/>
      <c r="AM101" s="164"/>
      <c r="AN101" s="163"/>
      <c r="AO101" s="164"/>
    </row>
    <row r="102" spans="1:41" s="162" customFormat="1">
      <c r="A102" s="165" t="s">
        <v>706</v>
      </c>
      <c r="B102" s="165"/>
      <c r="C102" s="165"/>
      <c r="D102" s="165"/>
      <c r="E102" s="165"/>
      <c r="F102" s="165"/>
      <c r="G102" s="165">
        <v>19</v>
      </c>
      <c r="H102" s="165">
        <v>31</v>
      </c>
      <c r="I102" s="165">
        <v>15</v>
      </c>
      <c r="J102" s="165">
        <v>29</v>
      </c>
      <c r="K102" s="165">
        <v>14</v>
      </c>
      <c r="L102" s="165">
        <v>14</v>
      </c>
      <c r="M102" s="165">
        <v>14</v>
      </c>
      <c r="N102" s="165">
        <v>15</v>
      </c>
      <c r="O102" s="165">
        <v>26</v>
      </c>
      <c r="P102" s="165"/>
      <c r="Q102" s="165"/>
      <c r="R102" s="165">
        <v>26</v>
      </c>
      <c r="S102" s="165"/>
      <c r="T102" s="165"/>
      <c r="U102" s="165"/>
      <c r="V102" s="166"/>
      <c r="W102" s="166">
        <v>0.03</v>
      </c>
      <c r="X102" s="166"/>
      <c r="Y102" s="166"/>
      <c r="Z102" s="166"/>
      <c r="AA102" s="166"/>
      <c r="AB102" s="167">
        <v>81</v>
      </c>
      <c r="AC102" s="166"/>
      <c r="AD102" s="166">
        <v>0.05</v>
      </c>
      <c r="AE102" s="167"/>
      <c r="AF102" s="167"/>
      <c r="AG102" s="163"/>
      <c r="AH102" s="163"/>
      <c r="AI102" s="164"/>
      <c r="AJ102" s="164"/>
      <c r="AK102" s="164"/>
      <c r="AL102" s="164"/>
      <c r="AM102" s="164"/>
      <c r="AN102" s="163"/>
      <c r="AO102" s="164"/>
    </row>
    <row r="103" spans="1:41" s="162" customFormat="1">
      <c r="A103" s="165" t="s">
        <v>707</v>
      </c>
      <c r="B103" s="165"/>
      <c r="C103" s="165"/>
      <c r="D103" s="165"/>
      <c r="E103" s="165"/>
      <c r="F103" s="165"/>
      <c r="G103" s="165">
        <v>29</v>
      </c>
      <c r="H103" s="165">
        <v>31</v>
      </c>
      <c r="I103" s="165">
        <v>15</v>
      </c>
      <c r="J103" s="165">
        <v>19</v>
      </c>
      <c r="K103" s="165">
        <v>14</v>
      </c>
      <c r="L103" s="165">
        <v>14</v>
      </c>
      <c r="M103" s="165">
        <v>14</v>
      </c>
      <c r="N103" s="165"/>
      <c r="O103" s="165">
        <v>41</v>
      </c>
      <c r="P103" s="165"/>
      <c r="Q103" s="165"/>
      <c r="R103" s="165">
        <v>26</v>
      </c>
      <c r="S103" s="165"/>
      <c r="T103" s="165"/>
      <c r="U103" s="165"/>
      <c r="V103" s="166"/>
      <c r="W103" s="166">
        <v>0.03</v>
      </c>
      <c r="X103" s="166"/>
      <c r="Y103" s="166"/>
      <c r="Z103" s="166"/>
      <c r="AA103" s="166"/>
      <c r="AB103" s="167">
        <v>81</v>
      </c>
      <c r="AC103" s="166"/>
      <c r="AD103" s="166">
        <v>0.05</v>
      </c>
      <c r="AE103" s="167"/>
      <c r="AF103" s="167"/>
      <c r="AG103" s="163"/>
      <c r="AH103" s="163"/>
      <c r="AI103" s="164"/>
      <c r="AJ103" s="164"/>
      <c r="AK103" s="164"/>
      <c r="AL103" s="164"/>
      <c r="AM103" s="164"/>
      <c r="AN103" s="163"/>
      <c r="AO103" s="164"/>
    </row>
    <row r="104" spans="1:41" s="200" customFormat="1">
      <c r="A104" s="200" t="s">
        <v>911</v>
      </c>
      <c r="G104" s="200">
        <v>30</v>
      </c>
      <c r="H104" s="200">
        <v>30</v>
      </c>
      <c r="I104" s="200">
        <v>30</v>
      </c>
      <c r="J104" s="200">
        <v>30</v>
      </c>
      <c r="K104" s="200">
        <v>30</v>
      </c>
      <c r="L104" s="200">
        <v>30</v>
      </c>
      <c r="M104" s="200">
        <v>30</v>
      </c>
      <c r="N104" s="200">
        <v>70</v>
      </c>
      <c r="Q104" s="200">
        <v>70</v>
      </c>
      <c r="S104" s="200">
        <v>25</v>
      </c>
      <c r="V104" s="201"/>
      <c r="W104" s="201"/>
      <c r="X104" s="201"/>
      <c r="Y104" s="201"/>
      <c r="Z104" s="201"/>
      <c r="AA104" s="201"/>
      <c r="AC104" s="201"/>
      <c r="AD104" s="201"/>
      <c r="AG104" s="201"/>
      <c r="AH104" s="201"/>
      <c r="AN104" s="201"/>
    </row>
    <row r="105" spans="1:41" s="200" customFormat="1">
      <c r="A105" s="200" t="s">
        <v>910</v>
      </c>
      <c r="G105" s="200">
        <v>41</v>
      </c>
      <c r="H105" s="200">
        <v>41</v>
      </c>
      <c r="I105" s="200">
        <v>16</v>
      </c>
      <c r="J105" s="200">
        <v>16</v>
      </c>
      <c r="K105" s="200">
        <v>16</v>
      </c>
      <c r="L105" s="200">
        <v>16</v>
      </c>
      <c r="M105" s="200">
        <v>16</v>
      </c>
      <c r="N105" s="200">
        <v>53</v>
      </c>
      <c r="S105" s="200">
        <v>45</v>
      </c>
      <c r="V105" s="201">
        <v>0.03</v>
      </c>
      <c r="W105" s="201"/>
      <c r="X105" s="201"/>
      <c r="Y105" s="201"/>
      <c r="Z105" s="201"/>
      <c r="AA105" s="201"/>
      <c r="AB105" s="200">
        <v>81</v>
      </c>
      <c r="AC105" s="201">
        <v>0.1</v>
      </c>
      <c r="AD105" s="201"/>
      <c r="AG105" s="201"/>
      <c r="AH105" s="201"/>
      <c r="AN105" s="201"/>
    </row>
    <row r="106" spans="1:41">
      <c r="A106" t="s">
        <v>708</v>
      </c>
      <c r="G106">
        <v>18</v>
      </c>
      <c r="H106">
        <v>34</v>
      </c>
      <c r="I106">
        <v>18</v>
      </c>
      <c r="J106">
        <v>20</v>
      </c>
      <c r="K106">
        <v>18</v>
      </c>
      <c r="L106">
        <v>22</v>
      </c>
      <c r="M106">
        <v>18</v>
      </c>
      <c r="N106">
        <v>35</v>
      </c>
      <c r="Q106">
        <v>20</v>
      </c>
      <c r="S106">
        <v>35</v>
      </c>
      <c r="V106" s="2"/>
      <c r="W106" s="2"/>
      <c r="X106" s="2">
        <v>0.03</v>
      </c>
      <c r="Y106" s="2"/>
      <c r="Z106" s="2"/>
      <c r="AA106" s="2"/>
      <c r="AB106" s="35">
        <v>71</v>
      </c>
      <c r="AC106" s="2"/>
      <c r="AD106" s="2"/>
      <c r="AE106" s="35"/>
      <c r="AF106" s="35"/>
      <c r="AG106" s="35"/>
      <c r="AH106" s="2"/>
      <c r="AL106" s="35"/>
    </row>
    <row r="107" spans="1:41" s="31" customFormat="1">
      <c r="A107" s="31" t="s">
        <v>568</v>
      </c>
      <c r="G107" s="31">
        <v>23</v>
      </c>
      <c r="H107" s="31">
        <v>23</v>
      </c>
      <c r="I107" s="31">
        <v>23</v>
      </c>
      <c r="J107" s="31">
        <v>23</v>
      </c>
      <c r="K107" s="31">
        <v>19</v>
      </c>
      <c r="L107" s="31">
        <v>19</v>
      </c>
      <c r="M107" s="31">
        <v>20</v>
      </c>
      <c r="O107" s="31">
        <v>10</v>
      </c>
      <c r="V107" s="12"/>
      <c r="W107" s="12">
        <v>0.02</v>
      </c>
      <c r="X107" s="12"/>
      <c r="Y107" s="12"/>
      <c r="Z107" s="12"/>
      <c r="AA107" s="12"/>
      <c r="AB107" s="50">
        <v>81</v>
      </c>
      <c r="AC107" s="12"/>
      <c r="AD107" s="12"/>
      <c r="AE107" s="50"/>
      <c r="AF107" s="50"/>
      <c r="AG107" s="12"/>
      <c r="AH107" s="12"/>
      <c r="AI107" s="50"/>
      <c r="AJ107" s="50"/>
      <c r="AK107" s="50"/>
      <c r="AL107" s="50"/>
      <c r="AM107" s="50"/>
    </row>
    <row r="108" spans="1:41" s="31" customFormat="1">
      <c r="A108" s="31" t="s">
        <v>632</v>
      </c>
      <c r="G108" s="31">
        <v>21</v>
      </c>
      <c r="H108" s="31">
        <v>25</v>
      </c>
      <c r="I108" s="31">
        <v>21</v>
      </c>
      <c r="J108" s="31">
        <v>25</v>
      </c>
      <c r="K108" s="31">
        <v>18</v>
      </c>
      <c r="L108" s="31">
        <v>18</v>
      </c>
      <c r="M108" s="31">
        <v>19</v>
      </c>
      <c r="N108" s="31">
        <v>25</v>
      </c>
      <c r="O108" s="31">
        <v>25</v>
      </c>
      <c r="V108" s="12"/>
      <c r="W108" s="12"/>
      <c r="X108" s="12"/>
      <c r="Y108" s="12"/>
      <c r="Z108" s="12"/>
      <c r="AA108" s="12"/>
      <c r="AB108" s="50">
        <v>81</v>
      </c>
      <c r="AC108" s="12"/>
      <c r="AD108" s="12"/>
      <c r="AE108" s="50"/>
      <c r="AF108" s="50"/>
      <c r="AG108" s="12"/>
      <c r="AH108" s="12"/>
      <c r="AI108" s="50"/>
      <c r="AJ108" s="50">
        <v>117.1875</v>
      </c>
      <c r="AK108" s="50"/>
      <c r="AL108" s="50"/>
      <c r="AM108" s="50"/>
    </row>
    <row r="109" spans="1:41">
      <c r="A109" s="31" t="s">
        <v>541</v>
      </c>
      <c r="G109">
        <v>17</v>
      </c>
      <c r="H109">
        <v>17</v>
      </c>
      <c r="I109">
        <v>16</v>
      </c>
      <c r="J109">
        <v>16</v>
      </c>
      <c r="K109">
        <v>15</v>
      </c>
      <c r="L109">
        <v>15</v>
      </c>
      <c r="M109">
        <v>15</v>
      </c>
      <c r="V109" s="2"/>
      <c r="W109" s="2"/>
      <c r="X109" s="2"/>
      <c r="Y109" s="2"/>
      <c r="Z109" s="2"/>
      <c r="AA109" s="2"/>
      <c r="AB109" s="35">
        <v>71</v>
      </c>
      <c r="AC109" s="2"/>
      <c r="AD109" s="2"/>
      <c r="AE109" s="35"/>
      <c r="AF109" s="35"/>
      <c r="AG109" s="35"/>
      <c r="AH109" s="2"/>
      <c r="AL109" s="2"/>
    </row>
    <row r="110" spans="1:41">
      <c r="A110" s="31" t="s">
        <v>569</v>
      </c>
      <c r="G110">
        <v>23</v>
      </c>
      <c r="H110">
        <v>23</v>
      </c>
      <c r="I110">
        <v>22</v>
      </c>
      <c r="J110">
        <v>22</v>
      </c>
      <c r="K110">
        <v>21</v>
      </c>
      <c r="L110">
        <v>21</v>
      </c>
      <c r="M110">
        <v>21</v>
      </c>
      <c r="V110" s="2"/>
      <c r="W110" s="2"/>
      <c r="X110" s="2"/>
      <c r="Y110" s="2"/>
      <c r="Z110" s="2"/>
      <c r="AA110" s="2"/>
      <c r="AB110" s="35">
        <v>81</v>
      </c>
      <c r="AC110" s="2"/>
      <c r="AD110" s="2"/>
      <c r="AE110" s="35"/>
      <c r="AF110" s="35"/>
      <c r="AG110" s="35"/>
      <c r="AH110" s="2"/>
      <c r="AL110" s="2"/>
    </row>
    <row r="111" spans="1:41" s="200" customFormat="1">
      <c r="A111" s="202" t="s">
        <v>789</v>
      </c>
      <c r="G111" s="200">
        <v>28</v>
      </c>
      <c r="H111" s="200">
        <v>28</v>
      </c>
      <c r="I111" s="200">
        <v>27</v>
      </c>
      <c r="J111" s="200">
        <v>27</v>
      </c>
      <c r="K111" s="200">
        <v>26</v>
      </c>
      <c r="L111" s="200">
        <v>26</v>
      </c>
      <c r="M111" s="200">
        <v>26</v>
      </c>
      <c r="S111" s="200">
        <v>44</v>
      </c>
      <c r="V111" s="201"/>
      <c r="W111" s="201"/>
      <c r="X111" s="201"/>
      <c r="Y111" s="201"/>
      <c r="Z111" s="201"/>
      <c r="AA111" s="201"/>
      <c r="AB111" s="203">
        <v>81</v>
      </c>
      <c r="AC111" s="201"/>
      <c r="AD111" s="201"/>
      <c r="AE111" s="203"/>
      <c r="AF111" s="203"/>
      <c r="AG111" s="203"/>
      <c r="AH111" s="201">
        <v>0.05</v>
      </c>
      <c r="AI111" s="203"/>
      <c r="AJ111" s="203"/>
      <c r="AK111" s="203"/>
      <c r="AL111" s="201"/>
      <c r="AM111" s="203"/>
    </row>
    <row r="112" spans="1:41" s="200" customFormat="1">
      <c r="A112" s="202" t="s">
        <v>790</v>
      </c>
      <c r="G112" s="200">
        <v>33</v>
      </c>
      <c r="H112" s="200">
        <v>33</v>
      </c>
      <c r="I112" s="200">
        <v>32</v>
      </c>
      <c r="J112" s="200">
        <v>32</v>
      </c>
      <c r="K112" s="200">
        <v>31</v>
      </c>
      <c r="L112" s="200">
        <v>31</v>
      </c>
      <c r="M112" s="200">
        <v>31</v>
      </c>
      <c r="S112" s="200">
        <v>54</v>
      </c>
      <c r="V112" s="201"/>
      <c r="W112" s="201"/>
      <c r="X112" s="201"/>
      <c r="Y112" s="201"/>
      <c r="Z112" s="201"/>
      <c r="AA112" s="201"/>
      <c r="AB112" s="203">
        <v>81</v>
      </c>
      <c r="AC112" s="201"/>
      <c r="AD112" s="201"/>
      <c r="AE112" s="203"/>
      <c r="AF112" s="203"/>
      <c r="AG112" s="203"/>
      <c r="AH112" s="201">
        <v>0.1</v>
      </c>
      <c r="AI112" s="203"/>
      <c r="AJ112" s="203"/>
      <c r="AK112" s="203"/>
      <c r="AL112" s="201"/>
      <c r="AM112" s="203"/>
    </row>
    <row r="113" spans="1:39" s="200" customFormat="1">
      <c r="A113" s="202" t="s">
        <v>730</v>
      </c>
      <c r="G113" s="200">
        <v>19</v>
      </c>
      <c r="H113" s="200">
        <v>31</v>
      </c>
      <c r="I113" s="200">
        <v>18</v>
      </c>
      <c r="J113" s="200">
        <v>22</v>
      </c>
      <c r="K113" s="200">
        <v>17</v>
      </c>
      <c r="L113" s="200">
        <v>17</v>
      </c>
      <c r="M113" s="200">
        <v>17</v>
      </c>
      <c r="V113" s="201"/>
      <c r="W113" s="201"/>
      <c r="X113" s="201"/>
      <c r="Y113" s="201"/>
      <c r="Z113" s="201"/>
      <c r="AA113" s="201">
        <v>7.0000000000000007E-2</v>
      </c>
      <c r="AB113" s="203">
        <v>101</v>
      </c>
      <c r="AC113" s="201"/>
      <c r="AD113" s="201"/>
      <c r="AE113" s="203"/>
      <c r="AF113" s="203"/>
      <c r="AG113" s="203"/>
      <c r="AH113" s="201"/>
      <c r="AI113" s="203"/>
      <c r="AJ113" s="203"/>
      <c r="AK113" s="203"/>
      <c r="AL113" s="201"/>
      <c r="AM113" s="203"/>
    </row>
    <row r="114" spans="1:39" s="200" customFormat="1">
      <c r="A114" s="202" t="s">
        <v>721</v>
      </c>
      <c r="G114" s="200">
        <v>22</v>
      </c>
      <c r="H114" s="200">
        <v>38</v>
      </c>
      <c r="I114" s="200">
        <v>18</v>
      </c>
      <c r="J114" s="200">
        <v>25</v>
      </c>
      <c r="K114" s="200">
        <v>20</v>
      </c>
      <c r="L114" s="200">
        <v>16</v>
      </c>
      <c r="M114" s="200">
        <v>17</v>
      </c>
      <c r="N114" s="200">
        <v>25</v>
      </c>
      <c r="O114" s="200">
        <v>40</v>
      </c>
      <c r="R114" s="200">
        <v>15</v>
      </c>
      <c r="T114" s="200">
        <v>10</v>
      </c>
      <c r="V114" s="201"/>
      <c r="W114" s="201">
        <v>0.04</v>
      </c>
      <c r="X114" s="201"/>
      <c r="Y114" s="201"/>
      <c r="Z114" s="201"/>
      <c r="AA114" s="201"/>
      <c r="AB114" s="203">
        <v>81</v>
      </c>
      <c r="AC114" s="201"/>
      <c r="AD114" s="201"/>
      <c r="AE114" s="203"/>
      <c r="AF114" s="203"/>
      <c r="AG114" s="203"/>
      <c r="AH114" s="201"/>
      <c r="AI114" s="203"/>
      <c r="AJ114" s="203"/>
      <c r="AK114" s="203"/>
      <c r="AL114" s="201"/>
      <c r="AM114" s="203"/>
    </row>
    <row r="115" spans="1:39" s="200" customFormat="1">
      <c r="A115" s="202" t="s">
        <v>722</v>
      </c>
      <c r="G115" s="200">
        <v>22</v>
      </c>
      <c r="H115" s="200">
        <v>38</v>
      </c>
      <c r="I115" s="200">
        <v>18</v>
      </c>
      <c r="J115" s="200">
        <v>25</v>
      </c>
      <c r="K115" s="200">
        <v>20</v>
      </c>
      <c r="L115" s="200">
        <v>16</v>
      </c>
      <c r="M115" s="200">
        <v>17</v>
      </c>
      <c r="N115" s="200">
        <v>25</v>
      </c>
      <c r="O115" s="200">
        <v>40</v>
      </c>
      <c r="R115" s="200">
        <v>15</v>
      </c>
      <c r="T115" s="200">
        <v>10</v>
      </c>
      <c r="V115" s="201"/>
      <c r="W115" s="201"/>
      <c r="X115" s="201"/>
      <c r="Y115" s="201"/>
      <c r="Z115" s="201"/>
      <c r="AA115" s="201"/>
      <c r="AB115" s="203">
        <v>81</v>
      </c>
      <c r="AC115" s="201"/>
      <c r="AD115" s="201"/>
      <c r="AE115" s="203">
        <v>7</v>
      </c>
      <c r="AF115" s="203"/>
      <c r="AG115" s="203"/>
      <c r="AH115" s="201"/>
      <c r="AI115" s="203"/>
      <c r="AJ115" s="203"/>
      <c r="AK115" s="203"/>
      <c r="AL115" s="201"/>
      <c r="AM115" s="203"/>
    </row>
    <row r="116" spans="1:39" s="200" customFormat="1">
      <c r="A116" s="202" t="s">
        <v>723</v>
      </c>
      <c r="G116" s="200">
        <v>22</v>
      </c>
      <c r="H116" s="200">
        <v>38</v>
      </c>
      <c r="I116" s="200">
        <v>18</v>
      </c>
      <c r="J116" s="200">
        <v>25</v>
      </c>
      <c r="K116" s="200">
        <v>20</v>
      </c>
      <c r="L116" s="200">
        <v>16</v>
      </c>
      <c r="M116" s="200">
        <v>17</v>
      </c>
      <c r="N116" s="200">
        <v>25</v>
      </c>
      <c r="O116" s="200">
        <v>40</v>
      </c>
      <c r="R116" s="200">
        <v>15</v>
      </c>
      <c r="T116" s="200">
        <v>10</v>
      </c>
      <c r="V116" s="201"/>
      <c r="W116" s="201"/>
      <c r="X116" s="201"/>
      <c r="Y116" s="201"/>
      <c r="Z116" s="201"/>
      <c r="AA116" s="201"/>
      <c r="AB116" s="203">
        <v>81</v>
      </c>
      <c r="AC116" s="201">
        <v>0.05</v>
      </c>
      <c r="AD116" s="201"/>
      <c r="AE116" s="203"/>
      <c r="AF116" s="203"/>
      <c r="AG116" s="203"/>
      <c r="AH116" s="201"/>
      <c r="AI116" s="203"/>
      <c r="AJ116" s="203"/>
      <c r="AK116" s="203"/>
      <c r="AL116" s="201"/>
      <c r="AM116" s="203"/>
    </row>
    <row r="117" spans="1:39" s="200" customFormat="1">
      <c r="A117" s="202" t="s">
        <v>724</v>
      </c>
      <c r="G117" s="200">
        <v>22</v>
      </c>
      <c r="H117" s="200">
        <v>38</v>
      </c>
      <c r="I117" s="200">
        <v>18</v>
      </c>
      <c r="J117" s="200">
        <v>25</v>
      </c>
      <c r="K117" s="200">
        <v>20</v>
      </c>
      <c r="L117" s="200">
        <v>16</v>
      </c>
      <c r="M117" s="200">
        <v>17</v>
      </c>
      <c r="N117" s="200">
        <v>25</v>
      </c>
      <c r="O117" s="200">
        <v>40</v>
      </c>
      <c r="R117" s="200">
        <v>15</v>
      </c>
      <c r="T117" s="200">
        <v>10</v>
      </c>
      <c r="V117" s="201"/>
      <c r="W117" s="201"/>
      <c r="X117" s="201"/>
      <c r="Y117" s="201"/>
      <c r="Z117" s="201"/>
      <c r="AA117" s="201"/>
      <c r="AB117" s="203">
        <v>81</v>
      </c>
      <c r="AC117" s="201"/>
      <c r="AD117" s="201">
        <v>0.05</v>
      </c>
      <c r="AE117" s="203"/>
      <c r="AF117" s="203"/>
      <c r="AG117" s="203"/>
      <c r="AH117" s="201"/>
      <c r="AI117" s="203"/>
      <c r="AJ117" s="203"/>
      <c r="AK117" s="203"/>
      <c r="AL117" s="201"/>
      <c r="AM117" s="203"/>
    </row>
    <row r="118" spans="1:39" s="200" customFormat="1">
      <c r="A118" s="202" t="s">
        <v>768</v>
      </c>
      <c r="G118" s="200">
        <v>22</v>
      </c>
      <c r="H118" s="200">
        <v>38</v>
      </c>
      <c r="I118" s="200">
        <v>18</v>
      </c>
      <c r="J118" s="200">
        <v>25</v>
      </c>
      <c r="K118" s="200">
        <v>20</v>
      </c>
      <c r="L118" s="200">
        <v>16</v>
      </c>
      <c r="M118" s="200">
        <v>17</v>
      </c>
      <c r="N118" s="200">
        <v>25</v>
      </c>
      <c r="O118" s="200">
        <v>40</v>
      </c>
      <c r="R118" s="200">
        <v>15</v>
      </c>
      <c r="T118" s="200">
        <v>10</v>
      </c>
      <c r="V118" s="201"/>
      <c r="W118" s="201"/>
      <c r="X118" s="201"/>
      <c r="Y118" s="201"/>
      <c r="Z118" s="201"/>
      <c r="AA118" s="201"/>
      <c r="AB118" s="203">
        <v>81</v>
      </c>
      <c r="AC118" s="201"/>
      <c r="AD118" s="201"/>
      <c r="AE118" s="203"/>
      <c r="AF118" s="203"/>
      <c r="AG118" s="203"/>
      <c r="AH118" s="201">
        <v>0.05</v>
      </c>
      <c r="AI118" s="203"/>
      <c r="AJ118" s="203"/>
      <c r="AK118" s="203"/>
      <c r="AL118" s="201"/>
      <c r="AM118" s="203"/>
    </row>
    <row r="119" spans="1:39" s="200" customFormat="1">
      <c r="A119" s="202" t="s">
        <v>725</v>
      </c>
      <c r="G119" s="200">
        <v>22</v>
      </c>
      <c r="H119" s="200">
        <v>28</v>
      </c>
      <c r="I119" s="200">
        <v>18</v>
      </c>
      <c r="J119" s="200">
        <v>35</v>
      </c>
      <c r="K119" s="200">
        <v>20</v>
      </c>
      <c r="L119" s="200">
        <v>16</v>
      </c>
      <c r="M119" s="200">
        <v>17</v>
      </c>
      <c r="N119" s="200">
        <v>25</v>
      </c>
      <c r="O119" s="200">
        <v>40</v>
      </c>
      <c r="R119" s="200">
        <v>15</v>
      </c>
      <c r="T119" s="200">
        <v>10</v>
      </c>
      <c r="V119" s="201"/>
      <c r="W119" s="201"/>
      <c r="X119" s="201"/>
      <c r="Y119" s="201"/>
      <c r="Z119" s="201"/>
      <c r="AA119" s="201"/>
      <c r="AB119" s="203">
        <v>81</v>
      </c>
      <c r="AC119" s="201">
        <v>0.05</v>
      </c>
      <c r="AD119" s="201"/>
      <c r="AE119" s="203"/>
      <c r="AF119" s="203"/>
      <c r="AG119" s="203"/>
      <c r="AH119" s="201"/>
      <c r="AI119" s="203"/>
      <c r="AJ119" s="203"/>
      <c r="AK119" s="203"/>
      <c r="AL119" s="201"/>
      <c r="AM119" s="203"/>
    </row>
    <row r="120" spans="1:39" s="200" customFormat="1">
      <c r="A120" s="202" t="s">
        <v>726</v>
      </c>
      <c r="G120" s="200">
        <v>22</v>
      </c>
      <c r="H120" s="200">
        <v>28</v>
      </c>
      <c r="I120" s="200">
        <v>18</v>
      </c>
      <c r="J120" s="200">
        <v>35</v>
      </c>
      <c r="K120" s="200">
        <v>20</v>
      </c>
      <c r="L120" s="200">
        <v>16</v>
      </c>
      <c r="M120" s="200">
        <v>17</v>
      </c>
      <c r="N120" s="200">
        <v>25</v>
      </c>
      <c r="O120" s="200">
        <v>40</v>
      </c>
      <c r="R120" s="200">
        <v>15</v>
      </c>
      <c r="T120" s="200">
        <v>10</v>
      </c>
      <c r="V120" s="201"/>
      <c r="W120" s="201"/>
      <c r="X120" s="201"/>
      <c r="Y120" s="201"/>
      <c r="Z120" s="201"/>
      <c r="AA120" s="201"/>
      <c r="AB120" s="203">
        <v>81</v>
      </c>
      <c r="AC120" s="201"/>
      <c r="AD120" s="201">
        <v>0.05</v>
      </c>
      <c r="AE120" s="203"/>
      <c r="AF120" s="203"/>
      <c r="AG120" s="203"/>
      <c r="AH120" s="201"/>
      <c r="AI120" s="203"/>
      <c r="AJ120" s="203"/>
      <c r="AK120" s="203"/>
      <c r="AL120" s="201"/>
      <c r="AM120" s="203"/>
    </row>
    <row r="121" spans="1:39" s="200" customFormat="1">
      <c r="A121" s="202" t="s">
        <v>727</v>
      </c>
      <c r="G121" s="200">
        <v>22</v>
      </c>
      <c r="H121" s="200">
        <v>28</v>
      </c>
      <c r="I121" s="200">
        <v>18</v>
      </c>
      <c r="J121" s="200">
        <v>35</v>
      </c>
      <c r="K121" s="200">
        <v>20</v>
      </c>
      <c r="L121" s="200">
        <v>16</v>
      </c>
      <c r="M121" s="200">
        <v>17</v>
      </c>
      <c r="N121" s="200">
        <v>25</v>
      </c>
      <c r="O121" s="200">
        <v>40</v>
      </c>
      <c r="R121" s="200">
        <v>15</v>
      </c>
      <c r="T121" s="200">
        <v>10</v>
      </c>
      <c r="V121" s="201"/>
      <c r="W121" s="201">
        <v>0.04</v>
      </c>
      <c r="X121" s="201"/>
      <c r="Y121" s="201"/>
      <c r="Z121" s="201"/>
      <c r="AA121" s="201"/>
      <c r="AB121" s="203">
        <v>81</v>
      </c>
      <c r="AC121" s="201"/>
      <c r="AD121" s="201"/>
      <c r="AE121" s="203"/>
      <c r="AF121" s="203"/>
      <c r="AG121" s="203"/>
      <c r="AH121" s="201"/>
      <c r="AI121" s="203"/>
      <c r="AJ121" s="203"/>
      <c r="AK121" s="203"/>
      <c r="AL121" s="201"/>
      <c r="AM121" s="203"/>
    </row>
    <row r="122" spans="1:39" s="200" customFormat="1">
      <c r="A122" s="202" t="s">
        <v>769</v>
      </c>
      <c r="G122" s="200">
        <v>22</v>
      </c>
      <c r="H122" s="200">
        <v>28</v>
      </c>
      <c r="I122" s="200">
        <v>18</v>
      </c>
      <c r="J122" s="200">
        <v>35</v>
      </c>
      <c r="K122" s="200">
        <v>20</v>
      </c>
      <c r="L122" s="200">
        <v>16</v>
      </c>
      <c r="M122" s="200">
        <v>17</v>
      </c>
      <c r="N122" s="200">
        <v>25</v>
      </c>
      <c r="O122" s="200">
        <v>40</v>
      </c>
      <c r="R122" s="200">
        <v>15</v>
      </c>
      <c r="T122" s="200">
        <v>10</v>
      </c>
      <c r="V122" s="201"/>
      <c r="W122" s="201"/>
      <c r="X122" s="201"/>
      <c r="Y122" s="201"/>
      <c r="Z122" s="201"/>
      <c r="AA122" s="201"/>
      <c r="AB122" s="203">
        <v>81</v>
      </c>
      <c r="AC122" s="201"/>
      <c r="AD122" s="201"/>
      <c r="AE122" s="203"/>
      <c r="AF122" s="203"/>
      <c r="AG122" s="203"/>
      <c r="AH122" s="201">
        <v>0.05</v>
      </c>
      <c r="AI122" s="203"/>
      <c r="AJ122" s="203"/>
      <c r="AK122" s="203"/>
      <c r="AL122" s="201"/>
      <c r="AM122" s="203"/>
    </row>
    <row r="123" spans="1:39" s="200" customFormat="1">
      <c r="A123" s="202" t="s">
        <v>895</v>
      </c>
      <c r="G123" s="200">
        <v>32</v>
      </c>
      <c r="H123" s="200">
        <v>28</v>
      </c>
      <c r="I123" s="200">
        <v>18</v>
      </c>
      <c r="J123" s="200">
        <v>25</v>
      </c>
      <c r="K123" s="200">
        <v>20</v>
      </c>
      <c r="L123" s="200">
        <v>16</v>
      </c>
      <c r="M123" s="200">
        <v>17</v>
      </c>
      <c r="N123" s="200">
        <v>25</v>
      </c>
      <c r="O123" s="200">
        <v>40</v>
      </c>
      <c r="R123" s="200">
        <v>15</v>
      </c>
      <c r="T123" s="200">
        <v>10</v>
      </c>
      <c r="V123" s="201"/>
      <c r="W123" s="201">
        <v>0.04</v>
      </c>
      <c r="X123" s="201"/>
      <c r="Y123" s="201"/>
      <c r="Z123" s="201"/>
      <c r="AA123" s="201"/>
      <c r="AB123" s="203">
        <v>81</v>
      </c>
      <c r="AC123" s="201"/>
      <c r="AD123" s="201"/>
      <c r="AE123" s="203"/>
      <c r="AF123" s="203"/>
      <c r="AG123" s="203"/>
      <c r="AH123" s="201"/>
      <c r="AI123" s="203"/>
      <c r="AJ123" s="203"/>
      <c r="AK123" s="203"/>
      <c r="AL123" s="201"/>
      <c r="AM123" s="203"/>
    </row>
    <row r="124" spans="1:39" s="200" customFormat="1">
      <c r="A124" s="202" t="s">
        <v>902</v>
      </c>
      <c r="G124" s="200">
        <v>32</v>
      </c>
      <c r="H124" s="200">
        <v>28</v>
      </c>
      <c r="I124" s="200">
        <v>18</v>
      </c>
      <c r="J124" s="200">
        <v>25</v>
      </c>
      <c r="K124" s="200">
        <v>20</v>
      </c>
      <c r="L124" s="200">
        <v>16</v>
      </c>
      <c r="M124" s="200">
        <v>17</v>
      </c>
      <c r="N124" s="200">
        <v>25</v>
      </c>
      <c r="O124" s="200">
        <v>40</v>
      </c>
      <c r="R124" s="200">
        <v>15</v>
      </c>
      <c r="T124" s="200">
        <v>10</v>
      </c>
      <c r="V124" s="201"/>
      <c r="W124" s="201"/>
      <c r="X124" s="201"/>
      <c r="Y124" s="201"/>
      <c r="Z124" s="201"/>
      <c r="AA124" s="201"/>
      <c r="AB124" s="203">
        <v>81</v>
      </c>
      <c r="AC124" s="201"/>
      <c r="AD124" s="201"/>
      <c r="AE124" s="203"/>
      <c r="AF124" s="203"/>
      <c r="AG124" s="203"/>
      <c r="AH124" s="201">
        <v>0.05</v>
      </c>
      <c r="AI124" s="203"/>
      <c r="AJ124" s="203"/>
      <c r="AK124" s="203"/>
      <c r="AL124" s="201"/>
      <c r="AM124" s="203"/>
    </row>
    <row r="125" spans="1:39" s="200" customFormat="1">
      <c r="A125" s="202" t="s">
        <v>873</v>
      </c>
      <c r="G125" s="200">
        <v>32</v>
      </c>
      <c r="H125" s="200">
        <v>38</v>
      </c>
      <c r="I125" s="200">
        <v>18</v>
      </c>
      <c r="J125" s="200">
        <v>25</v>
      </c>
      <c r="K125" s="200">
        <v>20</v>
      </c>
      <c r="L125" s="200">
        <v>16</v>
      </c>
      <c r="M125" s="200">
        <v>17</v>
      </c>
      <c r="N125" s="200">
        <v>25</v>
      </c>
      <c r="O125" s="200">
        <v>40</v>
      </c>
      <c r="R125" s="200">
        <v>15</v>
      </c>
      <c r="T125" s="200">
        <v>10</v>
      </c>
      <c r="V125" s="201"/>
      <c r="W125" s="201"/>
      <c r="X125" s="201"/>
      <c r="Y125" s="201"/>
      <c r="Z125" s="201"/>
      <c r="AA125" s="201"/>
      <c r="AB125" s="200">
        <v>81</v>
      </c>
      <c r="AC125" s="201"/>
      <c r="AD125" s="201"/>
      <c r="AH125" s="201">
        <v>0.09</v>
      </c>
      <c r="AL125" s="201"/>
    </row>
    <row r="126" spans="1:39" s="200" customFormat="1">
      <c r="A126" s="202" t="s">
        <v>842</v>
      </c>
      <c r="G126" s="200">
        <v>30</v>
      </c>
      <c r="H126" s="200">
        <v>26</v>
      </c>
      <c r="I126" s="200">
        <v>24</v>
      </c>
      <c r="J126" s="200">
        <v>21</v>
      </c>
      <c r="K126" s="200">
        <v>12</v>
      </c>
      <c r="L126" s="200">
        <v>10</v>
      </c>
      <c r="M126" s="200">
        <v>17</v>
      </c>
      <c r="N126" s="200">
        <v>38</v>
      </c>
      <c r="O126" s="200">
        <v>26</v>
      </c>
      <c r="V126" s="201"/>
      <c r="W126" s="201"/>
      <c r="X126" s="201"/>
      <c r="Y126" s="201"/>
      <c r="Z126" s="201"/>
      <c r="AA126" s="201"/>
      <c r="AB126" s="203">
        <v>61</v>
      </c>
      <c r="AC126" s="201"/>
      <c r="AD126" s="201"/>
      <c r="AE126" s="203"/>
      <c r="AF126" s="203"/>
      <c r="AG126" s="203"/>
      <c r="AH126" s="201"/>
      <c r="AI126" s="203"/>
      <c r="AJ126" s="203"/>
      <c r="AK126" s="203"/>
      <c r="AL126" s="201"/>
      <c r="AM126" s="203"/>
    </row>
    <row r="127" spans="1:39" s="200" customFormat="1">
      <c r="A127" s="202" t="s">
        <v>841</v>
      </c>
      <c r="G127" s="200">
        <v>33</v>
      </c>
      <c r="H127" s="200">
        <v>29</v>
      </c>
      <c r="I127" s="200">
        <v>27</v>
      </c>
      <c r="J127" s="200">
        <v>24</v>
      </c>
      <c r="K127" s="200">
        <v>12</v>
      </c>
      <c r="L127" s="200">
        <v>10</v>
      </c>
      <c r="M127" s="200">
        <v>20</v>
      </c>
      <c r="N127" s="200">
        <v>44</v>
      </c>
      <c r="O127" s="200">
        <v>26</v>
      </c>
      <c r="V127" s="201"/>
      <c r="W127" s="201"/>
      <c r="X127" s="201"/>
      <c r="Y127" s="201"/>
      <c r="Z127" s="201"/>
      <c r="AA127" s="201"/>
      <c r="AB127" s="203">
        <v>61</v>
      </c>
      <c r="AC127" s="201"/>
      <c r="AD127" s="201"/>
      <c r="AE127" s="203"/>
      <c r="AF127" s="203"/>
      <c r="AG127" s="203"/>
      <c r="AH127" s="201"/>
      <c r="AI127" s="203"/>
      <c r="AJ127" s="203"/>
      <c r="AK127" s="203"/>
      <c r="AL127" s="201"/>
      <c r="AM127" s="203"/>
    </row>
    <row r="128" spans="1:39" s="200" customFormat="1">
      <c r="A128" s="202" t="s">
        <v>890</v>
      </c>
      <c r="H128" s="200">
        <v>34</v>
      </c>
      <c r="J128" s="200">
        <v>34</v>
      </c>
      <c r="N128" s="200">
        <v>35</v>
      </c>
      <c r="V128" s="201"/>
      <c r="W128" s="201"/>
      <c r="X128" s="201"/>
      <c r="Y128" s="201"/>
      <c r="Z128" s="201"/>
      <c r="AA128" s="201"/>
      <c r="AB128" s="203"/>
      <c r="AC128" s="201">
        <v>0.1</v>
      </c>
      <c r="AD128" s="201"/>
      <c r="AE128" s="203"/>
      <c r="AF128" s="203"/>
      <c r="AG128" s="203"/>
      <c r="AH128" s="201"/>
      <c r="AI128" s="203"/>
      <c r="AJ128" s="203"/>
      <c r="AK128" s="203"/>
      <c r="AL128" s="201"/>
      <c r="AM128" s="203"/>
    </row>
    <row r="129" spans="1:55" s="200" customFormat="1">
      <c r="A129" s="200" t="s">
        <v>806</v>
      </c>
      <c r="G129" s="200">
        <v>23</v>
      </c>
      <c r="H129" s="200">
        <v>42</v>
      </c>
      <c r="I129" s="200">
        <v>32</v>
      </c>
      <c r="J129" s="200">
        <v>29</v>
      </c>
      <c r="K129" s="200">
        <v>19</v>
      </c>
      <c r="L129" s="200">
        <v>17</v>
      </c>
      <c r="M129" s="200">
        <v>19</v>
      </c>
      <c r="N129" s="200">
        <v>40</v>
      </c>
      <c r="Q129" s="200">
        <v>35</v>
      </c>
      <c r="V129" s="201"/>
      <c r="W129" s="201">
        <v>0.03</v>
      </c>
      <c r="X129" s="201"/>
      <c r="Y129" s="201"/>
      <c r="Z129" s="201"/>
      <c r="AA129" s="201"/>
      <c r="AB129" s="203">
        <v>61</v>
      </c>
      <c r="AC129" s="201">
        <v>0.03</v>
      </c>
      <c r="AD129" s="201"/>
      <c r="AE129" s="203"/>
      <c r="AF129" s="203"/>
      <c r="AG129" s="203"/>
      <c r="AH129" s="201"/>
      <c r="AI129" s="203"/>
      <c r="AJ129" s="203"/>
      <c r="AK129" s="203"/>
      <c r="AL129" s="203"/>
      <c r="AM129" s="203"/>
    </row>
    <row r="130" spans="1:55" s="200" customFormat="1">
      <c r="A130" s="200" t="s">
        <v>807</v>
      </c>
      <c r="G130" s="200">
        <v>23</v>
      </c>
      <c r="H130" s="200">
        <v>47</v>
      </c>
      <c r="I130" s="200">
        <v>32</v>
      </c>
      <c r="J130" s="200">
        <v>34</v>
      </c>
      <c r="K130" s="200">
        <v>19</v>
      </c>
      <c r="L130" s="200">
        <v>17</v>
      </c>
      <c r="M130" s="200">
        <v>19</v>
      </c>
      <c r="N130" s="200">
        <v>50</v>
      </c>
      <c r="Q130" s="200">
        <v>45</v>
      </c>
      <c r="V130" s="201"/>
      <c r="W130" s="201">
        <v>0.04</v>
      </c>
      <c r="X130" s="201"/>
      <c r="Y130" s="201"/>
      <c r="Z130" s="201"/>
      <c r="AA130" s="201"/>
      <c r="AB130" s="203">
        <v>61</v>
      </c>
      <c r="AC130" s="201">
        <v>0.05</v>
      </c>
      <c r="AD130" s="201"/>
      <c r="AE130" s="203"/>
      <c r="AF130" s="203"/>
      <c r="AG130" s="203"/>
      <c r="AH130" s="201"/>
      <c r="AI130" s="203"/>
      <c r="AJ130" s="203"/>
      <c r="AK130" s="203"/>
      <c r="AL130" s="203"/>
      <c r="AM130" s="203"/>
    </row>
    <row r="131" spans="1:55">
      <c r="A131" t="s">
        <v>677</v>
      </c>
      <c r="G131">
        <v>32</v>
      </c>
      <c r="H131">
        <v>36</v>
      </c>
      <c r="I131">
        <v>18</v>
      </c>
      <c r="J131">
        <v>22</v>
      </c>
      <c r="K131">
        <v>18</v>
      </c>
      <c r="L131">
        <v>18</v>
      </c>
      <c r="M131">
        <v>19</v>
      </c>
      <c r="O131">
        <v>35</v>
      </c>
      <c r="V131" s="2"/>
      <c r="W131" s="2"/>
      <c r="X131" s="2"/>
      <c r="Y131" s="2"/>
      <c r="Z131" s="2"/>
      <c r="AA131" s="2"/>
      <c r="AB131" s="35">
        <v>81</v>
      </c>
      <c r="AC131" s="2"/>
      <c r="AD131" s="2"/>
      <c r="AE131" s="35"/>
      <c r="AF131" s="35"/>
      <c r="AG131" s="35"/>
      <c r="AH131" s="2">
        <v>0.03</v>
      </c>
      <c r="AL131" s="35"/>
    </row>
    <row r="132" spans="1:55" s="200" customFormat="1">
      <c r="A132" s="200" t="s">
        <v>877</v>
      </c>
      <c r="G132" s="200">
        <v>11</v>
      </c>
      <c r="H132" s="200">
        <v>40</v>
      </c>
      <c r="I132" s="200">
        <v>19</v>
      </c>
      <c r="J132" s="200">
        <v>33</v>
      </c>
      <c r="K132" s="200">
        <v>25</v>
      </c>
      <c r="L132" s="200">
        <v>16</v>
      </c>
      <c r="M132" s="200">
        <v>17</v>
      </c>
      <c r="N132" s="200">
        <v>50</v>
      </c>
      <c r="Q132" s="200">
        <v>50</v>
      </c>
      <c r="S132" s="200">
        <v>50</v>
      </c>
      <c r="V132" s="201"/>
      <c r="W132" s="201"/>
      <c r="X132" s="201"/>
      <c r="Y132" s="201"/>
      <c r="Z132" s="201"/>
      <c r="AA132" s="201"/>
      <c r="AB132" s="203">
        <v>61</v>
      </c>
      <c r="AC132" s="201"/>
      <c r="AD132" s="201"/>
      <c r="AE132" s="203">
        <v>8</v>
      </c>
      <c r="AF132" s="203"/>
      <c r="AG132" s="203"/>
      <c r="AH132" s="201"/>
      <c r="AI132" s="203"/>
      <c r="AJ132" s="203"/>
      <c r="AK132" s="203"/>
      <c r="AL132" s="203"/>
      <c r="AM132" s="203"/>
      <c r="BC132" s="200">
        <v>0.03</v>
      </c>
    </row>
    <row r="133" spans="1:55">
      <c r="A133" s="31" t="s">
        <v>582</v>
      </c>
      <c r="G133" s="35">
        <v>15</v>
      </c>
      <c r="H133">
        <v>15</v>
      </c>
      <c r="I133">
        <v>17</v>
      </c>
      <c r="J133">
        <v>17</v>
      </c>
      <c r="K133">
        <v>16</v>
      </c>
      <c r="L133">
        <v>16</v>
      </c>
      <c r="M133">
        <v>16</v>
      </c>
      <c r="N133">
        <v>12</v>
      </c>
      <c r="V133" s="2"/>
      <c r="W133" s="2"/>
      <c r="X133" s="2"/>
      <c r="Y133" s="2"/>
      <c r="Z133" s="2"/>
      <c r="AA133" s="2"/>
      <c r="AB133" s="35">
        <v>71</v>
      </c>
      <c r="AC133" s="2"/>
      <c r="AD133" s="2"/>
      <c r="AE133" s="35"/>
      <c r="AF133" s="2"/>
      <c r="AG133" s="2"/>
      <c r="AH133" s="2"/>
      <c r="AL133" s="2"/>
    </row>
    <row r="134" spans="1:55">
      <c r="A134" s="31" t="s">
        <v>583</v>
      </c>
      <c r="G134" s="35">
        <v>21</v>
      </c>
      <c r="H134">
        <v>21</v>
      </c>
      <c r="I134">
        <v>23</v>
      </c>
      <c r="J134">
        <v>23</v>
      </c>
      <c r="K134">
        <v>22</v>
      </c>
      <c r="L134">
        <v>22</v>
      </c>
      <c r="M134">
        <v>22</v>
      </c>
      <c r="N134">
        <v>15</v>
      </c>
      <c r="V134" s="2"/>
      <c r="W134" s="2"/>
      <c r="X134" s="2"/>
      <c r="Y134" s="2"/>
      <c r="Z134" s="2"/>
      <c r="AA134" s="2"/>
      <c r="AB134" s="35">
        <v>81</v>
      </c>
      <c r="AC134" s="2"/>
      <c r="AD134" s="2"/>
      <c r="AE134" s="35"/>
      <c r="AF134" s="2"/>
      <c r="AG134" s="2"/>
      <c r="AH134" s="2"/>
      <c r="AL134" s="2"/>
    </row>
    <row r="135" spans="1:55" s="200" customFormat="1">
      <c r="A135" s="202" t="s">
        <v>831</v>
      </c>
      <c r="G135" s="203">
        <v>26</v>
      </c>
      <c r="H135" s="200">
        <v>26</v>
      </c>
      <c r="I135" s="200">
        <v>28</v>
      </c>
      <c r="J135" s="200">
        <v>28</v>
      </c>
      <c r="K135" s="200">
        <v>27</v>
      </c>
      <c r="L135" s="200">
        <v>27</v>
      </c>
      <c r="M135" s="200">
        <v>27</v>
      </c>
      <c r="N135" s="200">
        <v>34</v>
      </c>
      <c r="O135" s="200">
        <v>47</v>
      </c>
      <c r="S135" s="200">
        <v>27</v>
      </c>
      <c r="T135" s="200">
        <v>54</v>
      </c>
      <c r="V135" s="201"/>
      <c r="W135" s="201"/>
      <c r="X135" s="201"/>
      <c r="Y135" s="201"/>
      <c r="Z135" s="201"/>
      <c r="AA135" s="201"/>
      <c r="AB135" s="203">
        <v>81</v>
      </c>
      <c r="AC135" s="201"/>
      <c r="AD135" s="201"/>
      <c r="AE135" s="203"/>
      <c r="AF135" s="201"/>
      <c r="AG135" s="201"/>
      <c r="AH135" s="201"/>
      <c r="AI135" s="203"/>
      <c r="AJ135" s="203"/>
      <c r="AK135" s="203"/>
      <c r="AL135" s="201"/>
      <c r="AM135" s="203"/>
    </row>
    <row r="136" spans="1:55" s="200" customFormat="1">
      <c r="A136" s="202" t="s">
        <v>832</v>
      </c>
      <c r="G136" s="203">
        <v>31</v>
      </c>
      <c r="H136" s="200">
        <v>31</v>
      </c>
      <c r="I136" s="200">
        <v>33</v>
      </c>
      <c r="J136" s="200">
        <v>33</v>
      </c>
      <c r="K136" s="200">
        <v>32</v>
      </c>
      <c r="L136" s="200">
        <v>32</v>
      </c>
      <c r="M136" s="200">
        <v>32</v>
      </c>
      <c r="N136" s="200">
        <v>44</v>
      </c>
      <c r="O136" s="200">
        <v>62</v>
      </c>
      <c r="S136" s="200">
        <v>37</v>
      </c>
      <c r="T136" s="200">
        <v>61</v>
      </c>
      <c r="V136" s="201"/>
      <c r="W136" s="201"/>
      <c r="X136" s="201"/>
      <c r="Y136" s="201"/>
      <c r="Z136" s="201"/>
      <c r="AA136" s="201"/>
      <c r="AB136" s="203">
        <v>81</v>
      </c>
      <c r="AC136" s="201"/>
      <c r="AD136" s="201"/>
      <c r="AE136" s="203"/>
      <c r="AF136" s="201"/>
      <c r="AG136" s="201"/>
      <c r="AH136" s="201"/>
      <c r="AI136" s="203"/>
      <c r="AJ136" s="203"/>
      <c r="AK136" s="203"/>
      <c r="AL136" s="201"/>
      <c r="AM136" s="203"/>
    </row>
    <row r="137" spans="1:55" s="200" customFormat="1">
      <c r="A137" s="202" t="s">
        <v>821</v>
      </c>
      <c r="G137" s="203">
        <v>20</v>
      </c>
      <c r="H137" s="200">
        <v>39</v>
      </c>
      <c r="I137" s="200">
        <v>16</v>
      </c>
      <c r="J137" s="200">
        <v>34</v>
      </c>
      <c r="K137" s="200">
        <v>15</v>
      </c>
      <c r="L137" s="200">
        <v>14</v>
      </c>
      <c r="M137" s="200">
        <v>17</v>
      </c>
      <c r="N137" s="200">
        <v>44</v>
      </c>
      <c r="Q137" s="200">
        <v>44</v>
      </c>
      <c r="S137" s="200">
        <v>44</v>
      </c>
      <c r="V137" s="201"/>
      <c r="W137" s="201"/>
      <c r="X137" s="201"/>
      <c r="Y137" s="201"/>
      <c r="Z137" s="201"/>
      <c r="AA137" s="201"/>
      <c r="AB137" s="203">
        <v>81</v>
      </c>
      <c r="AC137" s="201">
        <v>0.05</v>
      </c>
      <c r="AD137" s="201"/>
      <c r="AE137" s="203"/>
      <c r="AF137" s="201"/>
      <c r="AG137" s="201"/>
      <c r="AH137" s="201"/>
      <c r="AI137" s="203"/>
      <c r="AJ137" s="203"/>
      <c r="AK137" s="203"/>
      <c r="AL137" s="201"/>
      <c r="AM137" s="203"/>
    </row>
    <row r="138" spans="1:55" s="200" customFormat="1">
      <c r="A138" s="202" t="s">
        <v>681</v>
      </c>
      <c r="B138" s="202"/>
      <c r="C138" s="202"/>
      <c r="D138" s="202"/>
      <c r="E138" s="202"/>
      <c r="F138" s="202"/>
      <c r="G138" s="202">
        <v>25</v>
      </c>
      <c r="H138" s="202">
        <v>36</v>
      </c>
      <c r="I138" s="202">
        <v>18</v>
      </c>
      <c r="J138" s="202">
        <v>26</v>
      </c>
      <c r="K138" s="202">
        <v>25</v>
      </c>
      <c r="L138" s="202">
        <v>18</v>
      </c>
      <c r="M138" s="202">
        <v>19</v>
      </c>
      <c r="N138" s="202"/>
      <c r="O138" s="202">
        <v>18</v>
      </c>
      <c r="V138" s="188"/>
      <c r="W138" s="188"/>
      <c r="X138" s="188"/>
      <c r="Y138" s="188"/>
      <c r="Z138" s="188"/>
      <c r="AA138" s="188"/>
      <c r="AB138" s="202">
        <v>80</v>
      </c>
      <c r="AC138" s="188"/>
      <c r="AD138" s="188"/>
      <c r="AF138" s="188"/>
      <c r="AH138" s="188"/>
      <c r="AI138" s="202"/>
      <c r="AJ138" s="202"/>
      <c r="AK138" s="202"/>
      <c r="AL138" s="188"/>
      <c r="AM138" s="202"/>
    </row>
    <row r="139" spans="1:55" s="202" customFormat="1">
      <c r="A139" s="202" t="s">
        <v>900</v>
      </c>
      <c r="G139" s="202">
        <v>48</v>
      </c>
      <c r="H139" s="202">
        <v>31</v>
      </c>
      <c r="I139" s="202">
        <v>24</v>
      </c>
      <c r="J139" s="202">
        <v>17</v>
      </c>
      <c r="K139" s="202">
        <v>15</v>
      </c>
      <c r="L139" s="202">
        <v>19</v>
      </c>
      <c r="M139" s="202">
        <v>15</v>
      </c>
      <c r="N139" s="202">
        <v>42</v>
      </c>
      <c r="O139" s="202">
        <v>20</v>
      </c>
      <c r="V139" s="188"/>
      <c r="W139" s="188"/>
      <c r="X139" s="188"/>
      <c r="Y139" s="188"/>
      <c r="Z139" s="188"/>
      <c r="AA139" s="188"/>
      <c r="AB139" s="202">
        <v>81</v>
      </c>
      <c r="AC139" s="188">
        <v>0.05</v>
      </c>
      <c r="AD139" s="188"/>
      <c r="AG139" s="188"/>
      <c r="AH139" s="188"/>
    </row>
    <row r="140" spans="1:55" s="168" customFormat="1">
      <c r="A140" s="202" t="s">
        <v>824</v>
      </c>
      <c r="B140" s="202"/>
      <c r="C140" s="202"/>
      <c r="D140" s="202"/>
      <c r="E140" s="202"/>
      <c r="F140" s="202"/>
      <c r="G140" s="202">
        <v>31</v>
      </c>
      <c r="H140" s="202">
        <v>27</v>
      </c>
      <c r="I140" s="202">
        <v>14</v>
      </c>
      <c r="J140" s="202">
        <v>20</v>
      </c>
      <c r="K140" s="202">
        <v>11</v>
      </c>
      <c r="L140" s="202">
        <v>11</v>
      </c>
      <c r="M140" s="202">
        <v>11</v>
      </c>
      <c r="N140" s="202">
        <v>40</v>
      </c>
      <c r="O140" s="202"/>
      <c r="P140" s="200"/>
      <c r="Q140" s="200">
        <v>25</v>
      </c>
      <c r="R140" s="200"/>
      <c r="S140" s="200"/>
      <c r="T140" s="200"/>
      <c r="U140" s="200"/>
      <c r="V140" s="188"/>
      <c r="W140" s="188"/>
      <c r="X140" s="188"/>
      <c r="Y140" s="188"/>
      <c r="Z140" s="188"/>
      <c r="AA140" s="188">
        <v>0.08</v>
      </c>
      <c r="AB140" s="202">
        <v>71</v>
      </c>
      <c r="AC140" s="188"/>
      <c r="AD140" s="188"/>
      <c r="AE140" s="200">
        <v>6</v>
      </c>
      <c r="AF140" s="188"/>
      <c r="AG140" s="200"/>
      <c r="AH140" s="188"/>
      <c r="AI140" s="202"/>
      <c r="AJ140" s="202"/>
      <c r="AK140" s="202"/>
      <c r="AL140" s="188"/>
      <c r="AM140" s="202"/>
    </row>
    <row r="141" spans="1:55" s="168" customFormat="1">
      <c r="A141" s="202" t="s">
        <v>825</v>
      </c>
      <c r="B141" s="202"/>
      <c r="C141" s="202"/>
      <c r="D141" s="202"/>
      <c r="E141" s="202"/>
      <c r="F141" s="202"/>
      <c r="G141" s="202">
        <v>33</v>
      </c>
      <c r="H141" s="202">
        <v>29</v>
      </c>
      <c r="I141" s="202">
        <v>14</v>
      </c>
      <c r="J141" s="202">
        <v>20</v>
      </c>
      <c r="K141" s="202">
        <v>11</v>
      </c>
      <c r="L141" s="202">
        <v>11</v>
      </c>
      <c r="M141" s="202">
        <v>11</v>
      </c>
      <c r="N141" s="202">
        <v>55</v>
      </c>
      <c r="O141" s="202"/>
      <c r="P141" s="200"/>
      <c r="Q141" s="200">
        <v>35</v>
      </c>
      <c r="R141" s="200"/>
      <c r="S141" s="200"/>
      <c r="T141" s="200"/>
      <c r="U141" s="200"/>
      <c r="V141" s="188"/>
      <c r="W141" s="188"/>
      <c r="X141" s="188"/>
      <c r="Y141" s="188"/>
      <c r="Z141" s="188"/>
      <c r="AA141" s="188">
        <v>0.09</v>
      </c>
      <c r="AB141" s="202">
        <v>71</v>
      </c>
      <c r="AC141" s="188"/>
      <c r="AD141" s="188"/>
      <c r="AE141" s="200">
        <v>7</v>
      </c>
      <c r="AF141" s="188"/>
      <c r="AG141" s="200"/>
      <c r="AH141" s="188"/>
      <c r="AI141" s="202"/>
      <c r="AJ141" s="202"/>
      <c r="AK141" s="202"/>
      <c r="AL141" s="188"/>
      <c r="AM141" s="202"/>
    </row>
    <row r="142" spans="1:55" s="168" customFormat="1">
      <c r="A142" s="202" t="s">
        <v>826</v>
      </c>
      <c r="B142" s="202"/>
      <c r="C142" s="202"/>
      <c r="D142" s="202"/>
      <c r="E142" s="202"/>
      <c r="F142" s="202"/>
      <c r="G142" s="202">
        <v>21</v>
      </c>
      <c r="H142" s="202">
        <v>17</v>
      </c>
      <c r="I142" s="202">
        <v>14</v>
      </c>
      <c r="J142" s="202">
        <v>20</v>
      </c>
      <c r="K142" s="202">
        <v>11</v>
      </c>
      <c r="L142" s="202">
        <v>11</v>
      </c>
      <c r="M142" s="202">
        <v>11</v>
      </c>
      <c r="N142" s="202">
        <v>25</v>
      </c>
      <c r="O142" s="202"/>
      <c r="P142" s="200"/>
      <c r="Q142" s="200">
        <v>25</v>
      </c>
      <c r="R142" s="200"/>
      <c r="S142" s="200"/>
      <c r="T142" s="200"/>
      <c r="U142" s="200"/>
      <c r="V142" s="188"/>
      <c r="W142" s="188"/>
      <c r="X142" s="188"/>
      <c r="Y142" s="188"/>
      <c r="Z142" s="188"/>
      <c r="AA142" s="188">
        <v>0.08</v>
      </c>
      <c r="AB142" s="202">
        <v>71</v>
      </c>
      <c r="AC142" s="188"/>
      <c r="AD142" s="188"/>
      <c r="AE142" s="200">
        <v>10</v>
      </c>
      <c r="AF142" s="188"/>
      <c r="AG142" s="200"/>
      <c r="AH142" s="188"/>
      <c r="AI142" s="202"/>
      <c r="AJ142" s="202"/>
      <c r="AK142" s="202"/>
      <c r="AL142" s="188"/>
      <c r="AM142" s="202"/>
    </row>
    <row r="143" spans="1:55" s="168" customFormat="1">
      <c r="A143" s="202" t="s">
        <v>827</v>
      </c>
      <c r="B143" s="202"/>
      <c r="C143" s="202"/>
      <c r="D143" s="202"/>
      <c r="E143" s="202"/>
      <c r="F143" s="202"/>
      <c r="G143" s="202">
        <v>21</v>
      </c>
      <c r="H143" s="202">
        <v>17</v>
      </c>
      <c r="I143" s="202">
        <v>14</v>
      </c>
      <c r="J143" s="202">
        <v>20</v>
      </c>
      <c r="K143" s="202">
        <v>11</v>
      </c>
      <c r="L143" s="202">
        <v>11</v>
      </c>
      <c r="M143" s="202">
        <v>11</v>
      </c>
      <c r="N143" s="202">
        <v>35</v>
      </c>
      <c r="O143" s="202"/>
      <c r="P143" s="200"/>
      <c r="Q143" s="200">
        <v>35</v>
      </c>
      <c r="R143" s="200"/>
      <c r="S143" s="200"/>
      <c r="T143" s="200"/>
      <c r="U143" s="200"/>
      <c r="V143" s="188"/>
      <c r="W143" s="188"/>
      <c r="X143" s="188"/>
      <c r="Y143" s="188"/>
      <c r="Z143" s="188"/>
      <c r="AA143" s="188">
        <v>0.09</v>
      </c>
      <c r="AB143" s="202">
        <v>71</v>
      </c>
      <c r="AC143" s="188"/>
      <c r="AD143" s="188"/>
      <c r="AE143" s="200">
        <v>12</v>
      </c>
      <c r="AF143" s="188"/>
      <c r="AG143" s="200"/>
      <c r="AH143" s="188"/>
      <c r="AI143" s="202"/>
      <c r="AJ143" s="202"/>
      <c r="AK143" s="202"/>
      <c r="AL143" s="188"/>
      <c r="AM143" s="202"/>
    </row>
    <row r="144" spans="1:55" s="200" customFormat="1">
      <c r="A144" s="202" t="s">
        <v>631</v>
      </c>
      <c r="G144" s="200">
        <v>20</v>
      </c>
      <c r="H144" s="200">
        <v>21</v>
      </c>
      <c r="I144" s="200">
        <v>20</v>
      </c>
      <c r="J144" s="200">
        <v>21</v>
      </c>
      <c r="K144" s="200">
        <v>17</v>
      </c>
      <c r="L144" s="200">
        <v>17</v>
      </c>
      <c r="M144" s="200">
        <v>19</v>
      </c>
      <c r="V144" s="201"/>
      <c r="W144" s="201"/>
      <c r="X144" s="201"/>
      <c r="Y144" s="201"/>
      <c r="Z144" s="201"/>
      <c r="AA144" s="201"/>
      <c r="AB144" s="200">
        <v>81</v>
      </c>
      <c r="AC144" s="201"/>
      <c r="AD144" s="201"/>
      <c r="AF144" s="201"/>
      <c r="AG144" s="201"/>
      <c r="AH144" s="201"/>
      <c r="AN144" s="201"/>
    </row>
    <row r="145" spans="1:55" s="200" customFormat="1">
      <c r="A145" s="200" t="s">
        <v>678</v>
      </c>
      <c r="G145" s="200">
        <v>20</v>
      </c>
      <c r="H145" s="200">
        <v>22</v>
      </c>
      <c r="I145" s="200">
        <v>22</v>
      </c>
      <c r="J145" s="200">
        <v>22</v>
      </c>
      <c r="K145" s="200">
        <v>21</v>
      </c>
      <c r="L145" s="200">
        <v>21</v>
      </c>
      <c r="M145" s="200">
        <v>21</v>
      </c>
      <c r="N145" s="200">
        <v>26</v>
      </c>
      <c r="V145" s="201"/>
      <c r="W145" s="201">
        <v>0.04</v>
      </c>
      <c r="X145" s="201"/>
      <c r="Y145" s="201"/>
      <c r="Z145" s="201"/>
      <c r="AA145" s="201"/>
      <c r="AB145" s="200">
        <v>80</v>
      </c>
      <c r="AC145" s="201"/>
      <c r="AD145" s="201"/>
      <c r="AH145" s="201"/>
    </row>
    <row r="146" spans="1:55" s="200" customFormat="1">
      <c r="A146" s="200" t="s">
        <v>679</v>
      </c>
      <c r="G146" s="200">
        <v>16</v>
      </c>
      <c r="H146" s="200">
        <v>23</v>
      </c>
      <c r="I146" s="200">
        <v>16</v>
      </c>
      <c r="J146" s="200">
        <v>23</v>
      </c>
      <c r="K146" s="200">
        <v>16</v>
      </c>
      <c r="L146" s="200">
        <v>16</v>
      </c>
      <c r="M146" s="200">
        <v>17</v>
      </c>
      <c r="N146" s="200">
        <v>30</v>
      </c>
      <c r="O146" s="200">
        <v>20</v>
      </c>
      <c r="Q146" s="200">
        <v>10</v>
      </c>
      <c r="V146" s="201"/>
      <c r="W146" s="201"/>
      <c r="X146" s="201"/>
      <c r="Y146" s="201"/>
      <c r="Z146" s="201"/>
      <c r="AA146" s="201"/>
      <c r="AB146" s="200">
        <v>80</v>
      </c>
      <c r="AC146" s="201">
        <v>0.05</v>
      </c>
      <c r="AD146" s="201">
        <v>0.03</v>
      </c>
      <c r="AH146" s="201"/>
    </row>
    <row r="147" spans="1:55" s="200" customFormat="1">
      <c r="A147" s="202" t="s">
        <v>680</v>
      </c>
      <c r="B147" s="202"/>
      <c r="C147" s="202"/>
      <c r="D147" s="202"/>
      <c r="E147" s="202"/>
      <c r="F147" s="202"/>
      <c r="G147" s="202">
        <v>23</v>
      </c>
      <c r="H147" s="202">
        <v>30</v>
      </c>
      <c r="I147" s="202">
        <v>16</v>
      </c>
      <c r="J147" s="202">
        <v>23</v>
      </c>
      <c r="K147" s="202">
        <v>16</v>
      </c>
      <c r="L147" s="202">
        <v>16</v>
      </c>
      <c r="M147" s="202">
        <v>17</v>
      </c>
      <c r="N147" s="202">
        <v>30</v>
      </c>
      <c r="O147" s="202">
        <v>20</v>
      </c>
      <c r="V147" s="188"/>
      <c r="W147" s="188">
        <v>0.02</v>
      </c>
      <c r="X147" s="188"/>
      <c r="Y147" s="188"/>
      <c r="Z147" s="188"/>
      <c r="AA147" s="188"/>
      <c r="AB147" s="202">
        <v>80</v>
      </c>
      <c r="AC147" s="188"/>
      <c r="AD147" s="188"/>
      <c r="AF147" s="188"/>
      <c r="AH147" s="188"/>
      <c r="AI147" s="202"/>
      <c r="AJ147" s="202"/>
      <c r="AK147" s="202"/>
      <c r="AL147" s="188"/>
      <c r="AM147" s="202"/>
    </row>
    <row r="148" spans="1:55" s="168" customFormat="1">
      <c r="A148" s="202" t="s">
        <v>512</v>
      </c>
      <c r="B148" s="202"/>
      <c r="C148" s="202"/>
      <c r="D148" s="202"/>
      <c r="E148" s="202"/>
      <c r="F148" s="202"/>
      <c r="G148" s="202">
        <v>22</v>
      </c>
      <c r="H148" s="202">
        <v>25</v>
      </c>
      <c r="I148" s="202">
        <v>22</v>
      </c>
      <c r="J148" s="202">
        <v>25</v>
      </c>
      <c r="K148" s="202">
        <v>22</v>
      </c>
      <c r="L148" s="202">
        <v>22</v>
      </c>
      <c r="M148" s="202">
        <v>23</v>
      </c>
      <c r="N148" s="202"/>
      <c r="O148" s="202"/>
      <c r="P148" s="200"/>
      <c r="Q148" s="200"/>
      <c r="R148" s="200"/>
      <c r="S148" s="200"/>
      <c r="T148" s="200"/>
      <c r="U148" s="200"/>
      <c r="V148" s="188"/>
      <c r="W148" s="188"/>
      <c r="X148" s="188"/>
      <c r="Y148" s="188"/>
      <c r="Z148" s="188"/>
      <c r="AA148" s="188"/>
      <c r="AB148" s="202">
        <v>71</v>
      </c>
      <c r="AC148" s="188">
        <v>0.03</v>
      </c>
      <c r="AD148" s="188"/>
      <c r="AE148" s="200"/>
      <c r="AF148" s="188"/>
      <c r="AG148" s="200"/>
      <c r="AH148" s="188"/>
      <c r="AI148" s="202"/>
      <c r="AJ148" s="202"/>
      <c r="AK148" s="202"/>
      <c r="AL148" s="188"/>
      <c r="AM148" s="202"/>
    </row>
    <row r="149" spans="1:55" s="200" customFormat="1">
      <c r="A149" s="200" t="s">
        <v>476</v>
      </c>
      <c r="G149" s="200">
        <v>24</v>
      </c>
      <c r="H149" s="200">
        <v>20</v>
      </c>
      <c r="I149" s="200">
        <v>22</v>
      </c>
      <c r="J149" s="200">
        <v>20</v>
      </c>
      <c r="K149" s="200">
        <v>19</v>
      </c>
      <c r="L149" s="200">
        <v>19</v>
      </c>
      <c r="M149" s="200">
        <v>19</v>
      </c>
      <c r="N149" s="200">
        <v>25</v>
      </c>
      <c r="O149" s="200">
        <v>25</v>
      </c>
      <c r="V149" s="201"/>
      <c r="W149" s="201"/>
      <c r="X149" s="201"/>
      <c r="Y149" s="201"/>
      <c r="Z149" s="201"/>
      <c r="AA149" s="201"/>
      <c r="AB149" s="200">
        <v>71</v>
      </c>
      <c r="AC149" s="201"/>
      <c r="AD149" s="201"/>
      <c r="AF149" s="201"/>
      <c r="AH149" s="201"/>
      <c r="AL149" s="201"/>
    </row>
    <row r="152" spans="1:55">
      <c r="A152" t="s">
        <v>17</v>
      </c>
      <c r="B152" t="s">
        <v>30</v>
      </c>
      <c r="C152" t="s">
        <v>518</v>
      </c>
      <c r="D152" t="s">
        <v>652</v>
      </c>
      <c r="E152" t="s">
        <v>484</v>
      </c>
      <c r="F152" s="31" t="s">
        <v>511</v>
      </c>
      <c r="G152" t="s">
        <v>3</v>
      </c>
      <c r="H152" t="s">
        <v>4</v>
      </c>
      <c r="I152" t="s">
        <v>5</v>
      </c>
      <c r="J152" t="s">
        <v>42</v>
      </c>
      <c r="K152" t="s">
        <v>208</v>
      </c>
      <c r="L152" t="s">
        <v>209</v>
      </c>
      <c r="M152" t="s">
        <v>210</v>
      </c>
      <c r="N152" t="s">
        <v>10</v>
      </c>
      <c r="O152" t="s">
        <v>9</v>
      </c>
      <c r="P152" t="s">
        <v>479</v>
      </c>
      <c r="Q152" t="s">
        <v>635</v>
      </c>
      <c r="R152" t="s">
        <v>636</v>
      </c>
      <c r="S152" t="s">
        <v>637</v>
      </c>
      <c r="T152" s="35" t="s">
        <v>638</v>
      </c>
      <c r="U152" s="145" t="s">
        <v>639</v>
      </c>
      <c r="V152" t="s">
        <v>12</v>
      </c>
      <c r="W152" t="s">
        <v>152</v>
      </c>
      <c r="X152" t="s">
        <v>345</v>
      </c>
      <c r="Y152" t="s">
        <v>480</v>
      </c>
      <c r="Z152" t="s">
        <v>481</v>
      </c>
      <c r="AA152" t="s">
        <v>122</v>
      </c>
      <c r="AB152" t="s">
        <v>11</v>
      </c>
      <c r="AC152" t="s">
        <v>119</v>
      </c>
      <c r="AD152" t="s">
        <v>118</v>
      </c>
      <c r="AE152" t="s">
        <v>13</v>
      </c>
      <c r="AF152" t="s">
        <v>116</v>
      </c>
      <c r="AG152" t="s">
        <v>289</v>
      </c>
      <c r="AH152" t="s">
        <v>163</v>
      </c>
      <c r="AI152" s="35" t="s">
        <v>457</v>
      </c>
      <c r="AJ152" s="35" t="s">
        <v>458</v>
      </c>
      <c r="AK152" s="145" t="s">
        <v>433</v>
      </c>
      <c r="AL152" t="s">
        <v>339</v>
      </c>
      <c r="AM152" s="145" t="s">
        <v>649</v>
      </c>
      <c r="AN152" s="200" t="s">
        <v>61</v>
      </c>
      <c r="AO152" s="200" t="s">
        <v>62</v>
      </c>
      <c r="AP152" s="200" t="s">
        <v>390</v>
      </c>
      <c r="AQ152" s="200" t="s">
        <v>382</v>
      </c>
      <c r="AR152" s="200" t="s">
        <v>383</v>
      </c>
      <c r="AS152" s="200" t="s">
        <v>384</v>
      </c>
      <c r="AT152" s="200" t="s">
        <v>385</v>
      </c>
      <c r="AU152" s="200" t="s">
        <v>386</v>
      </c>
      <c r="AV152" s="200" t="s">
        <v>387</v>
      </c>
      <c r="AW152" s="200" t="s">
        <v>388</v>
      </c>
      <c r="AX152" s="200" t="s">
        <v>439</v>
      </c>
      <c r="AY152" s="200" t="s">
        <v>440</v>
      </c>
      <c r="AZ152" s="200" t="s">
        <v>441</v>
      </c>
      <c r="BA152" s="200" t="s">
        <v>442</v>
      </c>
      <c r="BB152" t="s">
        <v>844</v>
      </c>
      <c r="BC152" t="s">
        <v>845</v>
      </c>
    </row>
    <row r="153" spans="1:55" s="200" customFormat="1">
      <c r="A153" s="202" t="s">
        <v>786</v>
      </c>
      <c r="N153" s="200">
        <v>-10</v>
      </c>
      <c r="Q153" s="200">
        <v>-10</v>
      </c>
      <c r="AE153" s="200">
        <v>8</v>
      </c>
      <c r="AI153" s="203"/>
      <c r="AJ153" s="203"/>
      <c r="AK153" s="203"/>
      <c r="AL153" s="203"/>
      <c r="AM153" s="203"/>
      <c r="AO153" s="203"/>
    </row>
    <row r="154" spans="1:55">
      <c r="A154" t="s">
        <v>483</v>
      </c>
      <c r="O154">
        <v>8</v>
      </c>
      <c r="V154" s="2">
        <v>0.02</v>
      </c>
      <c r="AE154">
        <v>3</v>
      </c>
    </row>
    <row r="155" spans="1:55" s="165" customFormat="1">
      <c r="A155" s="165" t="s">
        <v>709</v>
      </c>
      <c r="G155" s="165">
        <v>6</v>
      </c>
      <c r="H155" s="165">
        <v>6</v>
      </c>
      <c r="O155" s="165">
        <v>10</v>
      </c>
      <c r="AA155" s="166"/>
      <c r="AI155" s="167"/>
      <c r="AJ155" s="167"/>
      <c r="AK155" s="167"/>
      <c r="AM155" s="167"/>
    </row>
    <row r="156" spans="1:55" s="165" customFormat="1">
      <c r="A156" s="165" t="s">
        <v>710</v>
      </c>
      <c r="N156" s="165">
        <v>8</v>
      </c>
      <c r="Q156" s="165">
        <v>8</v>
      </c>
      <c r="W156" s="166">
        <v>0.01</v>
      </c>
      <c r="AA156" s="166"/>
      <c r="AI156" s="167"/>
      <c r="AJ156" s="167"/>
      <c r="AK156" s="167"/>
      <c r="AM156" s="167"/>
    </row>
    <row r="157" spans="1:55">
      <c r="A157" s="31" t="s">
        <v>702</v>
      </c>
      <c r="B157">
        <v>15</v>
      </c>
      <c r="V157" s="2"/>
      <c r="W157" s="2"/>
      <c r="X157" s="2"/>
      <c r="Y157" s="2"/>
      <c r="Z157" s="2"/>
      <c r="AA157" s="2"/>
      <c r="AB157" s="35"/>
      <c r="AC157" s="2"/>
      <c r="AD157" s="2"/>
      <c r="AE157">
        <v>4</v>
      </c>
      <c r="AF157" s="35"/>
      <c r="AG157" s="35"/>
      <c r="AH157" s="2"/>
      <c r="AL157" s="35"/>
    </row>
    <row r="158" spans="1:55">
      <c r="A158" t="s">
        <v>682</v>
      </c>
      <c r="N158">
        <v>10</v>
      </c>
      <c r="Q158">
        <v>10</v>
      </c>
      <c r="V158" s="2"/>
      <c r="W158" s="2"/>
      <c r="X158" s="2"/>
      <c r="Y158" s="2"/>
      <c r="Z158" s="2"/>
      <c r="AA158" s="2"/>
      <c r="AB158" s="35"/>
      <c r="AC158" s="2"/>
      <c r="AD158" s="2"/>
      <c r="AE158">
        <v>6</v>
      </c>
      <c r="AF158" s="35"/>
      <c r="AG158" s="35"/>
      <c r="AH158" s="2"/>
      <c r="AL158" s="35"/>
    </row>
    <row r="159" spans="1:55">
      <c r="A159" t="s">
        <v>478</v>
      </c>
      <c r="N159">
        <v>16</v>
      </c>
      <c r="Q159">
        <v>16</v>
      </c>
      <c r="V159" s="2"/>
      <c r="W159" s="2"/>
      <c r="X159" s="2"/>
      <c r="Y159" s="2"/>
      <c r="Z159" s="2"/>
      <c r="AA159" s="2"/>
      <c r="AB159" s="35"/>
      <c r="AC159" s="2"/>
      <c r="AD159" s="2"/>
      <c r="AF159" s="35"/>
      <c r="AG159" s="35"/>
      <c r="AH159" s="2"/>
      <c r="AL159" s="35"/>
    </row>
    <row r="160" spans="1:55" s="200" customFormat="1">
      <c r="A160" s="202" t="s">
        <v>753</v>
      </c>
      <c r="N160" s="200">
        <v>10</v>
      </c>
      <c r="V160" s="201"/>
      <c r="W160" s="201"/>
      <c r="X160" s="201"/>
      <c r="Y160" s="201"/>
      <c r="Z160" s="201"/>
      <c r="AA160" s="201"/>
      <c r="AB160" s="203"/>
      <c r="AC160" s="201"/>
      <c r="AD160" s="201"/>
      <c r="AF160" s="203"/>
      <c r="AG160" s="203"/>
      <c r="AH160" s="201"/>
      <c r="AI160" s="203">
        <v>97.65625</v>
      </c>
      <c r="AJ160" s="203"/>
      <c r="AK160" s="203"/>
      <c r="AL160" s="203"/>
      <c r="AM160" s="203"/>
    </row>
    <row r="161" spans="1:55">
      <c r="A161" t="s">
        <v>27</v>
      </c>
      <c r="N161">
        <v>10</v>
      </c>
      <c r="V161" s="2"/>
      <c r="W161" s="2"/>
      <c r="X161" s="2"/>
      <c r="Y161" s="2"/>
      <c r="Z161" s="2"/>
      <c r="AA161" s="2"/>
      <c r="AB161" s="35"/>
      <c r="AC161" s="2"/>
      <c r="AD161" s="2"/>
      <c r="AF161" s="35"/>
      <c r="AG161" s="35"/>
      <c r="AH161" s="2"/>
      <c r="AI161" s="35">
        <v>97.65625</v>
      </c>
      <c r="AL161" s="35"/>
    </row>
    <row r="162" spans="1:55">
      <c r="A162" t="s">
        <v>133</v>
      </c>
      <c r="N162">
        <v>7</v>
      </c>
      <c r="V162" s="2"/>
      <c r="W162" s="2"/>
      <c r="X162" s="2"/>
      <c r="Y162" s="2"/>
      <c r="Z162" s="2"/>
      <c r="AA162" s="2"/>
      <c r="AB162" s="35"/>
      <c r="AC162" s="2"/>
      <c r="AD162" s="2">
        <v>0.02</v>
      </c>
      <c r="AF162" s="35"/>
      <c r="AG162" s="35"/>
      <c r="AH162" s="2"/>
      <c r="AL162" s="35"/>
    </row>
    <row r="163" spans="1:55" s="200" customFormat="1">
      <c r="A163" s="200" t="s">
        <v>791</v>
      </c>
      <c r="Q163" s="200">
        <v>30</v>
      </c>
      <c r="R163" s="200">
        <v>30</v>
      </c>
      <c r="V163" s="201"/>
      <c r="W163" s="201"/>
      <c r="X163" s="201"/>
      <c r="Y163" s="201"/>
      <c r="Z163" s="201"/>
      <c r="AA163" s="201"/>
      <c r="AB163" s="203"/>
      <c r="AC163" s="201"/>
      <c r="AD163" s="201"/>
      <c r="AE163" s="200">
        <v>8</v>
      </c>
      <c r="AF163" s="203"/>
      <c r="AG163" s="203"/>
      <c r="AH163" s="201"/>
      <c r="AI163" s="203"/>
      <c r="AJ163" s="203"/>
      <c r="AK163" s="203"/>
      <c r="AL163" s="203"/>
      <c r="AM163" s="203"/>
    </row>
    <row r="164" spans="1:55">
      <c r="A164" s="31" t="s">
        <v>640</v>
      </c>
      <c r="G164">
        <v>7</v>
      </c>
      <c r="I164">
        <v>-5</v>
      </c>
      <c r="O164">
        <v>8</v>
      </c>
      <c r="V164" s="2"/>
      <c r="W164" s="2"/>
      <c r="X164" s="2"/>
      <c r="Y164" s="2"/>
      <c r="Z164" s="2"/>
      <c r="AA164" s="2"/>
      <c r="AB164" s="35"/>
      <c r="AC164" s="2"/>
      <c r="AD164" s="2"/>
      <c r="AF164" s="35"/>
      <c r="AG164" s="35"/>
      <c r="AH164" s="2"/>
      <c r="AI164" s="2"/>
      <c r="AJ164" s="2"/>
      <c r="AK164" s="2"/>
      <c r="AL164" s="2"/>
      <c r="AM164" s="2"/>
    </row>
    <row r="165" spans="1:55" s="200" customFormat="1">
      <c r="A165" s="202" t="s">
        <v>755</v>
      </c>
      <c r="N165" s="200">
        <v>8</v>
      </c>
      <c r="V165" s="201">
        <v>0.01</v>
      </c>
      <c r="W165" s="201"/>
      <c r="X165" s="201"/>
      <c r="Y165" s="201"/>
      <c r="Z165" s="201"/>
      <c r="AA165" s="201"/>
      <c r="AB165" s="203"/>
      <c r="AC165" s="201"/>
      <c r="AD165" s="201"/>
      <c r="AE165" s="200">
        <v>4</v>
      </c>
      <c r="AF165" s="203"/>
      <c r="AG165" s="203"/>
      <c r="AH165" s="201"/>
      <c r="AI165" s="201"/>
      <c r="AJ165" s="201"/>
      <c r="AK165" s="201"/>
      <c r="AL165" s="201"/>
      <c r="AM165" s="201"/>
    </row>
    <row r="166" spans="1:55">
      <c r="A166" t="s">
        <v>300</v>
      </c>
      <c r="H166">
        <v>6</v>
      </c>
      <c r="J166">
        <v>6</v>
      </c>
      <c r="V166" s="2"/>
      <c r="W166" s="2"/>
      <c r="X166" s="2"/>
      <c r="Y166" s="2"/>
      <c r="Z166" s="2"/>
      <c r="AA166" s="2"/>
      <c r="AB166" s="35"/>
      <c r="AC166" s="2"/>
      <c r="AD166" s="2"/>
      <c r="AF166" s="35"/>
      <c r="AG166" s="35"/>
      <c r="AH166" s="2"/>
      <c r="AL166" s="35"/>
    </row>
    <row r="167" spans="1:55" s="200" customFormat="1">
      <c r="A167" s="200" t="s">
        <v>798</v>
      </c>
      <c r="N167" s="200">
        <v>20</v>
      </c>
      <c r="V167" s="201"/>
      <c r="W167" s="201"/>
      <c r="X167" s="201"/>
      <c r="Y167" s="201"/>
      <c r="Z167" s="201">
        <v>0.08</v>
      </c>
      <c r="AA167" s="201"/>
      <c r="AB167" s="203"/>
      <c r="AC167" s="201"/>
      <c r="AD167" s="201"/>
      <c r="AE167" s="200">
        <v>8</v>
      </c>
      <c r="AF167" s="203"/>
      <c r="AG167" s="203"/>
      <c r="AH167" s="201"/>
      <c r="AI167" s="203"/>
      <c r="AJ167" s="203"/>
      <c r="AK167" s="203"/>
      <c r="AL167" s="203"/>
      <c r="AM167" s="203"/>
    </row>
    <row r="168" spans="1:55" s="200" customFormat="1">
      <c r="A168" s="200" t="s">
        <v>797</v>
      </c>
      <c r="N168" s="200">
        <v>25</v>
      </c>
      <c r="V168" s="201"/>
      <c r="W168" s="201"/>
      <c r="X168" s="201"/>
      <c r="Y168" s="201"/>
      <c r="Z168" s="201">
        <v>0.1</v>
      </c>
      <c r="AA168" s="201"/>
      <c r="AB168" s="203"/>
      <c r="AC168" s="201"/>
      <c r="AD168" s="201"/>
      <c r="AE168" s="200">
        <v>10</v>
      </c>
      <c r="AF168" s="203"/>
      <c r="AG168" s="203"/>
      <c r="AH168" s="201"/>
      <c r="AI168" s="203"/>
      <c r="AJ168" s="203"/>
      <c r="AK168" s="203"/>
      <c r="AL168" s="203"/>
      <c r="AM168" s="203"/>
    </row>
    <row r="169" spans="1:55">
      <c r="A169" s="31" t="s">
        <v>641</v>
      </c>
      <c r="N169">
        <v>3</v>
      </c>
      <c r="S169">
        <v>3</v>
      </c>
      <c r="V169" s="2"/>
      <c r="W169" s="2"/>
      <c r="X169" s="2"/>
      <c r="Y169" s="2"/>
      <c r="Z169" s="2"/>
      <c r="AA169" s="2"/>
      <c r="AB169" s="35"/>
      <c r="AC169" s="2">
        <v>0.03</v>
      </c>
      <c r="AD169" s="2"/>
      <c r="AF169" s="35"/>
      <c r="AG169" s="35"/>
      <c r="AH169" s="2"/>
      <c r="AI169" s="2"/>
      <c r="AJ169" s="2"/>
      <c r="AK169" s="2"/>
      <c r="AL169" s="2"/>
      <c r="AM169" s="2"/>
    </row>
    <row r="170" spans="1:55" s="200" customFormat="1">
      <c r="A170" s="202" t="s">
        <v>846</v>
      </c>
      <c r="H170" s="200">
        <v>10</v>
      </c>
      <c r="J170" s="200">
        <v>10</v>
      </c>
      <c r="N170" s="200">
        <v>15</v>
      </c>
      <c r="Q170" s="200">
        <v>15</v>
      </c>
      <c r="V170" s="201"/>
      <c r="W170" s="201"/>
      <c r="X170" s="201"/>
      <c r="Y170" s="201"/>
      <c r="Z170" s="201"/>
      <c r="AA170" s="201"/>
      <c r="AB170" s="203"/>
      <c r="AC170" s="201"/>
      <c r="AD170" s="201"/>
      <c r="AE170" s="200">
        <v>3</v>
      </c>
      <c r="AF170" s="203"/>
      <c r="AG170" s="203"/>
      <c r="AH170" s="201"/>
      <c r="AI170" s="201"/>
      <c r="AJ170" s="201"/>
      <c r="AK170" s="201"/>
      <c r="AL170" s="201"/>
      <c r="AM170" s="201">
        <v>0.15</v>
      </c>
      <c r="BC170" s="4">
        <v>0.06</v>
      </c>
    </row>
    <row r="171" spans="1:55" s="200" customFormat="1">
      <c r="A171" s="202" t="s">
        <v>847</v>
      </c>
      <c r="H171" s="200">
        <v>12</v>
      </c>
      <c r="J171" s="200">
        <v>12</v>
      </c>
      <c r="N171" s="200">
        <v>20</v>
      </c>
      <c r="Q171" s="200">
        <v>20</v>
      </c>
      <c r="V171" s="201"/>
      <c r="W171" s="201"/>
      <c r="X171" s="201"/>
      <c r="Y171" s="201"/>
      <c r="Z171" s="201"/>
      <c r="AA171" s="201"/>
      <c r="AB171" s="203"/>
      <c r="AC171" s="201"/>
      <c r="AD171" s="201"/>
      <c r="AE171" s="200">
        <v>5</v>
      </c>
      <c r="AF171" s="203"/>
      <c r="AG171" s="203"/>
      <c r="AH171" s="201"/>
      <c r="AI171" s="201"/>
      <c r="AJ171" s="201"/>
      <c r="AK171" s="201"/>
      <c r="AL171" s="201"/>
      <c r="AM171" s="201">
        <v>0.2</v>
      </c>
      <c r="BC171" s="4">
        <v>0.08</v>
      </c>
    </row>
    <row r="172" spans="1:55" s="200" customFormat="1">
      <c r="A172" s="202" t="s">
        <v>850</v>
      </c>
      <c r="H172" s="200">
        <v>15</v>
      </c>
      <c r="J172" s="200">
        <v>15</v>
      </c>
      <c r="N172" s="200">
        <v>25</v>
      </c>
      <c r="Q172" s="200">
        <v>25</v>
      </c>
      <c r="V172" s="201"/>
      <c r="W172" s="201"/>
      <c r="X172" s="201"/>
      <c r="Y172" s="201"/>
      <c r="Z172" s="201"/>
      <c r="AA172" s="201"/>
      <c r="AB172" s="203"/>
      <c r="AC172" s="201"/>
      <c r="AD172" s="201"/>
      <c r="AE172" s="200">
        <v>7</v>
      </c>
      <c r="AF172" s="203"/>
      <c r="AG172" s="203"/>
      <c r="AH172" s="201"/>
      <c r="AI172" s="201"/>
      <c r="AJ172" s="201"/>
      <c r="AK172" s="201"/>
      <c r="AL172" s="201"/>
      <c r="AM172" s="201">
        <v>0.25</v>
      </c>
      <c r="BC172" s="4">
        <v>0.1</v>
      </c>
    </row>
    <row r="173" spans="1:55">
      <c r="A173" t="s">
        <v>299</v>
      </c>
      <c r="N173">
        <v>3</v>
      </c>
      <c r="V173" s="2">
        <v>0.03</v>
      </c>
      <c r="W173" s="2"/>
      <c r="X173" s="2"/>
      <c r="Y173" s="2"/>
      <c r="Z173" s="2"/>
      <c r="AA173" s="2"/>
      <c r="AB173" s="35"/>
      <c r="AC173" s="2"/>
      <c r="AD173" s="2"/>
      <c r="AF173" s="35"/>
      <c r="AG173" s="35"/>
      <c r="AH173" s="2"/>
      <c r="AL173" s="35"/>
    </row>
    <row r="174" spans="1:55">
      <c r="A174" t="s">
        <v>304</v>
      </c>
      <c r="N174">
        <v>6</v>
      </c>
      <c r="V174" s="2"/>
      <c r="W174" s="2"/>
      <c r="X174" s="2"/>
      <c r="Y174" s="2"/>
      <c r="Z174" s="2"/>
      <c r="AA174" s="2"/>
      <c r="AB174" s="35"/>
      <c r="AC174" s="2">
        <v>0.05</v>
      </c>
      <c r="AD174" s="2"/>
      <c r="AF174" s="35"/>
      <c r="AG174" s="35"/>
      <c r="AH174" s="2"/>
      <c r="AL174" s="35"/>
    </row>
    <row r="175" spans="1:55">
      <c r="A175" t="s">
        <v>76</v>
      </c>
      <c r="V175" s="2"/>
      <c r="W175" s="2"/>
      <c r="X175" s="2"/>
      <c r="Y175" s="2"/>
      <c r="Z175" s="2"/>
      <c r="AA175" s="2"/>
      <c r="AB175" s="35">
        <v>10</v>
      </c>
      <c r="AC175" s="2"/>
      <c r="AD175" s="2"/>
      <c r="AF175" s="35"/>
      <c r="AG175" s="35"/>
      <c r="AH175" s="2"/>
      <c r="AL175" s="35"/>
    </row>
    <row r="176" spans="1:55" s="31" customFormat="1">
      <c r="A176" s="31" t="s">
        <v>628</v>
      </c>
      <c r="V176" s="12"/>
      <c r="W176" s="12"/>
      <c r="X176" s="12"/>
      <c r="Y176" s="12"/>
      <c r="Z176" s="12"/>
      <c r="AA176" s="12"/>
      <c r="AB176" s="50"/>
      <c r="AC176" s="12"/>
      <c r="AD176" s="12"/>
      <c r="AF176" s="50">
        <v>30</v>
      </c>
      <c r="AG176" s="12"/>
      <c r="AH176" s="12"/>
      <c r="AI176" s="50"/>
      <c r="AJ176" s="50"/>
      <c r="AK176" s="50"/>
      <c r="AL176" s="50"/>
      <c r="AM176" s="50"/>
    </row>
    <row r="177" spans="1:39" s="31" customFormat="1">
      <c r="A177" s="31" t="s">
        <v>627</v>
      </c>
      <c r="V177" s="12"/>
      <c r="W177" s="12"/>
      <c r="X177" s="12"/>
      <c r="Y177" s="12"/>
      <c r="Z177" s="12"/>
      <c r="AA177" s="12"/>
      <c r="AB177" s="50"/>
      <c r="AC177" s="12"/>
      <c r="AD177" s="12"/>
      <c r="AF177" s="50">
        <v>30</v>
      </c>
      <c r="AG177" s="12"/>
      <c r="AH177" s="12">
        <v>0.25</v>
      </c>
      <c r="AI177" s="50"/>
      <c r="AJ177" s="50"/>
      <c r="AK177" s="50"/>
      <c r="AL177" s="50"/>
      <c r="AM177" s="50"/>
    </row>
    <row r="180" spans="1:39">
      <c r="A180" t="s">
        <v>63</v>
      </c>
      <c r="B180" t="s">
        <v>30</v>
      </c>
      <c r="C180" t="s">
        <v>518</v>
      </c>
      <c r="D180" t="s">
        <v>652</v>
      </c>
      <c r="E180" t="s">
        <v>484</v>
      </c>
      <c r="F180" s="31" t="s">
        <v>511</v>
      </c>
      <c r="G180" t="s">
        <v>3</v>
      </c>
      <c r="H180" t="s">
        <v>4</v>
      </c>
      <c r="I180" t="s">
        <v>5</v>
      </c>
      <c r="J180" t="s">
        <v>42</v>
      </c>
      <c r="K180" t="s">
        <v>208</v>
      </c>
      <c r="L180" t="s">
        <v>209</v>
      </c>
      <c r="M180" t="s">
        <v>210</v>
      </c>
      <c r="N180" t="s">
        <v>10</v>
      </c>
      <c r="O180" t="s">
        <v>9</v>
      </c>
      <c r="P180" t="s">
        <v>479</v>
      </c>
      <c r="Q180" t="s">
        <v>635</v>
      </c>
      <c r="R180" t="s">
        <v>636</v>
      </c>
      <c r="S180" t="s">
        <v>637</v>
      </c>
      <c r="T180" s="35" t="s">
        <v>638</v>
      </c>
      <c r="U180" s="145" t="s">
        <v>639</v>
      </c>
      <c r="V180" t="s">
        <v>12</v>
      </c>
      <c r="W180" t="s">
        <v>152</v>
      </c>
      <c r="X180" t="s">
        <v>345</v>
      </c>
      <c r="Y180" t="s">
        <v>480</v>
      </c>
      <c r="Z180" t="s">
        <v>481</v>
      </c>
      <c r="AA180" t="s">
        <v>122</v>
      </c>
      <c r="AB180" t="s">
        <v>11</v>
      </c>
      <c r="AC180" t="s">
        <v>119</v>
      </c>
      <c r="AD180" t="s">
        <v>118</v>
      </c>
      <c r="AE180" t="s">
        <v>13</v>
      </c>
      <c r="AF180" t="s">
        <v>116</v>
      </c>
      <c r="AG180" t="s">
        <v>289</v>
      </c>
      <c r="AH180" t="s">
        <v>163</v>
      </c>
      <c r="AI180" s="35" t="s">
        <v>457</v>
      </c>
      <c r="AJ180" s="35" t="s">
        <v>458</v>
      </c>
      <c r="AK180" s="145" t="s">
        <v>433</v>
      </c>
      <c r="AL180" t="s">
        <v>339</v>
      </c>
      <c r="AM180" s="145" t="s">
        <v>649</v>
      </c>
    </row>
    <row r="181" spans="1:39">
      <c r="A181" t="s">
        <v>887</v>
      </c>
      <c r="N181">
        <v>10</v>
      </c>
      <c r="O181">
        <v>10</v>
      </c>
      <c r="V181" s="2"/>
      <c r="W181" s="2"/>
      <c r="X181" s="2">
        <v>0.01</v>
      </c>
      <c r="Y181" s="2"/>
      <c r="Z181" s="2"/>
      <c r="AA181" s="2"/>
      <c r="AB181" s="35"/>
      <c r="AC181" s="2"/>
      <c r="AD181" s="2"/>
      <c r="AE181">
        <v>3</v>
      </c>
      <c r="AF181" s="35"/>
      <c r="AG181" s="35"/>
      <c r="AH181" s="2"/>
      <c r="AI181" s="2"/>
      <c r="AJ181" s="2"/>
      <c r="AK181" s="2"/>
      <c r="AL181" s="2"/>
      <c r="AM181" s="2"/>
    </row>
    <row r="182" spans="1:39">
      <c r="A182" t="s">
        <v>25</v>
      </c>
      <c r="V182" s="2">
        <v>0.05</v>
      </c>
      <c r="W182" s="2"/>
      <c r="X182" s="2"/>
      <c r="Y182" s="2"/>
      <c r="Z182" s="2"/>
      <c r="AA182" s="2"/>
      <c r="AB182" s="35"/>
      <c r="AC182" s="2"/>
      <c r="AD182" s="2"/>
      <c r="AE182">
        <v>1</v>
      </c>
      <c r="AF182" s="35"/>
      <c r="AG182" s="35"/>
      <c r="AH182" s="2"/>
      <c r="AL182" s="35"/>
    </row>
    <row r="183" spans="1:39" s="165" customFormat="1">
      <c r="A183" s="165" t="s">
        <v>711</v>
      </c>
      <c r="N183" s="165">
        <v>6</v>
      </c>
      <c r="V183" s="166">
        <v>0.03</v>
      </c>
      <c r="W183" s="166"/>
      <c r="X183" s="166"/>
      <c r="Y183" s="166"/>
      <c r="Z183" s="166"/>
      <c r="AA183" s="166"/>
      <c r="AB183" s="167"/>
      <c r="AC183" s="166"/>
      <c r="AD183" s="166"/>
      <c r="AE183" s="165">
        <v>3</v>
      </c>
      <c r="AF183" s="167"/>
      <c r="AG183" s="167"/>
      <c r="AH183" s="166"/>
      <c r="AI183" s="167"/>
      <c r="AJ183" s="167"/>
      <c r="AK183" s="167"/>
      <c r="AL183" s="167"/>
      <c r="AM183" s="167"/>
    </row>
    <row r="184" spans="1:39">
      <c r="A184" s="31" t="s">
        <v>699</v>
      </c>
      <c r="N184">
        <v>-10</v>
      </c>
      <c r="O184">
        <v>-10</v>
      </c>
      <c r="Q184">
        <v>-10</v>
      </c>
      <c r="R184">
        <v>-10</v>
      </c>
      <c r="V184" s="2"/>
      <c r="W184" s="2"/>
      <c r="X184" s="2"/>
      <c r="Y184" s="2"/>
      <c r="Z184" s="2"/>
      <c r="AA184" s="2"/>
      <c r="AB184" s="35"/>
      <c r="AC184" s="2"/>
      <c r="AD184" s="2"/>
      <c r="AE184">
        <v>8</v>
      </c>
      <c r="AF184" s="35"/>
      <c r="AG184" s="35"/>
      <c r="AH184" s="2"/>
      <c r="AL184" s="35"/>
    </row>
    <row r="185" spans="1:39" s="200" customFormat="1">
      <c r="A185" s="202" t="s">
        <v>843</v>
      </c>
      <c r="N185" s="200">
        <v>10</v>
      </c>
      <c r="S185" s="200">
        <v>10</v>
      </c>
      <c r="V185" s="201"/>
      <c r="W185" s="201"/>
      <c r="X185" s="201"/>
      <c r="Y185" s="201"/>
      <c r="Z185" s="201"/>
      <c r="AA185" s="201"/>
      <c r="AB185" s="203"/>
      <c r="AC185" s="201"/>
      <c r="AD185" s="201"/>
      <c r="AE185" s="200">
        <v>5</v>
      </c>
      <c r="AF185" s="203"/>
      <c r="AG185" s="203"/>
      <c r="AH185" s="201"/>
      <c r="AI185" s="203"/>
      <c r="AJ185" s="203"/>
      <c r="AK185" s="203"/>
      <c r="AL185" s="203"/>
      <c r="AM185" s="203"/>
    </row>
    <row r="186" spans="1:39" s="200" customFormat="1">
      <c r="A186" s="202" t="s">
        <v>901</v>
      </c>
      <c r="H186" s="200">
        <v>10</v>
      </c>
      <c r="N186" s="200">
        <v>15</v>
      </c>
      <c r="V186" s="201"/>
      <c r="W186" s="201"/>
      <c r="X186" s="201"/>
      <c r="Y186" s="201"/>
      <c r="Z186" s="201"/>
      <c r="AA186" s="201"/>
      <c r="AC186" s="201"/>
      <c r="AD186" s="201"/>
      <c r="AH186" s="201"/>
    </row>
    <row r="187" spans="1:39">
      <c r="A187" t="s">
        <v>488</v>
      </c>
      <c r="O187">
        <v>8</v>
      </c>
      <c r="V187" s="2"/>
      <c r="W187" s="2"/>
      <c r="X187" s="2"/>
      <c r="Y187" s="2"/>
      <c r="Z187" s="2"/>
      <c r="AA187" s="2"/>
      <c r="AB187" s="35"/>
      <c r="AC187" s="2"/>
      <c r="AD187" s="2"/>
      <c r="AF187" s="35"/>
      <c r="AG187" s="35"/>
      <c r="AH187" s="2"/>
      <c r="AI187" s="2"/>
      <c r="AJ187" s="2"/>
      <c r="AK187" s="2"/>
      <c r="AL187" s="2"/>
      <c r="AM187" s="2"/>
    </row>
    <row r="188" spans="1:39" s="200" customFormat="1">
      <c r="A188" s="200" t="s">
        <v>855</v>
      </c>
      <c r="V188" s="201"/>
      <c r="W188" s="201"/>
      <c r="X188" s="201"/>
      <c r="Y188" s="201"/>
      <c r="Z188" s="201"/>
      <c r="AA188" s="201">
        <v>0.04</v>
      </c>
      <c r="AB188" s="203"/>
      <c r="AC188" s="201"/>
      <c r="AD188" s="201"/>
      <c r="AF188" s="203"/>
      <c r="AG188" s="203"/>
      <c r="AH188" s="201"/>
      <c r="AI188" s="201"/>
      <c r="AJ188" s="201"/>
      <c r="AK188" s="201"/>
      <c r="AL188" s="201"/>
      <c r="AM188" s="201"/>
    </row>
    <row r="189" spans="1:39">
      <c r="A189" t="s">
        <v>489</v>
      </c>
      <c r="N189">
        <v>8</v>
      </c>
      <c r="V189" s="2"/>
      <c r="W189" s="2"/>
      <c r="X189" s="2"/>
      <c r="Y189" s="2"/>
      <c r="Z189" s="2"/>
      <c r="AA189" s="2"/>
      <c r="AB189" s="35"/>
      <c r="AC189" s="2"/>
      <c r="AD189" s="2"/>
      <c r="AF189" s="35"/>
      <c r="AG189" s="35"/>
      <c r="AH189" s="2"/>
      <c r="AI189" s="2"/>
      <c r="AJ189" s="2"/>
      <c r="AK189" s="2"/>
      <c r="AL189" s="2"/>
      <c r="AM189" s="2"/>
    </row>
    <row r="190" spans="1:39">
      <c r="A190" t="s">
        <v>133</v>
      </c>
      <c r="V190" s="2"/>
      <c r="W190" s="2"/>
      <c r="X190" s="2"/>
      <c r="Y190" s="2"/>
      <c r="Z190" s="2"/>
      <c r="AA190" s="2">
        <v>0.01</v>
      </c>
      <c r="AB190" s="35"/>
      <c r="AC190" s="2"/>
      <c r="AD190" s="2"/>
      <c r="AF190" s="35"/>
      <c r="AG190" s="35"/>
      <c r="AH190" s="2"/>
      <c r="AL190" s="35"/>
    </row>
    <row r="191" spans="1:39">
      <c r="A191" t="s">
        <v>683</v>
      </c>
      <c r="V191" s="2"/>
      <c r="W191" s="2"/>
      <c r="X191" s="2"/>
      <c r="Y191" s="2"/>
      <c r="Z191" s="2"/>
      <c r="AA191" s="2"/>
      <c r="AB191" s="35"/>
      <c r="AC191" s="2"/>
      <c r="AD191" s="2"/>
      <c r="AF191" s="35"/>
      <c r="AG191" s="35"/>
      <c r="AH191" s="2">
        <v>0.02</v>
      </c>
      <c r="AL191" s="35"/>
    </row>
    <row r="192" spans="1:39">
      <c r="A192" s="31" t="s">
        <v>684</v>
      </c>
      <c r="G192">
        <v>7</v>
      </c>
      <c r="H192">
        <v>7</v>
      </c>
      <c r="I192">
        <v>7</v>
      </c>
      <c r="K192">
        <v>7</v>
      </c>
      <c r="V192" s="2">
        <v>0.03</v>
      </c>
      <c r="W192" s="2"/>
      <c r="X192" s="2"/>
      <c r="Y192" s="2"/>
      <c r="Z192" s="2"/>
      <c r="AA192" s="2"/>
      <c r="AB192" s="35"/>
      <c r="AC192" s="2"/>
      <c r="AD192" s="2"/>
      <c r="AF192" s="2"/>
      <c r="AG192" s="35"/>
      <c r="AH192" s="2"/>
      <c r="AL192" s="2"/>
    </row>
    <row r="193" spans="1:41">
      <c r="A193" t="s">
        <v>685</v>
      </c>
      <c r="G193">
        <v>8</v>
      </c>
      <c r="H193">
        <v>8</v>
      </c>
      <c r="I193">
        <v>8</v>
      </c>
      <c r="K193">
        <v>8</v>
      </c>
      <c r="V193" s="2">
        <v>0.03</v>
      </c>
      <c r="W193" s="2"/>
      <c r="X193" s="2"/>
      <c r="Y193" s="2"/>
      <c r="Z193" s="2"/>
      <c r="AA193" s="2"/>
      <c r="AB193" s="35"/>
      <c r="AC193" s="2"/>
      <c r="AD193" s="2"/>
      <c r="AF193" s="35"/>
      <c r="AG193" s="35"/>
      <c r="AH193" s="2"/>
      <c r="AL193" s="35"/>
    </row>
    <row r="194" spans="1:41" s="200" customFormat="1">
      <c r="A194" s="200" t="s">
        <v>878</v>
      </c>
      <c r="G194" s="200">
        <v>16</v>
      </c>
      <c r="H194" s="200">
        <v>16</v>
      </c>
      <c r="I194" s="200">
        <v>16</v>
      </c>
      <c r="K194" s="200">
        <v>8</v>
      </c>
      <c r="V194" s="201">
        <v>0.03</v>
      </c>
      <c r="W194" s="201"/>
      <c r="X194" s="201"/>
      <c r="Y194" s="201"/>
      <c r="Z194" s="201"/>
      <c r="AA194" s="201"/>
      <c r="AB194" s="203"/>
      <c r="AC194" s="201"/>
      <c r="AD194" s="201"/>
      <c r="AF194" s="203"/>
      <c r="AG194" s="203"/>
      <c r="AH194" s="201"/>
      <c r="AI194" s="203"/>
      <c r="AJ194" s="203"/>
      <c r="AK194" s="203"/>
      <c r="AL194" s="203"/>
      <c r="AM194" s="203"/>
    </row>
    <row r="195" spans="1:41">
      <c r="A195" t="s">
        <v>686</v>
      </c>
      <c r="J195">
        <v>2</v>
      </c>
      <c r="R195">
        <v>4</v>
      </c>
      <c r="V195" s="2"/>
      <c r="W195" s="2"/>
      <c r="X195" s="2"/>
      <c r="Y195" s="2"/>
      <c r="Z195" s="2"/>
      <c r="AA195" s="2"/>
      <c r="AB195" s="35"/>
      <c r="AC195" s="2"/>
      <c r="AD195" s="2"/>
      <c r="AE195">
        <v>4</v>
      </c>
      <c r="AF195" s="35"/>
      <c r="AG195" s="35"/>
      <c r="AH195" s="2"/>
      <c r="AL195" s="35"/>
    </row>
    <row r="196" spans="1:41" s="200" customFormat="1">
      <c r="A196" s="202" t="s">
        <v>860</v>
      </c>
      <c r="H196" s="200">
        <v>5</v>
      </c>
      <c r="N196" s="200">
        <v>7</v>
      </c>
      <c r="V196" s="201">
        <v>0.01</v>
      </c>
      <c r="W196" s="201"/>
      <c r="X196" s="201"/>
      <c r="Y196" s="201"/>
      <c r="Z196" s="201"/>
      <c r="AA196" s="201"/>
      <c r="AB196" s="203"/>
      <c r="AC196" s="201"/>
      <c r="AD196" s="201"/>
      <c r="AF196" s="203"/>
      <c r="AG196" s="203"/>
      <c r="AH196" s="201"/>
      <c r="AI196" s="203"/>
      <c r="AJ196" s="203"/>
      <c r="AK196" s="203"/>
      <c r="AL196" s="203"/>
      <c r="AM196" s="203"/>
    </row>
    <row r="197" spans="1:41" s="200" customFormat="1">
      <c r="A197" s="202" t="s">
        <v>861</v>
      </c>
      <c r="H197" s="200">
        <v>8</v>
      </c>
      <c r="N197" s="200">
        <v>10</v>
      </c>
      <c r="V197" s="201">
        <v>0.02</v>
      </c>
      <c r="W197" s="201"/>
      <c r="X197" s="201"/>
      <c r="Y197" s="201"/>
      <c r="Z197" s="201"/>
      <c r="AA197" s="201"/>
      <c r="AB197" s="203"/>
      <c r="AC197" s="201"/>
      <c r="AD197" s="201"/>
      <c r="AF197" s="203"/>
      <c r="AG197" s="203"/>
      <c r="AH197" s="201"/>
      <c r="AI197" s="203"/>
      <c r="AJ197" s="203"/>
      <c r="AK197" s="203"/>
      <c r="AL197" s="203"/>
      <c r="AM197" s="203"/>
    </row>
    <row r="198" spans="1:41">
      <c r="A198" t="s">
        <v>493</v>
      </c>
      <c r="N198">
        <v>4</v>
      </c>
      <c r="V198" s="2"/>
      <c r="W198" s="2"/>
      <c r="X198" s="2"/>
      <c r="Y198" s="2"/>
      <c r="Z198" s="2"/>
      <c r="AA198" s="2"/>
      <c r="AB198" s="35"/>
      <c r="AC198" s="2"/>
      <c r="AD198" s="2"/>
      <c r="AF198" s="35">
        <v>10</v>
      </c>
      <c r="AG198" s="35"/>
      <c r="AH198" s="2"/>
      <c r="AL198" s="35"/>
    </row>
    <row r="199" spans="1:41">
      <c r="A199" t="s">
        <v>494</v>
      </c>
      <c r="N199">
        <v>4</v>
      </c>
      <c r="V199" s="2"/>
      <c r="W199" s="2"/>
      <c r="X199" s="2"/>
      <c r="Y199" s="2"/>
      <c r="Z199" s="2"/>
      <c r="AA199" s="2"/>
      <c r="AB199" s="35"/>
      <c r="AC199" s="2"/>
      <c r="AD199" s="2"/>
      <c r="AF199" s="35"/>
      <c r="AG199" s="35">
        <v>250</v>
      </c>
      <c r="AH199" s="2"/>
      <c r="AL199" s="35"/>
    </row>
    <row r="200" spans="1:41">
      <c r="A200" t="s">
        <v>495</v>
      </c>
      <c r="O200">
        <v>4</v>
      </c>
      <c r="V200" s="2"/>
      <c r="W200" s="2"/>
      <c r="X200" s="2"/>
      <c r="Y200" s="2"/>
      <c r="Z200" s="2"/>
      <c r="AA200" s="2"/>
      <c r="AB200" s="35"/>
      <c r="AC200" s="2"/>
      <c r="AD200" s="2"/>
      <c r="AF200" s="35">
        <v>10</v>
      </c>
      <c r="AG200" s="35"/>
      <c r="AH200" s="2"/>
      <c r="AL200" s="35"/>
    </row>
    <row r="201" spans="1:41">
      <c r="A201" t="s">
        <v>496</v>
      </c>
      <c r="O201">
        <v>4</v>
      </c>
      <c r="V201" s="2"/>
      <c r="W201" s="2"/>
      <c r="X201" s="2"/>
      <c r="Y201" s="2"/>
      <c r="Z201" s="2"/>
      <c r="AA201" s="2"/>
      <c r="AB201" s="35"/>
      <c r="AC201" s="2"/>
      <c r="AD201" s="2"/>
      <c r="AF201" s="35"/>
      <c r="AG201" s="35">
        <v>250</v>
      </c>
      <c r="AH201" s="2"/>
      <c r="AL201" s="35"/>
    </row>
    <row r="202" spans="1:41" s="200" customFormat="1">
      <c r="A202" s="200" t="s">
        <v>885</v>
      </c>
      <c r="H202" s="200">
        <v>10</v>
      </c>
      <c r="N202" s="200">
        <v>10</v>
      </c>
      <c r="V202" s="201"/>
      <c r="W202" s="201"/>
      <c r="X202" s="201"/>
      <c r="Y202" s="201"/>
      <c r="Z202" s="201"/>
      <c r="AA202" s="201"/>
      <c r="AB202" s="203"/>
      <c r="AC202" s="201">
        <v>0.05</v>
      </c>
      <c r="AD202" s="201"/>
      <c r="AF202" s="203"/>
      <c r="AG202" s="203"/>
      <c r="AH202" s="201"/>
      <c r="AI202" s="203"/>
      <c r="AJ202" s="203"/>
      <c r="AK202" s="203"/>
      <c r="AL202" s="203"/>
      <c r="AM202" s="203"/>
    </row>
    <row r="203" spans="1:41">
      <c r="A203" t="s">
        <v>134</v>
      </c>
      <c r="J203">
        <v>2</v>
      </c>
      <c r="V203" s="2"/>
      <c r="W203" s="2"/>
      <c r="X203" s="2"/>
      <c r="Y203" s="2"/>
      <c r="Z203" s="2"/>
      <c r="AA203" s="2">
        <v>0.05</v>
      </c>
      <c r="AB203" s="35"/>
      <c r="AC203" s="2"/>
      <c r="AD203" s="2"/>
      <c r="AF203" s="35"/>
      <c r="AG203" s="35"/>
      <c r="AH203" s="2"/>
      <c r="AL203" s="35"/>
    </row>
    <row r="204" spans="1:41">
      <c r="A204" t="s">
        <v>487</v>
      </c>
      <c r="N204">
        <v>6</v>
      </c>
      <c r="O204">
        <v>16</v>
      </c>
      <c r="V204" s="2"/>
      <c r="W204" s="2"/>
      <c r="X204" s="2"/>
      <c r="Y204" s="2"/>
      <c r="Z204" s="35"/>
      <c r="AA204" s="2"/>
      <c r="AB204" s="35"/>
      <c r="AC204" s="2"/>
      <c r="AD204" s="2"/>
      <c r="AF204" s="35"/>
      <c r="AG204" s="35"/>
      <c r="AH204" s="2"/>
      <c r="AL204" s="35"/>
    </row>
    <row r="205" spans="1:41" s="165" customFormat="1">
      <c r="A205" s="165" t="s">
        <v>698</v>
      </c>
      <c r="N205" s="165">
        <v>10</v>
      </c>
      <c r="O205" s="165">
        <v>10</v>
      </c>
      <c r="Q205" s="165">
        <v>10</v>
      </c>
      <c r="R205" s="165">
        <v>10</v>
      </c>
      <c r="V205" s="166">
        <v>0.01</v>
      </c>
      <c r="W205" s="166"/>
      <c r="X205" s="166"/>
      <c r="Y205" s="166"/>
      <c r="Z205" s="167"/>
      <c r="AA205" s="166"/>
      <c r="AB205" s="167"/>
      <c r="AC205" s="166"/>
      <c r="AD205" s="166"/>
      <c r="AE205" s="165">
        <v>5</v>
      </c>
      <c r="AF205" s="167"/>
      <c r="AG205" s="167"/>
      <c r="AH205" s="166"/>
      <c r="AI205" s="167"/>
      <c r="AJ205" s="167"/>
      <c r="AK205" s="167"/>
      <c r="AL205" s="167"/>
      <c r="AM205" s="167"/>
    </row>
    <row r="206" spans="1:41">
      <c r="A206" t="s">
        <v>571</v>
      </c>
      <c r="O206">
        <v>6</v>
      </c>
      <c r="V206" s="2"/>
      <c r="W206" s="2"/>
      <c r="X206" s="2"/>
      <c r="Y206" s="2"/>
      <c r="Z206" s="35"/>
      <c r="AA206" s="2"/>
      <c r="AB206" s="35"/>
      <c r="AC206" s="2"/>
      <c r="AD206" s="2"/>
      <c r="AE206" s="35">
        <v>5</v>
      </c>
      <c r="AF206" s="35"/>
      <c r="AG206" s="35"/>
      <c r="AH206" s="2"/>
      <c r="AL206" s="35"/>
      <c r="AN206" s="35"/>
      <c r="AO206" s="35"/>
    </row>
    <row r="207" spans="1:41">
      <c r="A207" s="31" t="s">
        <v>572</v>
      </c>
      <c r="B207">
        <v>5</v>
      </c>
      <c r="V207" s="2">
        <v>0.03</v>
      </c>
      <c r="W207" s="2"/>
      <c r="X207" s="2"/>
      <c r="Y207" s="2"/>
      <c r="Z207" s="2"/>
      <c r="AA207" s="2"/>
      <c r="AB207" s="35"/>
      <c r="AC207" s="2"/>
      <c r="AD207" s="2"/>
      <c r="AF207" s="35"/>
      <c r="AG207" s="35"/>
      <c r="AH207" s="2"/>
      <c r="AL207" s="35"/>
    </row>
    <row r="208" spans="1:41">
      <c r="A208" s="31" t="s">
        <v>646</v>
      </c>
      <c r="N208">
        <v>12</v>
      </c>
      <c r="V208" s="2"/>
      <c r="W208" s="2"/>
      <c r="X208" s="2"/>
      <c r="Y208" s="2"/>
      <c r="Z208" s="2"/>
      <c r="AA208" s="2"/>
      <c r="AB208" s="35"/>
      <c r="AC208" s="2"/>
      <c r="AD208" s="2"/>
      <c r="AF208" s="35"/>
      <c r="AG208" s="35"/>
      <c r="AH208" s="2"/>
      <c r="AI208" s="2"/>
      <c r="AJ208" s="2"/>
      <c r="AK208" s="2"/>
      <c r="AL208" s="2"/>
      <c r="AM208" s="2"/>
    </row>
    <row r="211" spans="1:41">
      <c r="A211" t="s">
        <v>18</v>
      </c>
      <c r="B211" t="s">
        <v>30</v>
      </c>
      <c r="C211" t="s">
        <v>518</v>
      </c>
      <c r="D211" t="s">
        <v>652</v>
      </c>
      <c r="E211" t="s">
        <v>484</v>
      </c>
      <c r="F211" s="31" t="s">
        <v>511</v>
      </c>
      <c r="G211" t="s">
        <v>3</v>
      </c>
      <c r="H211" t="s">
        <v>4</v>
      </c>
      <c r="I211" t="s">
        <v>5</v>
      </c>
      <c r="J211" t="s">
        <v>42</v>
      </c>
      <c r="K211" t="s">
        <v>208</v>
      </c>
      <c r="L211" t="s">
        <v>209</v>
      </c>
      <c r="M211" t="s">
        <v>210</v>
      </c>
      <c r="N211" t="s">
        <v>10</v>
      </c>
      <c r="O211" t="s">
        <v>9</v>
      </c>
      <c r="P211" t="s">
        <v>479</v>
      </c>
      <c r="Q211" t="s">
        <v>635</v>
      </c>
      <c r="R211" t="s">
        <v>636</v>
      </c>
      <c r="S211" t="s">
        <v>637</v>
      </c>
      <c r="T211" s="35" t="s">
        <v>638</v>
      </c>
      <c r="U211" s="145" t="s">
        <v>639</v>
      </c>
      <c r="V211" t="s">
        <v>12</v>
      </c>
      <c r="W211" t="s">
        <v>152</v>
      </c>
      <c r="X211" t="s">
        <v>345</v>
      </c>
      <c r="Y211" t="s">
        <v>480</v>
      </c>
      <c r="Z211" t="s">
        <v>481</v>
      </c>
      <c r="AA211" t="s">
        <v>122</v>
      </c>
      <c r="AB211" t="s">
        <v>11</v>
      </c>
      <c r="AC211" t="s">
        <v>119</v>
      </c>
      <c r="AD211" t="s">
        <v>118</v>
      </c>
      <c r="AE211" t="s">
        <v>13</v>
      </c>
      <c r="AF211" t="s">
        <v>116</v>
      </c>
      <c r="AG211" t="s">
        <v>289</v>
      </c>
      <c r="AH211" t="s">
        <v>163</v>
      </c>
      <c r="AI211" s="35" t="s">
        <v>457</v>
      </c>
      <c r="AJ211" s="35" t="s">
        <v>458</v>
      </c>
      <c r="AK211" s="145" t="s">
        <v>433</v>
      </c>
      <c r="AL211" t="s">
        <v>339</v>
      </c>
      <c r="AM211" s="145" t="s">
        <v>649</v>
      </c>
    </row>
    <row r="212" spans="1:41">
      <c r="A212" t="s">
        <v>687</v>
      </c>
      <c r="G212">
        <v>25</v>
      </c>
      <c r="H212">
        <v>38</v>
      </c>
      <c r="I212">
        <v>24</v>
      </c>
      <c r="J212">
        <v>28</v>
      </c>
      <c r="K212">
        <v>21</v>
      </c>
      <c r="L212">
        <v>21</v>
      </c>
      <c r="M212">
        <v>21</v>
      </c>
      <c r="N212">
        <v>22</v>
      </c>
      <c r="O212">
        <v>22</v>
      </c>
      <c r="V212" s="2"/>
      <c r="W212" s="2"/>
      <c r="X212" s="2"/>
      <c r="Y212" s="2"/>
      <c r="Z212" s="2"/>
      <c r="AA212" s="2"/>
      <c r="AB212" s="35">
        <v>40</v>
      </c>
      <c r="AC212" s="2">
        <v>0.05</v>
      </c>
      <c r="AD212" s="2">
        <v>0.05</v>
      </c>
      <c r="AF212" s="35"/>
      <c r="AG212" s="35"/>
      <c r="AH212" s="2"/>
      <c r="AL212" s="35"/>
    </row>
    <row r="213" spans="1:41">
      <c r="A213" s="169" t="s">
        <v>704</v>
      </c>
      <c r="B213" s="169"/>
      <c r="C213" s="169"/>
      <c r="D213" s="169"/>
      <c r="E213" s="169"/>
      <c r="F213" s="169"/>
      <c r="G213" s="169">
        <v>26</v>
      </c>
      <c r="H213" s="169">
        <v>45</v>
      </c>
      <c r="I213" s="169">
        <v>23</v>
      </c>
      <c r="J213" s="169">
        <v>41</v>
      </c>
      <c r="K213" s="169">
        <v>20</v>
      </c>
      <c r="L213" s="169">
        <v>20</v>
      </c>
      <c r="M213" s="169">
        <v>20</v>
      </c>
      <c r="N213" s="169">
        <v>55</v>
      </c>
      <c r="O213" s="169">
        <v>35</v>
      </c>
      <c r="P213" s="169"/>
      <c r="Q213" s="169">
        <v>35</v>
      </c>
      <c r="R213" s="169">
        <v>35</v>
      </c>
      <c r="S213" s="169"/>
      <c r="T213" s="171"/>
      <c r="U213" s="171"/>
      <c r="V213" s="170"/>
      <c r="W213" s="170">
        <v>0.04</v>
      </c>
      <c r="X213" s="170"/>
      <c r="Y213" s="170"/>
      <c r="Z213" s="170"/>
      <c r="AA213" s="170">
        <v>0.06</v>
      </c>
      <c r="AB213" s="171">
        <v>40</v>
      </c>
      <c r="AC213" s="170"/>
      <c r="AD213" s="2"/>
      <c r="AF213" s="35"/>
      <c r="AG213" s="35"/>
      <c r="AH213" s="2"/>
      <c r="AL213" s="35"/>
    </row>
    <row r="214" spans="1:41" s="165" customFormat="1">
      <c r="A214" s="169" t="s">
        <v>705</v>
      </c>
      <c r="B214" s="169"/>
      <c r="C214" s="169"/>
      <c r="D214" s="169"/>
      <c r="E214" s="169"/>
      <c r="F214" s="169"/>
      <c r="G214" s="169">
        <v>38</v>
      </c>
      <c r="H214" s="169">
        <v>45</v>
      </c>
      <c r="I214" s="169">
        <v>23</v>
      </c>
      <c r="J214" s="169">
        <v>29</v>
      </c>
      <c r="K214" s="169">
        <v>20</v>
      </c>
      <c r="L214" s="169">
        <v>20</v>
      </c>
      <c r="M214" s="169">
        <v>20</v>
      </c>
      <c r="N214" s="169">
        <v>35</v>
      </c>
      <c r="O214" s="169">
        <v>55</v>
      </c>
      <c r="P214" s="169"/>
      <c r="Q214" s="169">
        <v>35</v>
      </c>
      <c r="R214" s="169">
        <v>35</v>
      </c>
      <c r="S214" s="169"/>
      <c r="T214" s="171"/>
      <c r="U214" s="171"/>
      <c r="V214" s="170"/>
      <c r="W214" s="170">
        <v>0.04</v>
      </c>
      <c r="X214" s="170"/>
      <c r="Y214" s="170"/>
      <c r="Z214" s="170"/>
      <c r="AA214" s="170">
        <v>0.06</v>
      </c>
      <c r="AB214" s="171">
        <v>40</v>
      </c>
      <c r="AC214" s="170"/>
      <c r="AD214" s="166"/>
      <c r="AF214" s="167"/>
      <c r="AG214" s="167"/>
      <c r="AH214" s="166"/>
      <c r="AI214" s="167"/>
      <c r="AJ214" s="167"/>
      <c r="AK214" s="167"/>
      <c r="AL214" s="167"/>
      <c r="AM214" s="167"/>
    </row>
    <row r="215" spans="1:41" s="165" customFormat="1">
      <c r="A215" s="169" t="s">
        <v>706</v>
      </c>
      <c r="B215" s="169"/>
      <c r="C215" s="169"/>
      <c r="D215" s="169"/>
      <c r="E215" s="169"/>
      <c r="F215" s="169"/>
      <c r="G215" s="169">
        <v>25</v>
      </c>
      <c r="H215" s="169">
        <v>43</v>
      </c>
      <c r="I215" s="169">
        <v>23</v>
      </c>
      <c r="J215" s="169">
        <v>39</v>
      </c>
      <c r="K215" s="169">
        <v>20</v>
      </c>
      <c r="L215" s="169">
        <v>20</v>
      </c>
      <c r="M215" s="169">
        <v>20</v>
      </c>
      <c r="N215" s="169">
        <v>40</v>
      </c>
      <c r="O215" s="169">
        <v>25</v>
      </c>
      <c r="P215" s="169"/>
      <c r="Q215" s="169">
        <v>25</v>
      </c>
      <c r="R215" s="169">
        <v>20</v>
      </c>
      <c r="S215" s="169"/>
      <c r="T215" s="171"/>
      <c r="U215" s="171"/>
      <c r="V215" s="170"/>
      <c r="W215" s="170">
        <v>0.03</v>
      </c>
      <c r="X215" s="170"/>
      <c r="Y215" s="170"/>
      <c r="Z215" s="170"/>
      <c r="AA215" s="170">
        <v>0.05</v>
      </c>
      <c r="AB215" s="171">
        <v>40</v>
      </c>
      <c r="AC215" s="170"/>
      <c r="AD215" s="166"/>
      <c r="AF215" s="167"/>
      <c r="AG215" s="167"/>
      <c r="AH215" s="166"/>
      <c r="AI215" s="167"/>
      <c r="AJ215" s="167"/>
      <c r="AK215" s="167"/>
      <c r="AL215" s="167"/>
      <c r="AM215" s="167"/>
    </row>
    <row r="216" spans="1:41">
      <c r="A216" s="169" t="s">
        <v>707</v>
      </c>
      <c r="B216" s="169"/>
      <c r="C216" s="169"/>
      <c r="D216" s="169"/>
      <c r="E216" s="169"/>
      <c r="F216" s="169"/>
      <c r="G216" s="169">
        <v>35</v>
      </c>
      <c r="H216" s="169">
        <v>43</v>
      </c>
      <c r="I216" s="169">
        <v>23</v>
      </c>
      <c r="J216" s="169">
        <v>29</v>
      </c>
      <c r="K216" s="169">
        <v>20</v>
      </c>
      <c r="L216" s="169">
        <v>20</v>
      </c>
      <c r="M216" s="169">
        <v>20</v>
      </c>
      <c r="N216" s="169">
        <v>25</v>
      </c>
      <c r="O216" s="169">
        <v>40</v>
      </c>
      <c r="P216" s="169"/>
      <c r="Q216" s="169">
        <v>25</v>
      </c>
      <c r="R216" s="169">
        <v>20</v>
      </c>
      <c r="S216" s="169"/>
      <c r="T216" s="171"/>
      <c r="U216" s="171"/>
      <c r="V216" s="170"/>
      <c r="W216" s="170">
        <v>0.03</v>
      </c>
      <c r="X216" s="170"/>
      <c r="Y216" s="170"/>
      <c r="Z216" s="170"/>
      <c r="AA216" s="170">
        <v>0.05</v>
      </c>
      <c r="AB216" s="171">
        <v>40</v>
      </c>
      <c r="AC216" s="170"/>
    </row>
    <row r="217" spans="1:41" s="200" customFormat="1">
      <c r="A217" s="200" t="s">
        <v>903</v>
      </c>
      <c r="G217" s="200">
        <v>34</v>
      </c>
      <c r="H217" s="200">
        <v>45</v>
      </c>
      <c r="I217" s="200">
        <v>34</v>
      </c>
      <c r="J217" s="200">
        <v>38</v>
      </c>
      <c r="K217" s="200">
        <v>33</v>
      </c>
      <c r="L217" s="200">
        <v>33</v>
      </c>
      <c r="M217" s="200">
        <v>33</v>
      </c>
      <c r="N217" s="200">
        <v>15</v>
      </c>
      <c r="O217" s="200">
        <v>84</v>
      </c>
      <c r="V217" s="201"/>
      <c r="W217" s="201"/>
      <c r="X217" s="201"/>
      <c r="Y217" s="201"/>
      <c r="Z217" s="201"/>
      <c r="AA217" s="201"/>
      <c r="AB217" s="200">
        <v>40</v>
      </c>
      <c r="AC217" s="201"/>
      <c r="AE217" s="200">
        <v>10</v>
      </c>
    </row>
    <row r="218" spans="1:41" s="200" customFormat="1">
      <c r="A218" s="202" t="s">
        <v>792</v>
      </c>
      <c r="G218" s="200">
        <v>30</v>
      </c>
      <c r="H218" s="200">
        <v>40</v>
      </c>
      <c r="I218" s="200">
        <v>30</v>
      </c>
      <c r="J218" s="200">
        <v>30</v>
      </c>
      <c r="K218" s="200">
        <v>30</v>
      </c>
      <c r="L218" s="200">
        <v>30</v>
      </c>
      <c r="M218" s="200">
        <v>40</v>
      </c>
      <c r="N218" s="200">
        <v>45</v>
      </c>
      <c r="O218" s="200">
        <v>45</v>
      </c>
      <c r="Q218" s="200">
        <v>45</v>
      </c>
      <c r="V218" s="201"/>
      <c r="W218" s="201"/>
      <c r="X218" s="201"/>
      <c r="Y218" s="201"/>
      <c r="Z218" s="201"/>
      <c r="AA218" s="201"/>
      <c r="AB218" s="203">
        <v>40</v>
      </c>
      <c r="AC218" s="201"/>
      <c r="AD218" s="201"/>
      <c r="AE218" s="203">
        <v>10</v>
      </c>
      <c r="AF218" s="201"/>
      <c r="AG218" s="201"/>
      <c r="AH218" s="201"/>
      <c r="AI218" s="203"/>
      <c r="AJ218" s="203"/>
      <c r="AK218" s="203"/>
      <c r="AL218" s="203"/>
      <c r="AM218" s="203"/>
      <c r="AN218" s="201"/>
      <c r="AO218" s="203"/>
    </row>
    <row r="219" spans="1:41">
      <c r="A219" t="s">
        <v>688</v>
      </c>
      <c r="G219">
        <v>25</v>
      </c>
      <c r="H219">
        <v>42</v>
      </c>
      <c r="I219">
        <v>24</v>
      </c>
      <c r="J219">
        <v>28</v>
      </c>
      <c r="K219">
        <v>21</v>
      </c>
      <c r="L219">
        <v>21</v>
      </c>
      <c r="M219">
        <v>21</v>
      </c>
      <c r="V219" s="2"/>
      <c r="W219" s="2"/>
      <c r="X219" s="2"/>
      <c r="Y219" s="2"/>
      <c r="Z219" s="2"/>
      <c r="AA219" s="2"/>
      <c r="AB219" s="203">
        <v>40</v>
      </c>
      <c r="AC219" s="2">
        <v>0.04</v>
      </c>
      <c r="AD219" s="2">
        <v>0.05</v>
      </c>
      <c r="AF219" s="35"/>
      <c r="AG219" s="35"/>
      <c r="AH219" s="2"/>
      <c r="AL219" s="35"/>
    </row>
    <row r="220" spans="1:41" s="169" customFormat="1">
      <c r="A220" s="172" t="s">
        <v>712</v>
      </c>
      <c r="B220" s="172"/>
      <c r="C220" s="172"/>
      <c r="D220" s="172"/>
      <c r="E220" s="172"/>
      <c r="F220" s="172"/>
      <c r="G220" s="172">
        <v>29</v>
      </c>
      <c r="H220" s="172">
        <v>37</v>
      </c>
      <c r="I220" s="172">
        <v>29</v>
      </c>
      <c r="J220" s="172">
        <v>36</v>
      </c>
      <c r="K220" s="172">
        <v>28</v>
      </c>
      <c r="L220" s="172">
        <v>28</v>
      </c>
      <c r="M220" s="172">
        <v>28</v>
      </c>
      <c r="N220" s="172">
        <v>25</v>
      </c>
      <c r="O220" s="172"/>
      <c r="P220" s="172"/>
      <c r="Q220" s="172">
        <v>25</v>
      </c>
      <c r="R220" s="172"/>
      <c r="S220" s="172">
        <v>25</v>
      </c>
      <c r="T220" s="172"/>
      <c r="U220" s="172"/>
      <c r="V220" s="173"/>
      <c r="W220" s="173"/>
      <c r="X220" s="173"/>
      <c r="Y220" s="173"/>
      <c r="Z220" s="173"/>
      <c r="AA220" s="173"/>
      <c r="AB220" s="174">
        <v>40</v>
      </c>
      <c r="AC220" s="173">
        <v>0.03</v>
      </c>
      <c r="AD220" s="173"/>
      <c r="AE220" s="172"/>
      <c r="AF220" s="174"/>
      <c r="AG220" s="174"/>
      <c r="AH220" s="173"/>
      <c r="AI220" s="172"/>
      <c r="AJ220" s="172"/>
      <c r="AK220" s="172"/>
      <c r="AL220" s="173"/>
      <c r="AM220" s="172"/>
      <c r="AN220" s="173"/>
    </row>
    <row r="221" spans="1:41" s="169" customFormat="1">
      <c r="A221" s="172" t="s">
        <v>713</v>
      </c>
      <c r="B221" s="172"/>
      <c r="C221" s="172"/>
      <c r="D221" s="172"/>
      <c r="E221" s="172"/>
      <c r="F221" s="172"/>
      <c r="G221" s="172">
        <v>30</v>
      </c>
      <c r="H221" s="172">
        <v>38</v>
      </c>
      <c r="I221" s="172">
        <v>30</v>
      </c>
      <c r="J221" s="172">
        <v>37</v>
      </c>
      <c r="K221" s="172">
        <v>29</v>
      </c>
      <c r="L221" s="172">
        <v>29</v>
      </c>
      <c r="M221" s="172">
        <v>29</v>
      </c>
      <c r="N221" s="172">
        <v>26</v>
      </c>
      <c r="O221" s="172"/>
      <c r="P221" s="172"/>
      <c r="Q221" s="172">
        <v>26</v>
      </c>
      <c r="R221" s="172"/>
      <c r="S221" s="172">
        <v>26</v>
      </c>
      <c r="T221" s="172"/>
      <c r="U221" s="172"/>
      <c r="V221" s="173"/>
      <c r="W221" s="173"/>
      <c r="X221" s="173"/>
      <c r="Y221" s="173"/>
      <c r="Z221" s="173"/>
      <c r="AA221" s="173"/>
      <c r="AB221" s="174">
        <v>40</v>
      </c>
      <c r="AC221" s="173">
        <v>0.04</v>
      </c>
      <c r="AD221" s="173"/>
      <c r="AE221" s="172"/>
      <c r="AF221" s="174"/>
      <c r="AG221" s="174"/>
      <c r="AH221" s="173"/>
      <c r="AI221" s="172"/>
      <c r="AJ221" s="172"/>
      <c r="AK221" s="172"/>
      <c r="AL221" s="173"/>
      <c r="AM221" s="172"/>
      <c r="AN221" s="173"/>
    </row>
    <row r="222" spans="1:41">
      <c r="A222" s="31" t="s">
        <v>541</v>
      </c>
      <c r="G222">
        <v>15</v>
      </c>
      <c r="H222">
        <v>21</v>
      </c>
      <c r="I222">
        <v>18</v>
      </c>
      <c r="J222">
        <v>16</v>
      </c>
      <c r="K222">
        <v>15</v>
      </c>
      <c r="L222">
        <v>15</v>
      </c>
      <c r="M222">
        <v>15</v>
      </c>
      <c r="V222" s="2"/>
      <c r="W222" s="2"/>
      <c r="X222" s="2"/>
      <c r="Y222" s="2"/>
      <c r="Z222" s="2"/>
      <c r="AA222" s="2">
        <v>7.0000000000000007E-2</v>
      </c>
      <c r="AB222" s="35">
        <v>40</v>
      </c>
      <c r="AC222" s="2"/>
      <c r="AD222" s="2"/>
      <c r="AE222" s="35"/>
      <c r="AF222" s="35"/>
      <c r="AG222" s="35"/>
      <c r="AH222" s="2"/>
      <c r="AL222" s="2"/>
    </row>
    <row r="223" spans="1:41">
      <c r="A223" s="31" t="s">
        <v>569</v>
      </c>
      <c r="G223">
        <v>29</v>
      </c>
      <c r="H223">
        <v>25</v>
      </c>
      <c r="I223">
        <v>26</v>
      </c>
      <c r="J223">
        <v>25</v>
      </c>
      <c r="K223">
        <v>24</v>
      </c>
      <c r="L223">
        <v>24</v>
      </c>
      <c r="M223">
        <v>24</v>
      </c>
      <c r="V223" s="2"/>
      <c r="W223" s="2"/>
      <c r="X223" s="2"/>
      <c r="Y223" s="2"/>
      <c r="Z223" s="2"/>
      <c r="AA223" s="2">
        <v>0.08</v>
      </c>
      <c r="AB223" s="35">
        <v>40</v>
      </c>
      <c r="AC223" s="2"/>
      <c r="AD223" s="2"/>
      <c r="AE223" s="35"/>
      <c r="AF223" s="35"/>
      <c r="AG223" s="35"/>
      <c r="AH223" s="2"/>
      <c r="AL223" s="2"/>
    </row>
    <row r="224" spans="1:41" s="200" customFormat="1">
      <c r="A224" s="202" t="s">
        <v>789</v>
      </c>
      <c r="G224" s="200">
        <v>34</v>
      </c>
      <c r="H224" s="200">
        <v>30</v>
      </c>
      <c r="I224" s="200">
        <v>31</v>
      </c>
      <c r="J224" s="200">
        <v>30</v>
      </c>
      <c r="K224" s="200">
        <v>29</v>
      </c>
      <c r="L224" s="200">
        <v>29</v>
      </c>
      <c r="M224" s="200">
        <v>29</v>
      </c>
      <c r="N224" s="200">
        <v>40</v>
      </c>
      <c r="V224" s="201"/>
      <c r="W224" s="201"/>
      <c r="X224" s="201"/>
      <c r="Y224" s="201"/>
      <c r="Z224" s="201"/>
      <c r="AA224" s="201">
        <v>0.09</v>
      </c>
      <c r="AB224" s="203">
        <v>40</v>
      </c>
      <c r="AC224" s="201">
        <v>0.04</v>
      </c>
      <c r="AD224" s="201"/>
      <c r="AE224" s="203"/>
      <c r="AF224" s="203"/>
      <c r="AG224" s="203"/>
      <c r="AH224" s="201"/>
      <c r="AI224" s="203"/>
      <c r="AJ224" s="203"/>
      <c r="AK224" s="203"/>
      <c r="AL224" s="201"/>
      <c r="AM224" s="203"/>
    </row>
    <row r="225" spans="1:41" s="200" customFormat="1">
      <c r="A225" s="202" t="s">
        <v>790</v>
      </c>
      <c r="G225" s="200">
        <v>39</v>
      </c>
      <c r="H225" s="200">
        <v>35</v>
      </c>
      <c r="I225" s="200">
        <v>36</v>
      </c>
      <c r="J225" s="200">
        <v>35</v>
      </c>
      <c r="K225" s="200">
        <v>34</v>
      </c>
      <c r="L225" s="200">
        <v>34</v>
      </c>
      <c r="M225" s="200">
        <v>34</v>
      </c>
      <c r="N225" s="200">
        <v>50</v>
      </c>
      <c r="V225" s="201"/>
      <c r="W225" s="201"/>
      <c r="X225" s="201"/>
      <c r="Y225" s="201"/>
      <c r="Z225" s="201"/>
      <c r="AA225" s="201">
        <v>0.1</v>
      </c>
      <c r="AB225" s="203">
        <v>40</v>
      </c>
      <c r="AC225" s="201">
        <v>0.08</v>
      </c>
      <c r="AD225" s="201"/>
      <c r="AE225" s="203"/>
      <c r="AF225" s="203"/>
      <c r="AG225" s="203"/>
      <c r="AH225" s="201"/>
      <c r="AI225" s="203"/>
      <c r="AJ225" s="203"/>
      <c r="AK225" s="203"/>
      <c r="AL225" s="201"/>
      <c r="AM225" s="203"/>
    </row>
    <row r="226" spans="1:41" s="200" customFormat="1">
      <c r="A226" s="200" t="s">
        <v>721</v>
      </c>
      <c r="G226" s="200">
        <v>28</v>
      </c>
      <c r="H226" s="200">
        <v>44</v>
      </c>
      <c r="I226" s="200">
        <v>24</v>
      </c>
      <c r="J226" s="200">
        <v>30</v>
      </c>
      <c r="K226" s="200">
        <v>21</v>
      </c>
      <c r="L226" s="200">
        <v>20</v>
      </c>
      <c r="M226" s="200">
        <v>21</v>
      </c>
      <c r="N226" s="200">
        <v>40</v>
      </c>
      <c r="O226" s="200">
        <v>25</v>
      </c>
      <c r="Q226" s="200">
        <v>15</v>
      </c>
      <c r="V226" s="201"/>
      <c r="W226" s="201">
        <v>0.04</v>
      </c>
      <c r="X226" s="201"/>
      <c r="Y226" s="201"/>
      <c r="Z226" s="201"/>
      <c r="AA226" s="201"/>
      <c r="AB226" s="200">
        <v>40</v>
      </c>
      <c r="AC226" s="201">
        <v>0.03</v>
      </c>
      <c r="AD226" s="201"/>
      <c r="AE226" s="200">
        <v>3</v>
      </c>
      <c r="AH226" s="201"/>
    </row>
    <row r="227" spans="1:41" s="200" customFormat="1">
      <c r="A227" s="200" t="s">
        <v>722</v>
      </c>
      <c r="G227" s="200">
        <v>28</v>
      </c>
      <c r="H227" s="200">
        <v>44</v>
      </c>
      <c r="I227" s="200">
        <v>24</v>
      </c>
      <c r="J227" s="200">
        <v>30</v>
      </c>
      <c r="K227" s="200">
        <v>21</v>
      </c>
      <c r="L227" s="200">
        <v>20</v>
      </c>
      <c r="M227" s="200">
        <v>21</v>
      </c>
      <c r="N227" s="200">
        <v>40</v>
      </c>
      <c r="O227" s="200">
        <v>25</v>
      </c>
      <c r="Q227" s="200">
        <v>15</v>
      </c>
      <c r="V227" s="201"/>
      <c r="W227" s="201"/>
      <c r="X227" s="201"/>
      <c r="Y227" s="201"/>
      <c r="Z227" s="201"/>
      <c r="AA227" s="201"/>
      <c r="AB227" s="200">
        <v>40</v>
      </c>
      <c r="AC227" s="201">
        <v>0.03</v>
      </c>
      <c r="AD227" s="201"/>
      <c r="AE227" s="200">
        <v>10</v>
      </c>
      <c r="AH227" s="201"/>
    </row>
    <row r="228" spans="1:41" s="200" customFormat="1">
      <c r="A228" s="200" t="s">
        <v>723</v>
      </c>
      <c r="G228" s="200">
        <v>28</v>
      </c>
      <c r="H228" s="200">
        <v>44</v>
      </c>
      <c r="I228" s="200">
        <v>24</v>
      </c>
      <c r="J228" s="200">
        <v>30</v>
      </c>
      <c r="K228" s="200">
        <v>21</v>
      </c>
      <c r="L228" s="200">
        <v>20</v>
      </c>
      <c r="M228" s="200">
        <v>21</v>
      </c>
      <c r="N228" s="200">
        <v>40</v>
      </c>
      <c r="O228" s="200">
        <v>25</v>
      </c>
      <c r="Q228" s="200">
        <v>15</v>
      </c>
      <c r="V228" s="201"/>
      <c r="W228" s="201"/>
      <c r="X228" s="201"/>
      <c r="Y228" s="201"/>
      <c r="Z228" s="201"/>
      <c r="AA228" s="201"/>
      <c r="AB228" s="200">
        <v>40</v>
      </c>
      <c r="AC228" s="201">
        <v>0.08</v>
      </c>
      <c r="AD228" s="201"/>
      <c r="AE228" s="200">
        <v>3</v>
      </c>
      <c r="AH228" s="201"/>
    </row>
    <row r="229" spans="1:41" s="200" customFormat="1">
      <c r="A229" s="200" t="s">
        <v>724</v>
      </c>
      <c r="G229" s="200">
        <v>28</v>
      </c>
      <c r="H229" s="200">
        <v>44</v>
      </c>
      <c r="I229" s="200">
        <v>24</v>
      </c>
      <c r="J229" s="200">
        <v>30</v>
      </c>
      <c r="K229" s="200">
        <v>21</v>
      </c>
      <c r="L229" s="200">
        <v>20</v>
      </c>
      <c r="M229" s="200">
        <v>21</v>
      </c>
      <c r="N229" s="200">
        <v>40</v>
      </c>
      <c r="O229" s="200">
        <v>25</v>
      </c>
      <c r="Q229" s="200">
        <v>15</v>
      </c>
      <c r="V229" s="201"/>
      <c r="W229" s="201"/>
      <c r="X229" s="201"/>
      <c r="Y229" s="201"/>
      <c r="Z229" s="201"/>
      <c r="AA229" s="201"/>
      <c r="AB229" s="200">
        <v>40</v>
      </c>
      <c r="AC229" s="201">
        <v>0.03</v>
      </c>
      <c r="AD229" s="201">
        <v>0.05</v>
      </c>
      <c r="AE229" s="200">
        <v>3</v>
      </c>
      <c r="AH229" s="201"/>
    </row>
    <row r="230" spans="1:41" s="200" customFormat="1">
      <c r="A230" s="200" t="s">
        <v>768</v>
      </c>
      <c r="G230" s="200">
        <v>28</v>
      </c>
      <c r="H230" s="200">
        <v>44</v>
      </c>
      <c r="I230" s="200">
        <v>24</v>
      </c>
      <c r="J230" s="200">
        <v>30</v>
      </c>
      <c r="K230" s="200">
        <v>21</v>
      </c>
      <c r="L230" s="200">
        <v>20</v>
      </c>
      <c r="M230" s="200">
        <v>21</v>
      </c>
      <c r="N230" s="200">
        <v>40</v>
      </c>
      <c r="O230" s="200">
        <v>25</v>
      </c>
      <c r="Q230" s="200">
        <v>15</v>
      </c>
      <c r="V230" s="201"/>
      <c r="W230" s="201"/>
      <c r="X230" s="201"/>
      <c r="Y230" s="201"/>
      <c r="Z230" s="201"/>
      <c r="AA230" s="201"/>
      <c r="AB230" s="200">
        <v>40</v>
      </c>
      <c r="AC230" s="201">
        <v>0.03</v>
      </c>
      <c r="AD230" s="201"/>
      <c r="AE230" s="200">
        <v>3</v>
      </c>
      <c r="AH230" s="201">
        <v>0.05</v>
      </c>
    </row>
    <row r="231" spans="1:41" s="200" customFormat="1">
      <c r="A231" s="200" t="s">
        <v>727</v>
      </c>
      <c r="G231" s="200">
        <v>28</v>
      </c>
      <c r="H231" s="200">
        <v>34</v>
      </c>
      <c r="I231" s="200">
        <v>24</v>
      </c>
      <c r="J231" s="200">
        <v>40</v>
      </c>
      <c r="K231" s="200">
        <v>21</v>
      </c>
      <c r="L231" s="200">
        <v>20</v>
      </c>
      <c r="M231" s="200">
        <v>21</v>
      </c>
      <c r="N231" s="200">
        <v>40</v>
      </c>
      <c r="O231" s="200">
        <v>25</v>
      </c>
      <c r="Q231" s="200">
        <v>15</v>
      </c>
      <c r="V231" s="201"/>
      <c r="W231" s="201">
        <v>0.04</v>
      </c>
      <c r="X231" s="201"/>
      <c r="Y231" s="201"/>
      <c r="Z231" s="201"/>
      <c r="AA231" s="201"/>
      <c r="AB231" s="200">
        <v>40</v>
      </c>
      <c r="AC231" s="201">
        <v>0.03</v>
      </c>
      <c r="AD231" s="201"/>
      <c r="AE231" s="200">
        <v>3</v>
      </c>
      <c r="AH231" s="201"/>
    </row>
    <row r="232" spans="1:41" s="200" customFormat="1">
      <c r="A232" s="200" t="s">
        <v>725</v>
      </c>
      <c r="G232" s="200">
        <v>28</v>
      </c>
      <c r="H232" s="200">
        <v>34</v>
      </c>
      <c r="I232" s="200">
        <v>24</v>
      </c>
      <c r="J232" s="200">
        <v>40</v>
      </c>
      <c r="K232" s="200">
        <v>21</v>
      </c>
      <c r="L232" s="200">
        <v>20</v>
      </c>
      <c r="M232" s="200">
        <v>21</v>
      </c>
      <c r="N232" s="200">
        <v>40</v>
      </c>
      <c r="O232" s="200">
        <v>25</v>
      </c>
      <c r="Q232" s="200">
        <v>15</v>
      </c>
      <c r="V232" s="201"/>
      <c r="W232" s="201"/>
      <c r="X232" s="201"/>
      <c r="Y232" s="201"/>
      <c r="Z232" s="201"/>
      <c r="AA232" s="201"/>
      <c r="AB232" s="200">
        <v>40</v>
      </c>
      <c r="AC232" s="201">
        <v>0.08</v>
      </c>
      <c r="AD232" s="201"/>
      <c r="AE232" s="200">
        <v>3</v>
      </c>
      <c r="AH232" s="201"/>
    </row>
    <row r="233" spans="1:41" s="200" customFormat="1">
      <c r="A233" s="200" t="s">
        <v>726</v>
      </c>
      <c r="G233" s="200">
        <v>28</v>
      </c>
      <c r="H233" s="200">
        <v>34</v>
      </c>
      <c r="I233" s="200">
        <v>24</v>
      </c>
      <c r="J233" s="200">
        <v>40</v>
      </c>
      <c r="K233" s="200">
        <v>21</v>
      </c>
      <c r="L233" s="200">
        <v>20</v>
      </c>
      <c r="M233" s="200">
        <v>21</v>
      </c>
      <c r="N233" s="200">
        <v>40</v>
      </c>
      <c r="O233" s="200">
        <v>25</v>
      </c>
      <c r="Q233" s="200">
        <v>15</v>
      </c>
      <c r="V233" s="201"/>
      <c r="W233" s="201"/>
      <c r="X233" s="201"/>
      <c r="Y233" s="201"/>
      <c r="Z233" s="201"/>
      <c r="AA233" s="201"/>
      <c r="AB233" s="200">
        <v>40</v>
      </c>
      <c r="AC233" s="201">
        <v>0.03</v>
      </c>
      <c r="AD233" s="201">
        <v>0.05</v>
      </c>
      <c r="AE233" s="200">
        <v>3</v>
      </c>
      <c r="AH233" s="201"/>
    </row>
    <row r="234" spans="1:41" s="200" customFormat="1">
      <c r="A234" s="200" t="s">
        <v>769</v>
      </c>
      <c r="G234" s="200">
        <v>28</v>
      </c>
      <c r="H234" s="200">
        <v>34</v>
      </c>
      <c r="I234" s="200">
        <v>24</v>
      </c>
      <c r="J234" s="200">
        <v>40</v>
      </c>
      <c r="K234" s="200">
        <v>21</v>
      </c>
      <c r="L234" s="200">
        <v>20</v>
      </c>
      <c r="M234" s="200">
        <v>21</v>
      </c>
      <c r="N234" s="200">
        <v>40</v>
      </c>
      <c r="O234" s="200">
        <v>25</v>
      </c>
      <c r="Q234" s="200">
        <v>15</v>
      </c>
      <c r="V234" s="201"/>
      <c r="W234" s="201"/>
      <c r="X234" s="201"/>
      <c r="Y234" s="201"/>
      <c r="Z234" s="201"/>
      <c r="AA234" s="201"/>
      <c r="AB234" s="200">
        <v>40</v>
      </c>
      <c r="AC234" s="201">
        <v>0.03</v>
      </c>
      <c r="AD234" s="201"/>
      <c r="AE234" s="200">
        <v>3</v>
      </c>
      <c r="AH234" s="201">
        <v>0.05</v>
      </c>
    </row>
    <row r="235" spans="1:41" s="200" customFormat="1">
      <c r="A235" s="200" t="s">
        <v>895</v>
      </c>
      <c r="G235" s="200">
        <v>38</v>
      </c>
      <c r="H235" s="200">
        <v>34</v>
      </c>
      <c r="I235" s="200">
        <v>24</v>
      </c>
      <c r="J235" s="200">
        <v>30</v>
      </c>
      <c r="K235" s="200">
        <v>21</v>
      </c>
      <c r="L235" s="200">
        <v>20</v>
      </c>
      <c r="M235" s="200">
        <v>21</v>
      </c>
      <c r="N235" s="200">
        <v>40</v>
      </c>
      <c r="O235" s="200">
        <v>25</v>
      </c>
      <c r="Q235" s="200">
        <v>15</v>
      </c>
      <c r="V235" s="201"/>
      <c r="W235" s="201">
        <v>0.04</v>
      </c>
      <c r="X235" s="201"/>
      <c r="Y235" s="201"/>
      <c r="Z235" s="201"/>
      <c r="AA235" s="201"/>
      <c r="AB235" s="200">
        <v>40</v>
      </c>
      <c r="AC235" s="201">
        <v>0.03</v>
      </c>
      <c r="AD235" s="201"/>
      <c r="AE235" s="200">
        <v>3</v>
      </c>
      <c r="AH235" s="201"/>
    </row>
    <row r="236" spans="1:41" s="200" customFormat="1">
      <c r="A236" s="200" t="s">
        <v>902</v>
      </c>
      <c r="G236" s="200">
        <v>38</v>
      </c>
      <c r="H236" s="200">
        <v>34</v>
      </c>
      <c r="I236" s="200">
        <v>24</v>
      </c>
      <c r="J236" s="200">
        <v>30</v>
      </c>
      <c r="K236" s="200">
        <v>21</v>
      </c>
      <c r="L236" s="200">
        <v>20</v>
      </c>
      <c r="M236" s="200">
        <v>21</v>
      </c>
      <c r="N236" s="200">
        <v>40</v>
      </c>
      <c r="O236" s="200">
        <v>25</v>
      </c>
      <c r="Q236" s="200">
        <v>15</v>
      </c>
      <c r="V236" s="201"/>
      <c r="W236" s="201"/>
      <c r="X236" s="201"/>
      <c r="Y236" s="201"/>
      <c r="Z236" s="201"/>
      <c r="AA236" s="201"/>
      <c r="AB236" s="200">
        <v>40</v>
      </c>
      <c r="AC236" s="201">
        <v>0.03</v>
      </c>
      <c r="AD236" s="201"/>
      <c r="AE236" s="200">
        <v>3</v>
      </c>
      <c r="AH236" s="201">
        <v>0.05</v>
      </c>
    </row>
    <row r="237" spans="1:41" s="200" customFormat="1">
      <c r="A237" s="200" t="s">
        <v>873</v>
      </c>
      <c r="G237" s="200">
        <v>38</v>
      </c>
      <c r="H237" s="200">
        <v>44</v>
      </c>
      <c r="I237" s="200">
        <v>24</v>
      </c>
      <c r="J237" s="200">
        <v>30</v>
      </c>
      <c r="K237" s="200">
        <v>21</v>
      </c>
      <c r="L237" s="200">
        <v>20</v>
      </c>
      <c r="M237" s="200">
        <v>21</v>
      </c>
      <c r="N237" s="200">
        <v>20</v>
      </c>
      <c r="O237" s="200">
        <v>5</v>
      </c>
      <c r="S237" s="200">
        <v>15</v>
      </c>
      <c r="T237" s="200">
        <v>15</v>
      </c>
      <c r="U237" s="200">
        <v>15</v>
      </c>
      <c r="V237" s="201"/>
      <c r="W237" s="201"/>
      <c r="X237" s="201"/>
      <c r="Y237" s="201"/>
      <c r="Z237" s="201"/>
      <c r="AA237" s="201"/>
      <c r="AB237" s="200">
        <v>40</v>
      </c>
      <c r="AC237" s="201"/>
      <c r="AD237" s="201"/>
      <c r="AH237" s="201">
        <v>0.09</v>
      </c>
    </row>
    <row r="238" spans="1:41" s="200" customFormat="1">
      <c r="A238" s="200" t="s">
        <v>842</v>
      </c>
      <c r="G238" s="200">
        <v>37</v>
      </c>
      <c r="H238" s="200">
        <v>33</v>
      </c>
      <c r="I238" s="200">
        <v>31</v>
      </c>
      <c r="J238" s="200">
        <v>25</v>
      </c>
      <c r="K238" s="200">
        <v>20</v>
      </c>
      <c r="L238" s="200">
        <v>17</v>
      </c>
      <c r="M238" s="200">
        <v>25</v>
      </c>
      <c r="N238" s="200">
        <v>40</v>
      </c>
      <c r="O238" s="200">
        <v>28</v>
      </c>
      <c r="V238" s="201"/>
      <c r="W238" s="201"/>
      <c r="X238" s="201"/>
      <c r="Y238" s="201"/>
      <c r="Z238" s="201"/>
      <c r="AA238" s="201"/>
      <c r="AB238" s="203">
        <v>40</v>
      </c>
      <c r="AC238" s="201"/>
      <c r="AD238" s="201"/>
      <c r="AF238" s="203"/>
      <c r="AG238" s="203"/>
      <c r="AH238" s="201"/>
      <c r="AI238" s="203"/>
      <c r="AJ238" s="203"/>
      <c r="AK238" s="203"/>
      <c r="AL238" s="203"/>
      <c r="AM238" s="203"/>
    </row>
    <row r="239" spans="1:41" s="200" customFormat="1">
      <c r="A239" s="200" t="s">
        <v>841</v>
      </c>
      <c r="G239" s="200">
        <v>40</v>
      </c>
      <c r="H239" s="200">
        <v>36</v>
      </c>
      <c r="I239" s="200">
        <v>34</v>
      </c>
      <c r="J239" s="200">
        <v>28</v>
      </c>
      <c r="K239" s="200">
        <v>20</v>
      </c>
      <c r="L239" s="200">
        <v>17</v>
      </c>
      <c r="M239" s="200">
        <v>18</v>
      </c>
      <c r="N239" s="200">
        <v>46</v>
      </c>
      <c r="O239" s="200">
        <v>28</v>
      </c>
      <c r="V239" s="201"/>
      <c r="W239" s="201"/>
      <c r="X239" s="201"/>
      <c r="Y239" s="201"/>
      <c r="Z239" s="201"/>
      <c r="AA239" s="201"/>
      <c r="AB239" s="203">
        <v>40</v>
      </c>
      <c r="AC239" s="201"/>
      <c r="AD239" s="201"/>
      <c r="AF239" s="203"/>
      <c r="AG239" s="203"/>
      <c r="AH239" s="201"/>
      <c r="AI239" s="203"/>
      <c r="AJ239" s="203"/>
      <c r="AK239" s="203"/>
      <c r="AL239" s="203"/>
      <c r="AM239" s="203"/>
    </row>
    <row r="240" spans="1:41" s="200" customFormat="1">
      <c r="A240" s="202" t="s">
        <v>806</v>
      </c>
      <c r="G240" s="200">
        <v>33</v>
      </c>
      <c r="H240" s="200">
        <v>34</v>
      </c>
      <c r="I240" s="200">
        <v>21</v>
      </c>
      <c r="J240" s="200">
        <v>32</v>
      </c>
      <c r="K240" s="200">
        <v>24</v>
      </c>
      <c r="L240" s="200">
        <v>23</v>
      </c>
      <c r="M240" s="200">
        <v>21</v>
      </c>
      <c r="N240" s="200">
        <v>42</v>
      </c>
      <c r="Q240" s="200">
        <v>37</v>
      </c>
      <c r="V240" s="201"/>
      <c r="W240" s="201">
        <v>0.05</v>
      </c>
      <c r="X240" s="201"/>
      <c r="Y240" s="201"/>
      <c r="Z240" s="201"/>
      <c r="AA240" s="201"/>
      <c r="AB240" s="203">
        <v>40</v>
      </c>
      <c r="AC240" s="201">
        <v>7.0000000000000007E-2</v>
      </c>
      <c r="AD240" s="201"/>
      <c r="AF240" s="201"/>
      <c r="AG240" s="201"/>
      <c r="AH240" s="201"/>
      <c r="AI240" s="203"/>
      <c r="AJ240" s="203"/>
      <c r="AK240" s="203"/>
      <c r="AL240" s="203"/>
      <c r="AM240" s="203"/>
      <c r="AN240" s="201"/>
      <c r="AO240" s="203"/>
    </row>
    <row r="241" spans="1:55" s="200" customFormat="1">
      <c r="A241" s="202" t="s">
        <v>807</v>
      </c>
      <c r="G241" s="200">
        <v>33</v>
      </c>
      <c r="H241" s="200">
        <v>39</v>
      </c>
      <c r="I241" s="200">
        <v>21</v>
      </c>
      <c r="J241" s="200">
        <v>37</v>
      </c>
      <c r="K241" s="200">
        <v>24</v>
      </c>
      <c r="L241" s="200">
        <v>23</v>
      </c>
      <c r="M241" s="200">
        <v>21</v>
      </c>
      <c r="N241" s="200">
        <v>52</v>
      </c>
      <c r="Q241" s="200">
        <v>47</v>
      </c>
      <c r="V241" s="201"/>
      <c r="W241" s="201">
        <v>0.06</v>
      </c>
      <c r="X241" s="201"/>
      <c r="Y241" s="201"/>
      <c r="Z241" s="201"/>
      <c r="AA241" s="201"/>
      <c r="AB241" s="203">
        <v>40</v>
      </c>
      <c r="AC241" s="201">
        <v>0.09</v>
      </c>
      <c r="AD241" s="201"/>
      <c r="AF241" s="201"/>
      <c r="AG241" s="201"/>
      <c r="AH241" s="201"/>
      <c r="AI241" s="203"/>
      <c r="AJ241" s="203"/>
      <c r="AK241" s="203"/>
      <c r="AL241" s="203"/>
      <c r="AM241" s="203"/>
      <c r="AN241" s="201"/>
      <c r="AO241" s="203"/>
    </row>
    <row r="242" spans="1:55" s="200" customFormat="1">
      <c r="A242" s="202" t="s">
        <v>879</v>
      </c>
      <c r="G242" s="200">
        <v>19</v>
      </c>
      <c r="H242" s="200">
        <v>49</v>
      </c>
      <c r="I242" s="200">
        <v>25</v>
      </c>
      <c r="J242" s="200">
        <v>42</v>
      </c>
      <c r="K242" s="200">
        <v>19</v>
      </c>
      <c r="L242" s="200">
        <v>24</v>
      </c>
      <c r="M242" s="200">
        <v>24</v>
      </c>
      <c r="N242" s="200">
        <v>50</v>
      </c>
      <c r="Q242" s="200">
        <v>50</v>
      </c>
      <c r="S242" s="200">
        <v>50</v>
      </c>
      <c r="V242" s="201"/>
      <c r="W242" s="201"/>
      <c r="X242" s="201"/>
      <c r="Y242" s="201"/>
      <c r="Z242" s="201"/>
      <c r="AA242" s="201"/>
      <c r="AB242" s="203">
        <v>40</v>
      </c>
      <c r="AC242" s="201"/>
      <c r="AD242" s="201"/>
      <c r="AE242" s="200">
        <v>11</v>
      </c>
      <c r="AF242" s="201"/>
      <c r="AG242" s="201"/>
      <c r="AH242" s="201"/>
      <c r="AI242" s="203"/>
      <c r="AJ242" s="203"/>
      <c r="AK242" s="203"/>
      <c r="AL242" s="203"/>
      <c r="AM242" s="203"/>
      <c r="AN242" s="201"/>
      <c r="AO242" s="203"/>
      <c r="BC242" s="200">
        <v>0.06</v>
      </c>
    </row>
    <row r="243" spans="1:55">
      <c r="A243" s="31" t="s">
        <v>634</v>
      </c>
      <c r="G243" s="31">
        <v>24</v>
      </c>
      <c r="H243" s="31">
        <v>33</v>
      </c>
      <c r="I243" s="31">
        <v>24</v>
      </c>
      <c r="J243" s="31">
        <v>32</v>
      </c>
      <c r="K243" s="31">
        <v>27</v>
      </c>
      <c r="L243" s="31">
        <v>27</v>
      </c>
      <c r="M243" s="31">
        <v>23</v>
      </c>
      <c r="N243" s="31">
        <v>20</v>
      </c>
      <c r="Q243">
        <v>20</v>
      </c>
      <c r="V243" s="2"/>
      <c r="W243" s="2"/>
      <c r="X243" s="2"/>
      <c r="Y243" s="2"/>
      <c r="Z243" s="2"/>
      <c r="AA243" s="2"/>
      <c r="AB243" s="35">
        <v>40</v>
      </c>
      <c r="AC243" s="2"/>
      <c r="AD243" s="2"/>
      <c r="AF243" s="2"/>
      <c r="AG243" s="35"/>
      <c r="AH243" s="2"/>
      <c r="AL243" s="2"/>
    </row>
    <row r="244" spans="1:55">
      <c r="A244" s="31" t="s">
        <v>582</v>
      </c>
      <c r="G244" s="35">
        <v>15</v>
      </c>
      <c r="H244">
        <v>16</v>
      </c>
      <c r="I244">
        <v>13</v>
      </c>
      <c r="J244">
        <v>16</v>
      </c>
      <c r="K244">
        <v>15</v>
      </c>
      <c r="L244">
        <v>15</v>
      </c>
      <c r="M244">
        <v>15</v>
      </c>
      <c r="N244">
        <v>20</v>
      </c>
      <c r="O244">
        <v>20</v>
      </c>
      <c r="Q244">
        <v>12</v>
      </c>
      <c r="R244">
        <v>12</v>
      </c>
      <c r="V244" s="2"/>
      <c r="W244" s="2"/>
      <c r="X244" s="2"/>
      <c r="Y244" s="2"/>
      <c r="Z244" s="2"/>
      <c r="AA244" s="2">
        <v>0.06</v>
      </c>
      <c r="AB244" s="35">
        <v>40</v>
      </c>
      <c r="AC244" s="2"/>
      <c r="AD244" s="2"/>
      <c r="AE244" s="35"/>
      <c r="AF244" s="2"/>
      <c r="AG244" s="2"/>
      <c r="AH244" s="2"/>
      <c r="AL244" s="2"/>
    </row>
    <row r="245" spans="1:55">
      <c r="A245" s="31" t="s">
        <v>583</v>
      </c>
      <c r="G245" s="35">
        <v>24</v>
      </c>
      <c r="H245">
        <v>25</v>
      </c>
      <c r="I245">
        <v>21</v>
      </c>
      <c r="J245">
        <v>25</v>
      </c>
      <c r="K245">
        <v>24</v>
      </c>
      <c r="L245">
        <v>24</v>
      </c>
      <c r="M245">
        <v>24</v>
      </c>
      <c r="N245">
        <v>22</v>
      </c>
      <c r="O245">
        <v>22</v>
      </c>
      <c r="Q245">
        <v>14</v>
      </c>
      <c r="R245">
        <v>14</v>
      </c>
      <c r="V245" s="2"/>
      <c r="W245" s="2"/>
      <c r="X245" s="2"/>
      <c r="Y245" s="2"/>
      <c r="Z245" s="2"/>
      <c r="AA245" s="2">
        <v>7.0000000000000007E-2</v>
      </c>
      <c r="AB245" s="35">
        <v>40</v>
      </c>
      <c r="AC245" s="2"/>
      <c r="AD245" s="2"/>
      <c r="AE245" s="35"/>
      <c r="AF245" s="2"/>
      <c r="AG245" s="2"/>
      <c r="AH245" s="2"/>
      <c r="AL245" s="2"/>
    </row>
    <row r="246" spans="1:55" s="200" customFormat="1">
      <c r="A246" s="202" t="s">
        <v>831</v>
      </c>
      <c r="G246" s="203">
        <v>29</v>
      </c>
      <c r="H246" s="200">
        <v>30</v>
      </c>
      <c r="I246" s="200">
        <v>26</v>
      </c>
      <c r="J246" s="200">
        <v>30</v>
      </c>
      <c r="K246" s="200">
        <v>29</v>
      </c>
      <c r="L246" s="200">
        <v>29</v>
      </c>
      <c r="M246" s="200">
        <v>29</v>
      </c>
      <c r="N246" s="200">
        <v>41</v>
      </c>
      <c r="O246" s="200">
        <v>72</v>
      </c>
      <c r="Q246" s="200">
        <v>37</v>
      </c>
      <c r="R246" s="200">
        <v>64</v>
      </c>
      <c r="S246" s="200">
        <v>30</v>
      </c>
      <c r="V246" s="201"/>
      <c r="W246" s="201"/>
      <c r="X246" s="201"/>
      <c r="Y246" s="201"/>
      <c r="Z246" s="201"/>
      <c r="AA246" s="201">
        <v>0.08</v>
      </c>
      <c r="AB246" s="203">
        <v>40</v>
      </c>
      <c r="AC246" s="201"/>
      <c r="AD246" s="201"/>
      <c r="AE246" s="203"/>
      <c r="AF246" s="201"/>
      <c r="AG246" s="201"/>
      <c r="AH246" s="201"/>
      <c r="AI246" s="203"/>
      <c r="AJ246" s="203"/>
      <c r="AK246" s="203"/>
      <c r="AL246" s="201"/>
      <c r="AM246" s="89">
        <v>0.05</v>
      </c>
    </row>
    <row r="247" spans="1:55" s="200" customFormat="1">
      <c r="A247" s="202" t="s">
        <v>832</v>
      </c>
      <c r="G247" s="203">
        <v>34</v>
      </c>
      <c r="H247" s="200">
        <v>35</v>
      </c>
      <c r="I247" s="200">
        <v>31</v>
      </c>
      <c r="J247" s="200">
        <v>35</v>
      </c>
      <c r="K247" s="200">
        <v>34</v>
      </c>
      <c r="L247" s="200">
        <v>34</v>
      </c>
      <c r="M247" s="200">
        <v>34</v>
      </c>
      <c r="N247" s="200">
        <v>51</v>
      </c>
      <c r="O247" s="200">
        <v>87</v>
      </c>
      <c r="Q247" s="200">
        <v>47</v>
      </c>
      <c r="R247" s="200">
        <v>79</v>
      </c>
      <c r="S247" s="200">
        <v>40</v>
      </c>
      <c r="V247" s="201"/>
      <c r="W247" s="201"/>
      <c r="X247" s="201"/>
      <c r="Y247" s="201"/>
      <c r="Z247" s="201"/>
      <c r="AA247" s="201">
        <v>0.09</v>
      </c>
      <c r="AB247" s="203">
        <v>40</v>
      </c>
      <c r="AC247" s="201"/>
      <c r="AD247" s="201"/>
      <c r="AE247" s="203"/>
      <c r="AF247" s="201"/>
      <c r="AG247" s="201"/>
      <c r="AH247" s="201"/>
      <c r="AI247" s="203"/>
      <c r="AJ247" s="203"/>
      <c r="AK247" s="203"/>
      <c r="AL247" s="201"/>
      <c r="AM247" s="89">
        <v>0.1</v>
      </c>
    </row>
    <row r="248" spans="1:55" s="200" customFormat="1">
      <c r="A248" s="202" t="s">
        <v>821</v>
      </c>
      <c r="G248" s="203">
        <v>28</v>
      </c>
      <c r="H248" s="200">
        <v>48</v>
      </c>
      <c r="I248" s="200">
        <v>24</v>
      </c>
      <c r="J248" s="200">
        <v>44</v>
      </c>
      <c r="K248" s="200">
        <v>21</v>
      </c>
      <c r="L248" s="200">
        <v>20</v>
      </c>
      <c r="M248" s="200">
        <v>24</v>
      </c>
      <c r="N248" s="200">
        <v>46</v>
      </c>
      <c r="Q248" s="200">
        <v>46</v>
      </c>
      <c r="S248" s="200">
        <v>46</v>
      </c>
      <c r="V248" s="201"/>
      <c r="W248" s="201"/>
      <c r="X248" s="201"/>
      <c r="Y248" s="201"/>
      <c r="Z248" s="201"/>
      <c r="AA248" s="201"/>
      <c r="AB248" s="203">
        <v>40</v>
      </c>
      <c r="AC248" s="201">
        <v>0.09</v>
      </c>
      <c r="AD248" s="201"/>
      <c r="AE248" s="203">
        <v>6</v>
      </c>
      <c r="AF248" s="201"/>
      <c r="AG248" s="201"/>
      <c r="AH248" s="201"/>
      <c r="AI248" s="203"/>
      <c r="AJ248" s="203"/>
      <c r="AK248" s="203"/>
      <c r="AL248" s="201"/>
      <c r="AM248" s="203"/>
    </row>
    <row r="249" spans="1:55" s="31" customFormat="1">
      <c r="A249" s="31" t="s">
        <v>515</v>
      </c>
      <c r="G249" s="31">
        <v>20</v>
      </c>
      <c r="H249" s="31">
        <v>21</v>
      </c>
      <c r="I249" s="31">
        <v>18</v>
      </c>
      <c r="J249" s="31">
        <v>21</v>
      </c>
      <c r="K249" s="31">
        <v>20</v>
      </c>
      <c r="L249" s="31">
        <v>20</v>
      </c>
      <c r="M249" s="31">
        <v>20</v>
      </c>
      <c r="N249" s="31">
        <v>10</v>
      </c>
      <c r="V249" s="12"/>
      <c r="W249" s="12"/>
      <c r="X249" s="12"/>
      <c r="Y249" s="12"/>
      <c r="Z249" s="12"/>
      <c r="AA249" s="12"/>
      <c r="AB249" s="50">
        <v>40</v>
      </c>
      <c r="AC249" s="12"/>
      <c r="AD249" s="12"/>
      <c r="AF249" s="50"/>
      <c r="AG249" s="12"/>
      <c r="AH249" s="12"/>
      <c r="AI249" s="50"/>
      <c r="AJ249" s="50"/>
      <c r="AK249" s="50"/>
      <c r="AL249" s="50"/>
      <c r="AM249" s="50"/>
    </row>
    <row r="250" spans="1:55" s="31" customFormat="1">
      <c r="A250" s="31" t="s">
        <v>576</v>
      </c>
      <c r="G250" s="31">
        <v>23</v>
      </c>
      <c r="H250" s="31">
        <v>24</v>
      </c>
      <c r="I250" s="31">
        <v>20</v>
      </c>
      <c r="J250" s="31">
        <v>24</v>
      </c>
      <c r="K250" s="31">
        <v>23</v>
      </c>
      <c r="L250" s="31">
        <v>23</v>
      </c>
      <c r="M250" s="31">
        <v>23</v>
      </c>
      <c r="N250" s="31">
        <v>10</v>
      </c>
      <c r="V250" s="12"/>
      <c r="W250" s="12"/>
      <c r="X250" s="12"/>
      <c r="Y250" s="12"/>
      <c r="Z250" s="12"/>
      <c r="AA250" s="12"/>
      <c r="AB250" s="50">
        <v>40</v>
      </c>
      <c r="AC250" s="12"/>
      <c r="AD250" s="12"/>
      <c r="AF250" s="50"/>
      <c r="AG250" s="12"/>
      <c r="AH250" s="12"/>
      <c r="AI250" s="50"/>
      <c r="AJ250" s="50"/>
      <c r="AK250" s="50"/>
      <c r="AL250" s="50"/>
      <c r="AM250" s="50"/>
    </row>
    <row r="251" spans="1:55" s="172" customFormat="1">
      <c r="A251" s="177" t="s">
        <v>681</v>
      </c>
      <c r="B251" s="175"/>
      <c r="C251" s="175"/>
      <c r="D251" s="175"/>
      <c r="E251" s="175"/>
      <c r="F251" s="175"/>
      <c r="G251" s="177">
        <v>37</v>
      </c>
      <c r="H251" s="177">
        <v>45</v>
      </c>
      <c r="I251" s="175">
        <v>26</v>
      </c>
      <c r="J251" s="177">
        <v>30</v>
      </c>
      <c r="K251" s="177">
        <v>32</v>
      </c>
      <c r="L251" s="177">
        <v>25</v>
      </c>
      <c r="M251" s="177">
        <v>25</v>
      </c>
      <c r="N251" s="177">
        <v>15</v>
      </c>
      <c r="O251" s="177">
        <v>15</v>
      </c>
      <c r="P251" s="175"/>
      <c r="Q251" s="175"/>
      <c r="R251" s="175"/>
      <c r="S251" s="175"/>
      <c r="T251" s="175"/>
      <c r="U251" s="175"/>
      <c r="V251" s="176"/>
      <c r="W251" s="176">
        <v>0.02</v>
      </c>
      <c r="X251" s="176"/>
      <c r="Y251" s="176"/>
      <c r="Z251" s="176"/>
      <c r="AA251" s="176"/>
      <c r="AB251" s="179">
        <v>40</v>
      </c>
      <c r="AC251" s="176"/>
      <c r="AD251" s="176"/>
      <c r="AE251" s="178"/>
      <c r="AF251" s="176"/>
      <c r="AG251" s="178"/>
      <c r="AH251" s="176"/>
      <c r="AI251" s="175"/>
      <c r="AJ251" s="175"/>
      <c r="AK251" s="175"/>
      <c r="AL251" s="176"/>
      <c r="AM251" s="175"/>
      <c r="AN251" s="175"/>
    </row>
    <row r="252" spans="1:55">
      <c r="A252" t="s">
        <v>689</v>
      </c>
      <c r="G252">
        <v>30</v>
      </c>
      <c r="H252">
        <v>35</v>
      </c>
      <c r="I252">
        <v>26</v>
      </c>
      <c r="J252">
        <v>30</v>
      </c>
      <c r="K252">
        <v>25</v>
      </c>
      <c r="L252">
        <v>25</v>
      </c>
      <c r="M252">
        <v>25</v>
      </c>
      <c r="N252">
        <v>15</v>
      </c>
      <c r="O252">
        <v>15</v>
      </c>
      <c r="V252" s="2"/>
      <c r="W252" s="2">
        <v>0.04</v>
      </c>
      <c r="X252" s="2"/>
      <c r="Y252" s="2"/>
      <c r="Z252" s="2"/>
      <c r="AA252" s="2"/>
      <c r="AB252" s="35">
        <v>40</v>
      </c>
      <c r="AC252" s="2"/>
      <c r="AD252" s="2"/>
      <c r="AF252" s="35"/>
      <c r="AG252" s="35"/>
      <c r="AH252" s="2"/>
      <c r="AL252" s="35"/>
    </row>
    <row r="253" spans="1:55" s="202" customFormat="1">
      <c r="A253" s="202" t="s">
        <v>900</v>
      </c>
      <c r="G253" s="202">
        <v>40</v>
      </c>
      <c r="H253" s="202">
        <v>37</v>
      </c>
      <c r="I253" s="202">
        <v>34</v>
      </c>
      <c r="J253" s="202">
        <v>25</v>
      </c>
      <c r="K253" s="202">
        <v>23</v>
      </c>
      <c r="L253" s="202">
        <v>26</v>
      </c>
      <c r="M253" s="202">
        <v>23</v>
      </c>
      <c r="N253" s="202">
        <v>34</v>
      </c>
      <c r="O253" s="202">
        <v>54</v>
      </c>
      <c r="V253" s="188">
        <v>0.05</v>
      </c>
      <c r="W253" s="188"/>
      <c r="X253" s="188"/>
      <c r="Y253" s="188"/>
      <c r="Z253" s="188"/>
      <c r="AA253" s="188"/>
      <c r="AB253" s="202">
        <v>41</v>
      </c>
      <c r="AC253" s="188"/>
      <c r="AD253" s="188"/>
      <c r="AG253" s="188"/>
      <c r="AH253" s="188"/>
    </row>
    <row r="254" spans="1:55" s="202" customFormat="1">
      <c r="A254" s="202" t="s">
        <v>824</v>
      </c>
      <c r="G254" s="202">
        <v>38</v>
      </c>
      <c r="H254" s="202">
        <v>34</v>
      </c>
      <c r="I254" s="202">
        <v>23</v>
      </c>
      <c r="J254" s="202">
        <v>29</v>
      </c>
      <c r="K254" s="202">
        <v>19</v>
      </c>
      <c r="L254" s="202">
        <v>19</v>
      </c>
      <c r="M254" s="202">
        <v>19</v>
      </c>
      <c r="N254" s="202">
        <v>42</v>
      </c>
      <c r="O254" s="202">
        <v>27</v>
      </c>
      <c r="V254" s="188"/>
      <c r="W254" s="188"/>
      <c r="X254" s="188"/>
      <c r="Y254" s="188"/>
      <c r="Z254" s="188"/>
      <c r="AA254" s="188"/>
      <c r="AB254" s="202">
        <v>30</v>
      </c>
      <c r="AC254" s="188">
        <v>0.03</v>
      </c>
      <c r="AD254" s="188"/>
      <c r="AG254" s="188"/>
      <c r="AH254" s="188"/>
    </row>
    <row r="255" spans="1:55" s="202" customFormat="1">
      <c r="A255" s="202" t="s">
        <v>825</v>
      </c>
      <c r="G255" s="202">
        <v>40</v>
      </c>
      <c r="H255" s="202">
        <v>36</v>
      </c>
      <c r="I255" s="202">
        <v>23</v>
      </c>
      <c r="J255" s="202">
        <v>29</v>
      </c>
      <c r="K255" s="202">
        <v>19</v>
      </c>
      <c r="L255" s="202">
        <v>19</v>
      </c>
      <c r="M255" s="202">
        <v>19</v>
      </c>
      <c r="N255" s="202">
        <v>57</v>
      </c>
      <c r="O255" s="202">
        <v>37</v>
      </c>
      <c r="V255" s="188"/>
      <c r="W255" s="188"/>
      <c r="X255" s="188"/>
      <c r="Y255" s="188"/>
      <c r="Z255" s="188"/>
      <c r="AA255" s="188"/>
      <c r="AB255" s="202">
        <v>30</v>
      </c>
      <c r="AC255" s="188">
        <v>0.04</v>
      </c>
      <c r="AD255" s="188"/>
      <c r="AG255" s="188"/>
      <c r="AH255" s="188"/>
    </row>
    <row r="256" spans="1:55" s="202" customFormat="1">
      <c r="A256" s="202" t="s">
        <v>826</v>
      </c>
      <c r="G256" s="202">
        <v>28</v>
      </c>
      <c r="H256" s="202">
        <v>24</v>
      </c>
      <c r="I256" s="202">
        <v>23</v>
      </c>
      <c r="J256" s="202">
        <v>29</v>
      </c>
      <c r="K256" s="202">
        <v>19</v>
      </c>
      <c r="L256" s="202">
        <v>19</v>
      </c>
      <c r="M256" s="202">
        <v>19</v>
      </c>
      <c r="N256" s="202">
        <v>27</v>
      </c>
      <c r="O256" s="202">
        <v>27</v>
      </c>
      <c r="V256" s="188">
        <v>0.02</v>
      </c>
      <c r="W256" s="188"/>
      <c r="X256" s="188"/>
      <c r="Y256" s="188"/>
      <c r="Z256" s="188"/>
      <c r="AA256" s="188"/>
      <c r="AB256" s="202">
        <v>30</v>
      </c>
      <c r="AC256" s="188">
        <v>0.03</v>
      </c>
      <c r="AD256" s="188"/>
      <c r="AE256" s="202">
        <v>5</v>
      </c>
      <c r="AG256" s="188"/>
      <c r="AH256" s="188"/>
    </row>
    <row r="257" spans="1:41" s="202" customFormat="1">
      <c r="A257" s="202" t="s">
        <v>827</v>
      </c>
      <c r="G257" s="202">
        <v>28</v>
      </c>
      <c r="H257" s="202">
        <v>24</v>
      </c>
      <c r="I257" s="202">
        <v>23</v>
      </c>
      <c r="J257" s="202">
        <v>29</v>
      </c>
      <c r="K257" s="202">
        <v>19</v>
      </c>
      <c r="L257" s="202">
        <v>19</v>
      </c>
      <c r="M257" s="202">
        <v>19</v>
      </c>
      <c r="N257" s="202">
        <v>37</v>
      </c>
      <c r="O257" s="202">
        <v>37</v>
      </c>
      <c r="V257" s="188">
        <v>0.03</v>
      </c>
      <c r="W257" s="188"/>
      <c r="X257" s="188"/>
      <c r="Y257" s="188"/>
      <c r="Z257" s="188"/>
      <c r="AA257" s="188"/>
      <c r="AB257" s="202">
        <v>30</v>
      </c>
      <c r="AC257" s="188">
        <v>0.04</v>
      </c>
      <c r="AD257" s="188"/>
      <c r="AE257" s="202">
        <v>6</v>
      </c>
      <c r="AG257" s="188"/>
      <c r="AH257" s="188"/>
    </row>
    <row r="258" spans="1:41" s="200" customFormat="1">
      <c r="A258" s="200" t="s">
        <v>679</v>
      </c>
      <c r="G258" s="200">
        <v>22</v>
      </c>
      <c r="H258" s="200">
        <v>29</v>
      </c>
      <c r="I258" s="200">
        <v>22</v>
      </c>
      <c r="J258" s="200">
        <v>28</v>
      </c>
      <c r="K258" s="200">
        <v>21</v>
      </c>
      <c r="L258" s="200">
        <v>21</v>
      </c>
      <c r="M258" s="200">
        <v>21</v>
      </c>
      <c r="N258" s="200">
        <v>20</v>
      </c>
      <c r="O258" s="200">
        <v>30</v>
      </c>
      <c r="R258" s="200">
        <v>10</v>
      </c>
      <c r="V258" s="201"/>
      <c r="W258" s="201"/>
      <c r="X258" s="201"/>
      <c r="Y258" s="201"/>
      <c r="Z258" s="201"/>
      <c r="AA258" s="201"/>
      <c r="AB258" s="200">
        <v>40</v>
      </c>
      <c r="AC258" s="201">
        <v>0.03</v>
      </c>
      <c r="AD258" s="201">
        <v>0.03</v>
      </c>
      <c r="AH258" s="201"/>
    </row>
    <row r="259" spans="1:41" s="200" customFormat="1">
      <c r="A259" s="200" t="s">
        <v>680</v>
      </c>
      <c r="G259" s="200">
        <v>29</v>
      </c>
      <c r="H259" s="200">
        <v>36</v>
      </c>
      <c r="I259" s="200">
        <v>22</v>
      </c>
      <c r="J259" s="200">
        <v>28</v>
      </c>
      <c r="K259" s="200">
        <v>21</v>
      </c>
      <c r="L259" s="200">
        <v>21</v>
      </c>
      <c r="M259" s="200">
        <v>21</v>
      </c>
      <c r="N259" s="200">
        <v>20</v>
      </c>
      <c r="O259" s="200">
        <v>30</v>
      </c>
      <c r="R259" s="200">
        <v>10</v>
      </c>
      <c r="V259" s="201"/>
      <c r="W259" s="201">
        <v>0.02</v>
      </c>
      <c r="X259" s="201"/>
      <c r="Y259" s="201"/>
      <c r="Z259" s="201"/>
      <c r="AA259" s="201"/>
      <c r="AB259" s="200">
        <v>40</v>
      </c>
      <c r="AC259" s="201"/>
      <c r="AD259" s="201"/>
      <c r="AH259" s="201"/>
    </row>
    <row r="260" spans="1:41" s="200" customFormat="1">
      <c r="A260" s="200" t="s">
        <v>904</v>
      </c>
      <c r="G260" s="200">
        <v>38</v>
      </c>
      <c r="H260" s="200">
        <v>34</v>
      </c>
      <c r="I260" s="200">
        <v>38</v>
      </c>
      <c r="J260" s="200">
        <v>29</v>
      </c>
      <c r="K260" s="200">
        <v>29</v>
      </c>
      <c r="L260" s="200">
        <v>29</v>
      </c>
      <c r="M260" s="200">
        <v>29</v>
      </c>
      <c r="N260" s="200">
        <v>65</v>
      </c>
      <c r="O260" s="200">
        <v>35</v>
      </c>
      <c r="V260" s="201"/>
      <c r="W260" s="201">
        <v>0.05</v>
      </c>
      <c r="X260" s="201"/>
      <c r="Y260" s="201"/>
      <c r="Z260" s="201">
        <v>0.08</v>
      </c>
      <c r="AA260" s="201"/>
      <c r="AB260" s="200">
        <v>30</v>
      </c>
      <c r="AC260" s="201">
        <v>0.06</v>
      </c>
      <c r="AD260" s="201"/>
      <c r="AE260" s="200">
        <v>9</v>
      </c>
      <c r="AH260" s="201"/>
    </row>
    <row r="261" spans="1:41" s="20" customFormat="1">
      <c r="A261" s="20" t="s">
        <v>351</v>
      </c>
      <c r="N261" s="20">
        <v>12</v>
      </c>
      <c r="V261" s="216">
        <v>0.03</v>
      </c>
      <c r="W261" s="216">
        <v>0.03</v>
      </c>
      <c r="X261" s="216">
        <v>0.03</v>
      </c>
      <c r="Y261" s="216"/>
      <c r="Z261" s="216"/>
      <c r="AA261" s="216"/>
      <c r="AB261" s="109">
        <v>40</v>
      </c>
      <c r="AC261" s="216"/>
      <c r="AD261" s="216"/>
      <c r="AF261" s="109"/>
      <c r="AG261" s="109"/>
      <c r="AH261" s="216"/>
      <c r="AI261" s="109"/>
      <c r="AJ261" s="109"/>
      <c r="AK261" s="109"/>
      <c r="AL261" s="109"/>
      <c r="AM261" s="109"/>
    </row>
    <row r="264" spans="1:41">
      <c r="A264" t="s">
        <v>19</v>
      </c>
      <c r="B264" t="s">
        <v>30</v>
      </c>
      <c r="C264" t="s">
        <v>518</v>
      </c>
      <c r="D264" t="s">
        <v>652</v>
      </c>
      <c r="E264" t="s">
        <v>484</v>
      </c>
      <c r="F264" s="31" t="s">
        <v>511</v>
      </c>
      <c r="G264" t="s">
        <v>3</v>
      </c>
      <c r="H264" t="s">
        <v>4</v>
      </c>
      <c r="I264" t="s">
        <v>5</v>
      </c>
      <c r="J264" t="s">
        <v>42</v>
      </c>
      <c r="K264" t="s">
        <v>208</v>
      </c>
      <c r="L264" t="s">
        <v>209</v>
      </c>
      <c r="M264" t="s">
        <v>210</v>
      </c>
      <c r="N264" t="s">
        <v>10</v>
      </c>
      <c r="O264" t="s">
        <v>9</v>
      </c>
      <c r="P264" t="s">
        <v>479</v>
      </c>
      <c r="Q264" t="s">
        <v>635</v>
      </c>
      <c r="R264" t="s">
        <v>636</v>
      </c>
      <c r="S264" t="s">
        <v>637</v>
      </c>
      <c r="T264" s="35" t="s">
        <v>638</v>
      </c>
      <c r="U264" s="145" t="s">
        <v>639</v>
      </c>
      <c r="V264" t="s">
        <v>12</v>
      </c>
      <c r="W264" t="s">
        <v>152</v>
      </c>
      <c r="X264" t="s">
        <v>345</v>
      </c>
      <c r="Y264" t="s">
        <v>480</v>
      </c>
      <c r="Z264" t="s">
        <v>481</v>
      </c>
      <c r="AA264" t="s">
        <v>122</v>
      </c>
      <c r="AB264" t="s">
        <v>11</v>
      </c>
      <c r="AC264" t="s">
        <v>119</v>
      </c>
      <c r="AD264" t="s">
        <v>118</v>
      </c>
      <c r="AE264" t="s">
        <v>13</v>
      </c>
      <c r="AF264" t="s">
        <v>116</v>
      </c>
      <c r="AG264" t="s">
        <v>289</v>
      </c>
      <c r="AH264" t="s">
        <v>163</v>
      </c>
      <c r="AI264" s="35" t="s">
        <v>457</v>
      </c>
      <c r="AJ264" s="35" t="s">
        <v>458</v>
      </c>
      <c r="AK264" s="145" t="s">
        <v>433</v>
      </c>
      <c r="AL264" t="s">
        <v>339</v>
      </c>
      <c r="AM264" s="145" t="s">
        <v>649</v>
      </c>
    </row>
    <row r="265" spans="1:41">
      <c r="A265" s="202" t="s">
        <v>704</v>
      </c>
      <c r="B265" s="182"/>
      <c r="C265" s="182"/>
      <c r="D265" s="182"/>
      <c r="E265" s="182"/>
      <c r="F265" s="182"/>
      <c r="G265" s="182">
        <v>15</v>
      </c>
      <c r="H265" s="182">
        <v>56</v>
      </c>
      <c r="I265" s="182">
        <v>29</v>
      </c>
      <c r="J265" s="182">
        <v>19</v>
      </c>
      <c r="K265" s="182">
        <v>12</v>
      </c>
      <c r="L265" s="182">
        <v>30</v>
      </c>
      <c r="M265" s="182">
        <v>17</v>
      </c>
      <c r="N265" s="182">
        <v>52</v>
      </c>
      <c r="O265" s="182"/>
      <c r="P265" s="182"/>
      <c r="Q265" s="182">
        <v>32</v>
      </c>
      <c r="R265" s="182"/>
      <c r="S265" s="182"/>
      <c r="T265" s="182"/>
      <c r="U265" s="182"/>
      <c r="V265" s="183"/>
      <c r="W265" s="183">
        <v>0.04</v>
      </c>
      <c r="X265" s="183"/>
      <c r="Y265" s="183"/>
      <c r="Z265" s="183"/>
      <c r="AA265" s="183"/>
      <c r="AB265" s="185">
        <v>51</v>
      </c>
      <c r="AC265" s="183"/>
      <c r="AD265" s="183"/>
      <c r="AE265" s="182">
        <v>7</v>
      </c>
      <c r="AF265" s="185"/>
      <c r="AG265" s="185"/>
      <c r="AH265" s="183"/>
      <c r="AI265" s="182"/>
      <c r="AJ265" s="182"/>
      <c r="AK265" s="182"/>
      <c r="AL265" s="183"/>
      <c r="AM265" s="182"/>
      <c r="AN265" s="183"/>
      <c r="AO265" s="35"/>
    </row>
    <row r="266" spans="1:41" s="180" customFormat="1">
      <c r="A266" s="202" t="s">
        <v>705</v>
      </c>
      <c r="B266" s="182"/>
      <c r="C266" s="182"/>
      <c r="D266" s="182"/>
      <c r="E266" s="182"/>
      <c r="F266" s="182"/>
      <c r="G266" s="182">
        <v>27</v>
      </c>
      <c r="H266" s="182">
        <v>56</v>
      </c>
      <c r="I266" s="182">
        <v>29</v>
      </c>
      <c r="J266" s="182">
        <v>7</v>
      </c>
      <c r="K266" s="182">
        <v>12</v>
      </c>
      <c r="L266" s="182">
        <v>30</v>
      </c>
      <c r="M266" s="182">
        <v>17</v>
      </c>
      <c r="N266" s="182">
        <v>32</v>
      </c>
      <c r="O266" s="182">
        <v>20</v>
      </c>
      <c r="P266" s="182"/>
      <c r="Q266" s="182">
        <v>32</v>
      </c>
      <c r="R266" s="182"/>
      <c r="S266" s="182"/>
      <c r="T266" s="182"/>
      <c r="U266" s="182"/>
      <c r="V266" s="183"/>
      <c r="W266" s="183">
        <v>0.04</v>
      </c>
      <c r="X266" s="183"/>
      <c r="Y266" s="183"/>
      <c r="Z266" s="183"/>
      <c r="AA266" s="183"/>
      <c r="AB266" s="185">
        <v>51</v>
      </c>
      <c r="AC266" s="183"/>
      <c r="AD266" s="183"/>
      <c r="AE266" s="182">
        <v>7</v>
      </c>
      <c r="AF266" s="185"/>
      <c r="AG266" s="185"/>
      <c r="AH266" s="183"/>
      <c r="AI266" s="182"/>
      <c r="AJ266" s="182"/>
      <c r="AK266" s="182"/>
      <c r="AL266" s="183"/>
      <c r="AM266" s="182"/>
      <c r="AN266" s="183"/>
      <c r="AO266" s="181"/>
    </row>
    <row r="267" spans="1:41" s="180" customFormat="1">
      <c r="A267" s="202" t="s">
        <v>706</v>
      </c>
      <c r="B267" s="182"/>
      <c r="C267" s="182"/>
      <c r="D267" s="182"/>
      <c r="E267" s="182"/>
      <c r="F267" s="182"/>
      <c r="G267" s="182">
        <v>15</v>
      </c>
      <c r="H267" s="182">
        <v>54</v>
      </c>
      <c r="I267" s="182">
        <v>29</v>
      </c>
      <c r="J267" s="182">
        <v>17</v>
      </c>
      <c r="K267" s="182">
        <v>12</v>
      </c>
      <c r="L267" s="182">
        <v>30</v>
      </c>
      <c r="M267" s="182">
        <v>17</v>
      </c>
      <c r="N267" s="182">
        <v>37</v>
      </c>
      <c r="O267" s="182"/>
      <c r="P267" s="182"/>
      <c r="Q267" s="182">
        <v>22</v>
      </c>
      <c r="R267" s="182"/>
      <c r="S267" s="182"/>
      <c r="T267" s="182"/>
      <c r="U267" s="182"/>
      <c r="V267" s="183"/>
      <c r="W267" s="183">
        <v>0.03</v>
      </c>
      <c r="X267" s="183"/>
      <c r="Y267" s="183"/>
      <c r="Z267" s="183"/>
      <c r="AA267" s="183"/>
      <c r="AB267" s="185">
        <v>51</v>
      </c>
      <c r="AC267" s="183"/>
      <c r="AD267" s="183"/>
      <c r="AE267" s="182">
        <v>6</v>
      </c>
      <c r="AF267" s="185"/>
      <c r="AG267" s="185"/>
      <c r="AH267" s="183"/>
      <c r="AI267" s="182"/>
      <c r="AJ267" s="182"/>
      <c r="AK267" s="182"/>
      <c r="AL267" s="183"/>
      <c r="AM267" s="182"/>
      <c r="AN267" s="183"/>
      <c r="AO267" s="181"/>
    </row>
    <row r="268" spans="1:41">
      <c r="A268" s="202" t="s">
        <v>707</v>
      </c>
      <c r="B268" s="182"/>
      <c r="C268" s="182"/>
      <c r="D268" s="182"/>
      <c r="E268" s="182"/>
      <c r="F268" s="182"/>
      <c r="G268" s="182">
        <v>25</v>
      </c>
      <c r="H268" s="182">
        <v>54</v>
      </c>
      <c r="I268" s="182">
        <v>29</v>
      </c>
      <c r="J268" s="182">
        <v>17</v>
      </c>
      <c r="K268" s="182">
        <v>12</v>
      </c>
      <c r="L268" s="182">
        <v>30</v>
      </c>
      <c r="M268" s="182">
        <v>17</v>
      </c>
      <c r="N268" s="182">
        <v>22</v>
      </c>
      <c r="O268" s="182">
        <v>15</v>
      </c>
      <c r="P268" s="182"/>
      <c r="Q268" s="182">
        <v>22</v>
      </c>
      <c r="R268" s="182"/>
      <c r="S268" s="182"/>
      <c r="T268" s="182"/>
      <c r="U268" s="182"/>
      <c r="V268" s="183"/>
      <c r="W268" s="183">
        <v>0.03</v>
      </c>
      <c r="X268" s="183"/>
      <c r="Y268" s="183"/>
      <c r="Z268" s="183"/>
      <c r="AA268" s="183"/>
      <c r="AB268" s="185">
        <v>51</v>
      </c>
      <c r="AC268" s="183"/>
      <c r="AD268" s="183"/>
      <c r="AE268" s="182">
        <v>6</v>
      </c>
      <c r="AF268" s="185"/>
      <c r="AG268" s="185"/>
      <c r="AH268" s="183"/>
      <c r="AI268" s="182"/>
      <c r="AJ268" s="182"/>
      <c r="AK268" s="182"/>
      <c r="AL268" s="183"/>
      <c r="AM268" s="182"/>
      <c r="AN268" s="183"/>
      <c r="AO268" s="35"/>
    </row>
    <row r="269" spans="1:41">
      <c r="A269" t="s">
        <v>690</v>
      </c>
      <c r="G269">
        <v>16</v>
      </c>
      <c r="H269">
        <v>35</v>
      </c>
      <c r="I269">
        <v>29</v>
      </c>
      <c r="J269">
        <v>12</v>
      </c>
      <c r="K269">
        <v>12</v>
      </c>
      <c r="L269">
        <v>30</v>
      </c>
      <c r="M269">
        <v>17</v>
      </c>
      <c r="N269">
        <v>36</v>
      </c>
      <c r="Q269">
        <v>36</v>
      </c>
      <c r="V269" s="2"/>
      <c r="W269" s="2">
        <v>0.03</v>
      </c>
      <c r="X269" s="2"/>
      <c r="Y269" s="2"/>
      <c r="Z269" s="2"/>
      <c r="AA269" s="2">
        <v>0.05</v>
      </c>
      <c r="AB269" s="35">
        <v>51</v>
      </c>
      <c r="AC269" s="2"/>
      <c r="AD269" s="2"/>
      <c r="AF269" s="35"/>
      <c r="AG269" s="35"/>
      <c r="AH269" s="2"/>
      <c r="AL269" s="35"/>
      <c r="AM269" s="89"/>
    </row>
    <row r="270" spans="1:41">
      <c r="A270" s="31" t="s">
        <v>541</v>
      </c>
      <c r="D270">
        <v>10</v>
      </c>
      <c r="G270">
        <v>6</v>
      </c>
      <c r="H270">
        <v>21</v>
      </c>
      <c r="I270">
        <v>17</v>
      </c>
      <c r="J270">
        <v>14</v>
      </c>
      <c r="K270">
        <v>6</v>
      </c>
      <c r="L270">
        <v>17</v>
      </c>
      <c r="M270">
        <v>10</v>
      </c>
      <c r="Q270">
        <v>25</v>
      </c>
      <c r="R270">
        <v>25</v>
      </c>
      <c r="V270" s="2"/>
      <c r="W270" s="2"/>
      <c r="X270" s="2"/>
      <c r="Y270" s="2"/>
      <c r="Z270" s="2"/>
      <c r="AA270" s="2"/>
      <c r="AB270" s="35">
        <v>40</v>
      </c>
      <c r="AC270" s="2"/>
      <c r="AD270" s="2"/>
      <c r="AE270" s="35"/>
      <c r="AF270" s="35"/>
      <c r="AG270" s="35"/>
      <c r="AH270" s="2"/>
      <c r="AL270" s="2"/>
      <c r="AM270" s="89"/>
    </row>
    <row r="271" spans="1:41">
      <c r="A271" s="31" t="s">
        <v>569</v>
      </c>
      <c r="D271">
        <v>10</v>
      </c>
      <c r="G271">
        <v>10</v>
      </c>
      <c r="H271">
        <v>34</v>
      </c>
      <c r="I271">
        <v>28</v>
      </c>
      <c r="J271">
        <v>16</v>
      </c>
      <c r="K271">
        <v>10</v>
      </c>
      <c r="L271">
        <v>28</v>
      </c>
      <c r="M271">
        <v>16</v>
      </c>
      <c r="Q271">
        <v>28</v>
      </c>
      <c r="R271">
        <v>28</v>
      </c>
      <c r="V271" s="2"/>
      <c r="W271" s="2"/>
      <c r="X271" s="2"/>
      <c r="Y271" s="2"/>
      <c r="Z271" s="2"/>
      <c r="AA271" s="2"/>
      <c r="AB271" s="35">
        <v>51</v>
      </c>
      <c r="AC271" s="2"/>
      <c r="AD271" s="2"/>
      <c r="AE271" s="35"/>
      <c r="AF271" s="35"/>
      <c r="AG271" s="35"/>
      <c r="AH271" s="2"/>
      <c r="AL271" s="2"/>
      <c r="AM271" s="89"/>
    </row>
    <row r="272" spans="1:41" s="200" customFormat="1">
      <c r="A272" s="202" t="s">
        <v>789</v>
      </c>
      <c r="D272" s="200">
        <v>12</v>
      </c>
      <c r="G272" s="200">
        <v>15</v>
      </c>
      <c r="H272" s="200">
        <v>39</v>
      </c>
      <c r="I272" s="200">
        <v>33</v>
      </c>
      <c r="J272" s="200">
        <v>21</v>
      </c>
      <c r="K272" s="200">
        <v>15</v>
      </c>
      <c r="L272" s="200">
        <v>33</v>
      </c>
      <c r="M272" s="200">
        <v>21</v>
      </c>
      <c r="N272" s="200">
        <v>38</v>
      </c>
      <c r="Q272" s="200">
        <v>38</v>
      </c>
      <c r="R272" s="200">
        <v>38</v>
      </c>
      <c r="V272" s="201"/>
      <c r="W272" s="201"/>
      <c r="X272" s="201"/>
      <c r="Y272" s="201"/>
      <c r="Z272" s="201"/>
      <c r="AA272" s="201"/>
      <c r="AB272" s="203">
        <v>51</v>
      </c>
      <c r="AC272" s="201"/>
      <c r="AD272" s="201"/>
      <c r="AE272" s="203"/>
      <c r="AF272" s="203"/>
      <c r="AG272" s="203"/>
      <c r="AH272" s="201"/>
      <c r="AI272" s="203"/>
      <c r="AJ272" s="203"/>
      <c r="AK272" s="203"/>
      <c r="AL272" s="201"/>
      <c r="AM272" s="89">
        <v>0.05</v>
      </c>
    </row>
    <row r="273" spans="1:39" s="200" customFormat="1">
      <c r="A273" s="202" t="s">
        <v>790</v>
      </c>
      <c r="D273" s="200">
        <v>14</v>
      </c>
      <c r="G273" s="200">
        <v>20</v>
      </c>
      <c r="H273" s="200">
        <v>44</v>
      </c>
      <c r="I273" s="200">
        <v>38</v>
      </c>
      <c r="J273" s="200">
        <v>26</v>
      </c>
      <c r="K273" s="200">
        <v>20</v>
      </c>
      <c r="L273" s="200">
        <v>38</v>
      </c>
      <c r="M273" s="200">
        <v>26</v>
      </c>
      <c r="N273" s="200">
        <v>48</v>
      </c>
      <c r="Q273" s="200">
        <v>48</v>
      </c>
      <c r="R273" s="200">
        <v>48</v>
      </c>
      <c r="V273" s="201"/>
      <c r="W273" s="201"/>
      <c r="X273" s="201"/>
      <c r="Y273" s="201"/>
      <c r="Z273" s="201"/>
      <c r="AA273" s="201"/>
      <c r="AB273" s="203">
        <v>51</v>
      </c>
      <c r="AC273" s="201"/>
      <c r="AD273" s="201"/>
      <c r="AE273" s="203"/>
      <c r="AF273" s="203"/>
      <c r="AG273" s="203"/>
      <c r="AH273" s="201"/>
      <c r="AI273" s="203"/>
      <c r="AJ273" s="203"/>
      <c r="AK273" s="203"/>
      <c r="AL273" s="201"/>
      <c r="AM273" s="89">
        <v>0.1</v>
      </c>
    </row>
    <row r="274" spans="1:39" s="200" customFormat="1">
      <c r="A274" s="202" t="s">
        <v>767</v>
      </c>
      <c r="G274" s="200">
        <v>16</v>
      </c>
      <c r="H274" s="200">
        <v>39</v>
      </c>
      <c r="I274" s="200">
        <v>30</v>
      </c>
      <c r="J274" s="200">
        <v>8</v>
      </c>
      <c r="K274" s="200">
        <v>14</v>
      </c>
      <c r="L274" s="200">
        <v>26</v>
      </c>
      <c r="M274" s="200">
        <v>19</v>
      </c>
      <c r="N274" s="200">
        <v>27</v>
      </c>
      <c r="O274" s="200">
        <v>15</v>
      </c>
      <c r="Q274" s="200">
        <v>12</v>
      </c>
      <c r="V274" s="201"/>
      <c r="W274" s="201">
        <v>0.02</v>
      </c>
      <c r="X274" s="201">
        <v>0.03</v>
      </c>
      <c r="Y274" s="201"/>
      <c r="Z274" s="201"/>
      <c r="AA274" s="201"/>
      <c r="AB274" s="203">
        <v>51</v>
      </c>
      <c r="AC274" s="201"/>
      <c r="AD274" s="201"/>
      <c r="AF274" s="201"/>
      <c r="AG274" s="203"/>
      <c r="AH274" s="201"/>
      <c r="AI274" s="203"/>
      <c r="AJ274" s="203"/>
      <c r="AK274" s="203"/>
      <c r="AL274" s="201"/>
      <c r="AM274" s="89"/>
    </row>
    <row r="275" spans="1:39" s="200" customFormat="1">
      <c r="A275" s="202" t="s">
        <v>721</v>
      </c>
      <c r="G275" s="200">
        <v>16</v>
      </c>
      <c r="H275" s="200">
        <v>49</v>
      </c>
      <c r="I275" s="200">
        <v>30</v>
      </c>
      <c r="J275" s="200">
        <v>8</v>
      </c>
      <c r="K275" s="200">
        <v>14</v>
      </c>
      <c r="L275" s="200">
        <v>26</v>
      </c>
      <c r="M275" s="200">
        <v>19</v>
      </c>
      <c r="N275" s="200">
        <v>37</v>
      </c>
      <c r="O275" s="200">
        <v>25</v>
      </c>
      <c r="Q275" s="200">
        <v>12</v>
      </c>
      <c r="V275" s="201"/>
      <c r="W275" s="201">
        <v>0.06</v>
      </c>
      <c r="X275" s="201"/>
      <c r="Y275" s="201"/>
      <c r="Z275" s="201"/>
      <c r="AA275" s="201"/>
      <c r="AB275" s="200">
        <v>51</v>
      </c>
      <c r="AC275" s="201"/>
      <c r="AD275" s="201"/>
      <c r="AF275" s="201"/>
      <c r="AH275" s="201"/>
      <c r="AL275" s="201"/>
      <c r="AM275" s="89"/>
    </row>
    <row r="276" spans="1:39" s="200" customFormat="1">
      <c r="A276" s="202" t="s">
        <v>722</v>
      </c>
      <c r="G276" s="200">
        <v>16</v>
      </c>
      <c r="H276" s="200">
        <v>49</v>
      </c>
      <c r="I276" s="200">
        <v>30</v>
      </c>
      <c r="J276" s="200">
        <v>8</v>
      </c>
      <c r="K276" s="200">
        <v>14</v>
      </c>
      <c r="L276" s="200">
        <v>26</v>
      </c>
      <c r="M276" s="200">
        <v>19</v>
      </c>
      <c r="N276" s="200">
        <v>37</v>
      </c>
      <c r="O276" s="200">
        <v>25</v>
      </c>
      <c r="Q276" s="200">
        <v>12</v>
      </c>
      <c r="V276" s="201"/>
      <c r="W276" s="201">
        <v>0.02</v>
      </c>
      <c r="X276" s="201"/>
      <c r="Y276" s="201"/>
      <c r="Z276" s="201"/>
      <c r="AA276" s="201"/>
      <c r="AB276" s="200">
        <v>51</v>
      </c>
      <c r="AC276" s="201"/>
      <c r="AD276" s="201"/>
      <c r="AE276" s="200">
        <v>7</v>
      </c>
      <c r="AF276" s="201"/>
      <c r="AH276" s="201"/>
      <c r="AL276" s="201"/>
      <c r="AM276" s="89"/>
    </row>
    <row r="277" spans="1:39" s="200" customFormat="1">
      <c r="A277" s="202" t="s">
        <v>723</v>
      </c>
      <c r="G277" s="200">
        <v>16</v>
      </c>
      <c r="H277" s="200">
        <v>49</v>
      </c>
      <c r="I277" s="200">
        <v>30</v>
      </c>
      <c r="J277" s="200">
        <v>8</v>
      </c>
      <c r="K277" s="200">
        <v>14</v>
      </c>
      <c r="L277" s="200">
        <v>26</v>
      </c>
      <c r="M277" s="200">
        <v>19</v>
      </c>
      <c r="N277" s="200">
        <v>37</v>
      </c>
      <c r="O277" s="200">
        <v>25</v>
      </c>
      <c r="Q277" s="200">
        <v>12</v>
      </c>
      <c r="V277" s="201"/>
      <c r="W277" s="201">
        <v>0.02</v>
      </c>
      <c r="X277" s="201"/>
      <c r="Y277" s="201"/>
      <c r="Z277" s="201"/>
      <c r="AA277" s="201"/>
      <c r="AB277" s="200">
        <v>51</v>
      </c>
      <c r="AC277" s="201">
        <v>0.05</v>
      </c>
      <c r="AD277" s="201"/>
      <c r="AF277" s="201"/>
      <c r="AH277" s="201"/>
      <c r="AL277" s="201"/>
      <c r="AM277" s="89"/>
    </row>
    <row r="278" spans="1:39" s="200" customFormat="1">
      <c r="A278" s="202" t="s">
        <v>724</v>
      </c>
      <c r="G278" s="200">
        <v>16</v>
      </c>
      <c r="H278" s="200">
        <v>49</v>
      </c>
      <c r="I278" s="200">
        <v>30</v>
      </c>
      <c r="J278" s="200">
        <v>8</v>
      </c>
      <c r="K278" s="200">
        <v>14</v>
      </c>
      <c r="L278" s="200">
        <v>26</v>
      </c>
      <c r="M278" s="200">
        <v>19</v>
      </c>
      <c r="N278" s="200">
        <v>37</v>
      </c>
      <c r="O278" s="200">
        <v>25</v>
      </c>
      <c r="Q278" s="200">
        <v>12</v>
      </c>
      <c r="V278" s="201"/>
      <c r="W278" s="201">
        <v>0.02</v>
      </c>
      <c r="X278" s="201"/>
      <c r="Y278" s="201"/>
      <c r="Z278" s="201"/>
      <c r="AA278" s="201"/>
      <c r="AB278" s="200">
        <v>51</v>
      </c>
      <c r="AC278" s="201"/>
      <c r="AD278" s="201">
        <v>0.05</v>
      </c>
      <c r="AF278" s="201"/>
      <c r="AH278" s="201"/>
      <c r="AL278" s="201"/>
      <c r="AM278" s="89"/>
    </row>
    <row r="279" spans="1:39" s="200" customFormat="1">
      <c r="A279" s="202" t="s">
        <v>768</v>
      </c>
      <c r="G279" s="200">
        <v>16</v>
      </c>
      <c r="H279" s="200">
        <v>49</v>
      </c>
      <c r="I279" s="200">
        <v>30</v>
      </c>
      <c r="J279" s="200">
        <v>8</v>
      </c>
      <c r="K279" s="200">
        <v>14</v>
      </c>
      <c r="L279" s="200">
        <v>26</v>
      </c>
      <c r="M279" s="200">
        <v>19</v>
      </c>
      <c r="N279" s="200">
        <v>37</v>
      </c>
      <c r="O279" s="200">
        <v>25</v>
      </c>
      <c r="Q279" s="200">
        <v>12</v>
      </c>
      <c r="V279" s="201"/>
      <c r="W279" s="201">
        <v>0.02</v>
      </c>
      <c r="X279" s="201"/>
      <c r="Y279" s="201"/>
      <c r="Z279" s="201"/>
      <c r="AA279" s="201"/>
      <c r="AB279" s="200">
        <v>51</v>
      </c>
      <c r="AC279" s="201"/>
      <c r="AD279" s="201"/>
      <c r="AF279" s="201"/>
      <c r="AH279" s="201">
        <v>0.05</v>
      </c>
      <c r="AL279" s="201"/>
      <c r="AM279" s="89"/>
    </row>
    <row r="280" spans="1:39" s="200" customFormat="1">
      <c r="A280" s="202" t="s">
        <v>727</v>
      </c>
      <c r="G280" s="200">
        <v>16</v>
      </c>
      <c r="H280" s="200">
        <v>39</v>
      </c>
      <c r="I280" s="200">
        <v>30</v>
      </c>
      <c r="J280" s="200">
        <v>18</v>
      </c>
      <c r="K280" s="200">
        <v>14</v>
      </c>
      <c r="L280" s="200">
        <v>26</v>
      </c>
      <c r="M280" s="200">
        <v>19</v>
      </c>
      <c r="N280" s="200">
        <v>37</v>
      </c>
      <c r="O280" s="200">
        <v>25</v>
      </c>
      <c r="Q280" s="200">
        <v>12</v>
      </c>
      <c r="V280" s="201"/>
      <c r="W280" s="201">
        <v>0.06</v>
      </c>
      <c r="X280" s="201"/>
      <c r="Y280" s="201"/>
      <c r="Z280" s="201"/>
      <c r="AA280" s="201"/>
      <c r="AB280" s="200">
        <v>51</v>
      </c>
      <c r="AC280" s="201"/>
      <c r="AD280" s="201"/>
      <c r="AF280" s="201"/>
      <c r="AH280" s="201"/>
      <c r="AL280" s="201"/>
      <c r="AM280" s="89"/>
    </row>
    <row r="281" spans="1:39" s="200" customFormat="1">
      <c r="A281" s="202" t="s">
        <v>725</v>
      </c>
      <c r="G281" s="200">
        <v>16</v>
      </c>
      <c r="H281" s="200">
        <v>39</v>
      </c>
      <c r="I281" s="200">
        <v>30</v>
      </c>
      <c r="J281" s="200">
        <v>18</v>
      </c>
      <c r="K281" s="200">
        <v>14</v>
      </c>
      <c r="L281" s="200">
        <v>26</v>
      </c>
      <c r="M281" s="200">
        <v>19</v>
      </c>
      <c r="N281" s="200">
        <v>37</v>
      </c>
      <c r="O281" s="200">
        <v>25</v>
      </c>
      <c r="Q281" s="200">
        <v>12</v>
      </c>
      <c r="V281" s="201"/>
      <c r="W281" s="201">
        <v>0.02</v>
      </c>
      <c r="X281" s="201"/>
      <c r="Y281" s="201"/>
      <c r="Z281" s="201"/>
      <c r="AA281" s="201"/>
      <c r="AB281" s="200">
        <v>51</v>
      </c>
      <c r="AC281" s="201">
        <v>0.05</v>
      </c>
      <c r="AD281" s="201"/>
      <c r="AF281" s="201"/>
      <c r="AH281" s="201"/>
      <c r="AL281" s="201"/>
      <c r="AM281" s="89"/>
    </row>
    <row r="282" spans="1:39" s="200" customFormat="1">
      <c r="A282" s="202" t="s">
        <v>726</v>
      </c>
      <c r="G282" s="200">
        <v>16</v>
      </c>
      <c r="H282" s="200">
        <v>39</v>
      </c>
      <c r="I282" s="200">
        <v>30</v>
      </c>
      <c r="J282" s="200">
        <v>18</v>
      </c>
      <c r="K282" s="200">
        <v>14</v>
      </c>
      <c r="L282" s="200">
        <v>26</v>
      </c>
      <c r="M282" s="200">
        <v>19</v>
      </c>
      <c r="N282" s="200">
        <v>37</v>
      </c>
      <c r="O282" s="200">
        <v>25</v>
      </c>
      <c r="Q282" s="200">
        <v>12</v>
      </c>
      <c r="V282" s="201"/>
      <c r="W282" s="201">
        <v>0.02</v>
      </c>
      <c r="X282" s="201"/>
      <c r="Y282" s="201"/>
      <c r="Z282" s="201"/>
      <c r="AA282" s="201"/>
      <c r="AB282" s="200">
        <v>51</v>
      </c>
      <c r="AC282" s="201"/>
      <c r="AD282" s="201">
        <v>0.05</v>
      </c>
      <c r="AF282" s="201"/>
      <c r="AH282" s="201"/>
      <c r="AL282" s="201"/>
    </row>
    <row r="283" spans="1:39" s="200" customFormat="1">
      <c r="A283" s="202" t="s">
        <v>769</v>
      </c>
      <c r="G283" s="200">
        <v>16</v>
      </c>
      <c r="H283" s="200">
        <v>39</v>
      </c>
      <c r="I283" s="200">
        <v>30</v>
      </c>
      <c r="J283" s="200">
        <v>18</v>
      </c>
      <c r="K283" s="200">
        <v>14</v>
      </c>
      <c r="L283" s="200">
        <v>26</v>
      </c>
      <c r="M283" s="200">
        <v>19</v>
      </c>
      <c r="N283" s="200">
        <v>37</v>
      </c>
      <c r="O283" s="200">
        <v>25</v>
      </c>
      <c r="Q283" s="200">
        <v>12</v>
      </c>
      <c r="V283" s="201"/>
      <c r="W283" s="201">
        <v>0.02</v>
      </c>
      <c r="X283" s="201"/>
      <c r="Y283" s="201"/>
      <c r="Z283" s="201"/>
      <c r="AA283" s="201"/>
      <c r="AB283" s="200">
        <v>51</v>
      </c>
      <c r="AC283" s="201"/>
      <c r="AD283" s="201"/>
      <c r="AF283" s="201"/>
      <c r="AH283" s="201">
        <v>0.05</v>
      </c>
      <c r="AL283" s="201"/>
    </row>
    <row r="284" spans="1:39" s="200" customFormat="1">
      <c r="A284" s="202" t="s">
        <v>895</v>
      </c>
      <c r="G284" s="200">
        <v>26</v>
      </c>
      <c r="H284" s="200">
        <v>39</v>
      </c>
      <c r="I284" s="200">
        <v>30</v>
      </c>
      <c r="J284" s="200">
        <v>8</v>
      </c>
      <c r="K284" s="200">
        <v>14</v>
      </c>
      <c r="L284" s="200">
        <v>26</v>
      </c>
      <c r="M284" s="200">
        <v>19</v>
      </c>
      <c r="N284" s="200">
        <v>37</v>
      </c>
      <c r="O284" s="200">
        <v>25</v>
      </c>
      <c r="Q284" s="200">
        <v>12</v>
      </c>
      <c r="V284" s="201"/>
      <c r="W284" s="201">
        <v>0.06</v>
      </c>
      <c r="X284" s="201"/>
      <c r="Y284" s="201"/>
      <c r="Z284" s="201"/>
      <c r="AA284" s="201"/>
      <c r="AB284" s="200">
        <v>51</v>
      </c>
      <c r="AC284" s="201"/>
      <c r="AD284" s="201"/>
      <c r="AF284" s="201"/>
      <c r="AH284" s="201"/>
      <c r="AL284" s="201"/>
      <c r="AM284" s="89"/>
    </row>
    <row r="285" spans="1:39" s="200" customFormat="1">
      <c r="A285" s="202" t="s">
        <v>902</v>
      </c>
      <c r="G285" s="200">
        <v>26</v>
      </c>
      <c r="H285" s="200">
        <v>39</v>
      </c>
      <c r="I285" s="200">
        <v>30</v>
      </c>
      <c r="J285" s="200">
        <v>8</v>
      </c>
      <c r="K285" s="200">
        <v>14</v>
      </c>
      <c r="L285" s="200">
        <v>26</v>
      </c>
      <c r="M285" s="200">
        <v>19</v>
      </c>
      <c r="N285" s="200">
        <v>37</v>
      </c>
      <c r="O285" s="200">
        <v>25</v>
      </c>
      <c r="Q285" s="200">
        <v>12</v>
      </c>
      <c r="V285" s="201"/>
      <c r="W285" s="201">
        <v>0.02</v>
      </c>
      <c r="X285" s="201"/>
      <c r="Y285" s="201"/>
      <c r="Z285" s="201"/>
      <c r="AA285" s="201"/>
      <c r="AB285" s="200">
        <v>51</v>
      </c>
      <c r="AC285" s="201"/>
      <c r="AD285" s="201"/>
      <c r="AF285" s="201"/>
      <c r="AH285" s="201">
        <v>0.05</v>
      </c>
      <c r="AL285" s="201"/>
    </row>
    <row r="286" spans="1:39" s="200" customFormat="1">
      <c r="A286" s="202" t="s">
        <v>873</v>
      </c>
      <c r="G286" s="200">
        <v>26</v>
      </c>
      <c r="H286" s="200">
        <v>49</v>
      </c>
      <c r="I286" s="200">
        <v>30</v>
      </c>
      <c r="J286" s="200">
        <v>8</v>
      </c>
      <c r="K286" s="200">
        <v>14</v>
      </c>
      <c r="L286" s="200">
        <v>26</v>
      </c>
      <c r="M286" s="200">
        <v>19</v>
      </c>
      <c r="N286" s="200">
        <v>37</v>
      </c>
      <c r="O286" s="200">
        <v>25</v>
      </c>
      <c r="Q286" s="200">
        <v>12</v>
      </c>
      <c r="V286" s="201"/>
      <c r="W286" s="201">
        <v>0.02</v>
      </c>
      <c r="X286" s="201"/>
      <c r="Y286" s="201"/>
      <c r="Z286" s="201"/>
      <c r="AA286" s="201"/>
      <c r="AB286" s="200">
        <v>51</v>
      </c>
      <c r="AC286" s="201"/>
      <c r="AD286" s="201"/>
      <c r="AF286" s="201"/>
      <c r="AH286" s="201">
        <v>0.09</v>
      </c>
      <c r="AL286" s="201"/>
    </row>
    <row r="287" spans="1:39" s="200" customFormat="1">
      <c r="A287" s="202" t="s">
        <v>842</v>
      </c>
      <c r="G287" s="200">
        <v>17</v>
      </c>
      <c r="H287" s="200">
        <v>40</v>
      </c>
      <c r="I287" s="200">
        <v>35</v>
      </c>
      <c r="J287" s="200">
        <v>13</v>
      </c>
      <c r="K287" s="200">
        <v>7</v>
      </c>
      <c r="L287" s="200">
        <v>21</v>
      </c>
      <c r="M287" s="200">
        <v>22</v>
      </c>
      <c r="N287" s="200">
        <v>37</v>
      </c>
      <c r="O287" s="200">
        <v>25</v>
      </c>
      <c r="V287" s="201"/>
      <c r="W287" s="201"/>
      <c r="X287" s="201"/>
      <c r="Y287" s="201"/>
      <c r="Z287" s="201"/>
      <c r="AA287" s="201"/>
      <c r="AB287" s="203">
        <v>41</v>
      </c>
      <c r="AC287" s="201"/>
      <c r="AD287" s="201"/>
      <c r="AF287" s="201"/>
      <c r="AG287" s="203"/>
      <c r="AH287" s="201"/>
      <c r="AI287" s="203"/>
      <c r="AJ287" s="203"/>
      <c r="AK287" s="203"/>
      <c r="AL287" s="201"/>
      <c r="AM287" s="203"/>
    </row>
    <row r="288" spans="1:39" s="200" customFormat="1">
      <c r="A288" s="202" t="s">
        <v>841</v>
      </c>
      <c r="G288" s="200">
        <v>20</v>
      </c>
      <c r="H288" s="200">
        <v>43</v>
      </c>
      <c r="I288" s="200">
        <v>38</v>
      </c>
      <c r="J288" s="200">
        <v>16</v>
      </c>
      <c r="K288" s="200">
        <v>7</v>
      </c>
      <c r="L288" s="200">
        <v>21</v>
      </c>
      <c r="M288" s="200">
        <v>25</v>
      </c>
      <c r="N288" s="200">
        <v>43</v>
      </c>
      <c r="O288" s="200">
        <v>25</v>
      </c>
      <c r="V288" s="201"/>
      <c r="W288" s="201"/>
      <c r="X288" s="201"/>
      <c r="Y288" s="201"/>
      <c r="Z288" s="201"/>
      <c r="AA288" s="201"/>
      <c r="AB288" s="203">
        <v>41</v>
      </c>
      <c r="AC288" s="201"/>
      <c r="AD288" s="201"/>
      <c r="AF288" s="201"/>
      <c r="AG288" s="203"/>
      <c r="AH288" s="201"/>
      <c r="AI288" s="203"/>
      <c r="AJ288" s="203"/>
      <c r="AK288" s="203"/>
      <c r="AL288" s="201"/>
      <c r="AM288" s="203"/>
    </row>
    <row r="289" spans="1:55" s="200" customFormat="1">
      <c r="A289" s="200" t="s">
        <v>912</v>
      </c>
      <c r="G289" s="200">
        <v>20</v>
      </c>
      <c r="H289" s="200">
        <v>44</v>
      </c>
      <c r="I289" s="200">
        <v>38</v>
      </c>
      <c r="J289" s="200">
        <v>16</v>
      </c>
      <c r="K289" s="200">
        <v>20</v>
      </c>
      <c r="L289" s="200">
        <v>38</v>
      </c>
      <c r="M289" s="200">
        <v>26</v>
      </c>
      <c r="N289" s="200">
        <v>30</v>
      </c>
      <c r="O289" s="200">
        <v>81</v>
      </c>
      <c r="S289" s="200">
        <v>30</v>
      </c>
      <c r="V289" s="201"/>
      <c r="W289" s="201"/>
      <c r="X289" s="201"/>
      <c r="Y289" s="201"/>
      <c r="Z289" s="201"/>
      <c r="AA289" s="201"/>
      <c r="AC289" s="201"/>
      <c r="AD289" s="201"/>
      <c r="AH289" s="201"/>
    </row>
    <row r="290" spans="1:55" s="200" customFormat="1">
      <c r="A290" s="200" t="s">
        <v>806</v>
      </c>
      <c r="G290" s="200">
        <v>14</v>
      </c>
      <c r="H290" s="200">
        <v>57</v>
      </c>
      <c r="I290" s="200">
        <v>37</v>
      </c>
      <c r="K290" s="200">
        <v>14</v>
      </c>
      <c r="L290" s="200">
        <v>28</v>
      </c>
      <c r="M290" s="200">
        <v>21</v>
      </c>
      <c r="N290" s="200">
        <v>39</v>
      </c>
      <c r="Q290" s="200">
        <v>34</v>
      </c>
      <c r="V290" s="201"/>
      <c r="W290" s="201">
        <v>0.03</v>
      </c>
      <c r="X290" s="201"/>
      <c r="Y290" s="201"/>
      <c r="Z290" s="201"/>
      <c r="AA290" s="201"/>
      <c r="AB290" s="203">
        <v>41</v>
      </c>
      <c r="AC290" s="201">
        <v>0.03</v>
      </c>
      <c r="AD290" s="201"/>
      <c r="AF290" s="203"/>
      <c r="AG290" s="203"/>
      <c r="AH290" s="201"/>
      <c r="AI290" s="203"/>
      <c r="AJ290" s="203"/>
      <c r="AK290" s="203"/>
      <c r="AL290" s="203"/>
      <c r="AM290" s="203"/>
    </row>
    <row r="291" spans="1:55" s="200" customFormat="1">
      <c r="A291" s="200" t="s">
        <v>807</v>
      </c>
      <c r="G291" s="200">
        <v>14</v>
      </c>
      <c r="H291" s="200">
        <v>62</v>
      </c>
      <c r="I291" s="200">
        <v>37</v>
      </c>
      <c r="J291" s="200">
        <v>5</v>
      </c>
      <c r="K291" s="200">
        <v>14</v>
      </c>
      <c r="L291" s="200">
        <v>28</v>
      </c>
      <c r="M291" s="200">
        <v>21</v>
      </c>
      <c r="N291" s="200">
        <v>49</v>
      </c>
      <c r="Q291" s="200">
        <v>44</v>
      </c>
      <c r="V291" s="201"/>
      <c r="W291" s="201">
        <v>0.04</v>
      </c>
      <c r="X291" s="201"/>
      <c r="Y291" s="201"/>
      <c r="Z291" s="201"/>
      <c r="AA291" s="201"/>
      <c r="AB291" s="203">
        <v>41</v>
      </c>
      <c r="AC291" s="201">
        <v>0.05</v>
      </c>
      <c r="AD291" s="201"/>
      <c r="AF291" s="203"/>
      <c r="AG291" s="203"/>
      <c r="AH291" s="201"/>
      <c r="AI291" s="203"/>
      <c r="AJ291" s="203"/>
      <c r="AK291" s="203"/>
      <c r="AL291" s="203"/>
      <c r="AM291" s="203"/>
    </row>
    <row r="292" spans="1:55" s="200" customFormat="1">
      <c r="A292" s="200" t="s">
        <v>823</v>
      </c>
      <c r="G292" s="200">
        <v>12</v>
      </c>
      <c r="H292" s="200">
        <v>38</v>
      </c>
      <c r="I292" s="200">
        <v>30</v>
      </c>
      <c r="J292" s="200">
        <v>40</v>
      </c>
      <c r="K292" s="200">
        <v>12</v>
      </c>
      <c r="L292" s="200">
        <v>30</v>
      </c>
      <c r="M292" s="200">
        <v>17</v>
      </c>
      <c r="Q292" s="200">
        <v>25</v>
      </c>
      <c r="V292" s="201"/>
      <c r="W292" s="201"/>
      <c r="X292" s="201"/>
      <c r="Y292" s="201"/>
      <c r="Z292" s="201"/>
      <c r="AA292" s="201"/>
      <c r="AB292" s="203">
        <v>41</v>
      </c>
      <c r="AC292" s="201">
        <v>0.04</v>
      </c>
      <c r="AD292" s="201"/>
      <c r="AF292" s="203"/>
      <c r="AG292" s="203"/>
      <c r="AH292" s="201"/>
      <c r="AI292" s="203"/>
      <c r="AJ292" s="203"/>
      <c r="AK292" s="203"/>
      <c r="AL292" s="203"/>
      <c r="AM292" s="203"/>
    </row>
    <row r="293" spans="1:55" s="200" customFormat="1">
      <c r="A293" s="200" t="s">
        <v>880</v>
      </c>
      <c r="G293" s="200">
        <v>25</v>
      </c>
      <c r="H293" s="200">
        <v>56</v>
      </c>
      <c r="I293" s="200">
        <v>32</v>
      </c>
      <c r="J293" s="200">
        <v>24</v>
      </c>
      <c r="K293" s="200">
        <v>11</v>
      </c>
      <c r="L293" s="200">
        <v>42</v>
      </c>
      <c r="M293" s="200">
        <v>24</v>
      </c>
      <c r="N293" s="200">
        <v>50</v>
      </c>
      <c r="Q293" s="200">
        <v>50</v>
      </c>
      <c r="S293" s="200">
        <v>50</v>
      </c>
      <c r="V293" s="201"/>
      <c r="W293" s="201"/>
      <c r="X293" s="201"/>
      <c r="Y293" s="201"/>
      <c r="Z293" s="201"/>
      <c r="AA293" s="201"/>
      <c r="AB293" s="203">
        <v>41</v>
      </c>
      <c r="AC293" s="201"/>
      <c r="AD293" s="201"/>
      <c r="AE293" s="200">
        <v>12</v>
      </c>
      <c r="AF293" s="203"/>
      <c r="AG293" s="203"/>
      <c r="AH293" s="201"/>
      <c r="AI293" s="203"/>
      <c r="AJ293" s="203"/>
      <c r="AK293" s="203"/>
      <c r="AL293" s="203"/>
      <c r="AM293" s="203"/>
      <c r="BC293" s="200">
        <v>0.04</v>
      </c>
    </row>
    <row r="294" spans="1:55">
      <c r="A294" s="31" t="s">
        <v>582</v>
      </c>
      <c r="G294" s="50">
        <v>16</v>
      </c>
      <c r="H294" s="31">
        <v>21</v>
      </c>
      <c r="I294" s="31">
        <v>17</v>
      </c>
      <c r="J294" s="31">
        <v>4</v>
      </c>
      <c r="K294" s="31">
        <v>6</v>
      </c>
      <c r="L294" s="31">
        <v>17</v>
      </c>
      <c r="M294" s="31">
        <v>10</v>
      </c>
      <c r="O294">
        <v>13</v>
      </c>
      <c r="V294" s="2"/>
      <c r="W294" s="2"/>
      <c r="X294" s="2"/>
      <c r="Y294" s="2"/>
      <c r="Z294" s="2"/>
      <c r="AA294" s="2"/>
      <c r="AB294" s="50">
        <v>40</v>
      </c>
      <c r="AC294" s="2"/>
      <c r="AD294" s="2"/>
      <c r="AE294" s="35"/>
      <c r="AF294" s="2"/>
      <c r="AG294" s="2"/>
      <c r="AH294" s="2"/>
      <c r="AL294" s="2"/>
    </row>
    <row r="295" spans="1:55">
      <c r="A295" s="31" t="s">
        <v>583</v>
      </c>
      <c r="G295" s="50">
        <v>20</v>
      </c>
      <c r="H295" s="31">
        <v>34</v>
      </c>
      <c r="I295" s="31">
        <v>28</v>
      </c>
      <c r="J295" s="31">
        <v>6</v>
      </c>
      <c r="K295" s="31">
        <v>10</v>
      </c>
      <c r="L295" s="31">
        <v>28</v>
      </c>
      <c r="M295" s="31">
        <v>16</v>
      </c>
      <c r="O295">
        <v>16</v>
      </c>
      <c r="V295" s="2"/>
      <c r="W295" s="2"/>
      <c r="X295" s="2"/>
      <c r="Y295" s="2"/>
      <c r="Z295" s="2"/>
      <c r="AA295" s="2"/>
      <c r="AB295" s="50">
        <v>51</v>
      </c>
      <c r="AC295" s="2"/>
      <c r="AD295" s="2"/>
      <c r="AE295" s="35"/>
      <c r="AF295" s="2"/>
      <c r="AG295" s="2"/>
      <c r="AH295" s="2"/>
      <c r="AL295" s="2"/>
    </row>
    <row r="296" spans="1:55" s="200" customFormat="1">
      <c r="A296" s="202" t="s">
        <v>831</v>
      </c>
      <c r="G296" s="191">
        <v>25</v>
      </c>
      <c r="H296" s="202">
        <v>39</v>
      </c>
      <c r="I296" s="202">
        <v>32</v>
      </c>
      <c r="J296" s="202">
        <v>11</v>
      </c>
      <c r="K296" s="202">
        <v>15</v>
      </c>
      <c r="L296" s="202">
        <v>33</v>
      </c>
      <c r="M296" s="202">
        <v>21</v>
      </c>
      <c r="N296" s="202">
        <v>28</v>
      </c>
      <c r="O296" s="202">
        <v>64</v>
      </c>
      <c r="P296" s="202">
        <v>28</v>
      </c>
      <c r="V296" s="201"/>
      <c r="W296" s="201"/>
      <c r="X296" s="201"/>
      <c r="Y296" s="201"/>
      <c r="Z296" s="201"/>
      <c r="AA296" s="201"/>
      <c r="AB296" s="191">
        <v>51</v>
      </c>
      <c r="AC296" s="201"/>
      <c r="AD296" s="201"/>
      <c r="AE296" s="203"/>
      <c r="AF296" s="201"/>
      <c r="AG296" s="201"/>
      <c r="AH296" s="201"/>
      <c r="AI296" s="203"/>
      <c r="AJ296" s="203"/>
      <c r="AK296" s="203"/>
      <c r="AL296" s="201"/>
      <c r="AM296" s="203"/>
    </row>
    <row r="297" spans="1:55" s="200" customFormat="1">
      <c r="A297" s="202" t="s">
        <v>832</v>
      </c>
      <c r="G297" s="191">
        <v>30</v>
      </c>
      <c r="H297" s="202">
        <v>44</v>
      </c>
      <c r="I297" s="202">
        <v>37</v>
      </c>
      <c r="J297" s="202">
        <v>16</v>
      </c>
      <c r="K297" s="202">
        <v>20</v>
      </c>
      <c r="L297" s="202">
        <v>28</v>
      </c>
      <c r="M297" s="202">
        <v>26</v>
      </c>
      <c r="N297" s="202">
        <v>38</v>
      </c>
      <c r="O297" s="202">
        <v>79</v>
      </c>
      <c r="P297" s="202">
        <v>38</v>
      </c>
      <c r="V297" s="201"/>
      <c r="W297" s="201"/>
      <c r="X297" s="201"/>
      <c r="Y297" s="201"/>
      <c r="Z297" s="201"/>
      <c r="AA297" s="201"/>
      <c r="AB297" s="191">
        <v>51</v>
      </c>
      <c r="AC297" s="201"/>
      <c r="AD297" s="201"/>
      <c r="AE297" s="203"/>
      <c r="AF297" s="201"/>
      <c r="AG297" s="201"/>
      <c r="AH297" s="201"/>
      <c r="AI297" s="203"/>
      <c r="AJ297" s="203"/>
      <c r="AK297" s="203"/>
      <c r="AL297" s="201"/>
      <c r="AM297" s="203"/>
    </row>
    <row r="298" spans="1:55" s="200" customFormat="1">
      <c r="A298" s="202" t="s">
        <v>821</v>
      </c>
      <c r="G298" s="191">
        <v>16</v>
      </c>
      <c r="H298" s="202">
        <v>53</v>
      </c>
      <c r="I298" s="202">
        <v>30</v>
      </c>
      <c r="J298" s="202">
        <v>22</v>
      </c>
      <c r="K298" s="202">
        <v>14</v>
      </c>
      <c r="L298" s="202">
        <v>26</v>
      </c>
      <c r="M298" s="202">
        <v>21</v>
      </c>
      <c r="N298" s="202">
        <v>43</v>
      </c>
      <c r="Q298" s="200">
        <v>43</v>
      </c>
      <c r="S298" s="200">
        <v>43</v>
      </c>
      <c r="V298" s="201">
        <v>0.06</v>
      </c>
      <c r="W298" s="201"/>
      <c r="X298" s="201"/>
      <c r="Y298" s="201"/>
      <c r="Z298" s="201"/>
      <c r="AA298" s="201"/>
      <c r="AB298" s="191">
        <v>51</v>
      </c>
      <c r="AC298" s="201">
        <v>0.06</v>
      </c>
      <c r="AD298" s="201"/>
      <c r="AE298" s="203"/>
      <c r="AF298" s="201"/>
      <c r="AG298" s="201"/>
      <c r="AH298" s="201"/>
      <c r="AI298" s="203"/>
      <c r="AJ298" s="203"/>
      <c r="AK298" s="203"/>
      <c r="AL298" s="201"/>
      <c r="AM298" s="203"/>
    </row>
    <row r="299" spans="1:55">
      <c r="A299" t="s">
        <v>607</v>
      </c>
      <c r="G299">
        <v>10</v>
      </c>
      <c r="H299">
        <v>34</v>
      </c>
      <c r="I299">
        <v>28</v>
      </c>
      <c r="J299">
        <v>6</v>
      </c>
      <c r="K299">
        <v>10</v>
      </c>
      <c r="L299">
        <v>28</v>
      </c>
      <c r="M299">
        <v>16</v>
      </c>
      <c r="O299">
        <v>30</v>
      </c>
      <c r="V299" s="2"/>
      <c r="W299" s="2"/>
      <c r="X299" s="2"/>
      <c r="Y299" s="2"/>
      <c r="Z299" s="2"/>
      <c r="AA299" s="2"/>
      <c r="AB299" s="35">
        <v>51</v>
      </c>
      <c r="AC299" s="2"/>
      <c r="AD299" s="2"/>
      <c r="AE299">
        <v>4</v>
      </c>
      <c r="AF299" s="2"/>
      <c r="AG299" s="2"/>
      <c r="AH299" s="2"/>
      <c r="AL299" s="35"/>
      <c r="AN299" s="2"/>
      <c r="AO299" s="35"/>
      <c r="AP299" s="35"/>
    </row>
    <row r="300" spans="1:55" s="200" customFormat="1">
      <c r="A300" s="200" t="s">
        <v>900</v>
      </c>
      <c r="G300" s="200">
        <v>26</v>
      </c>
      <c r="H300" s="200">
        <v>46</v>
      </c>
      <c r="I300" s="200">
        <v>29</v>
      </c>
      <c r="J300" s="200">
        <v>17</v>
      </c>
      <c r="K300" s="200">
        <v>8</v>
      </c>
      <c r="L300" s="200">
        <v>32</v>
      </c>
      <c r="M300" s="200">
        <v>15</v>
      </c>
      <c r="O300" s="200">
        <v>62</v>
      </c>
      <c r="V300" s="201"/>
      <c r="W300" s="201"/>
      <c r="X300" s="201"/>
      <c r="Y300" s="201"/>
      <c r="Z300" s="201"/>
      <c r="AA300" s="201"/>
      <c r="AB300" s="200">
        <v>51</v>
      </c>
      <c r="AC300" s="201"/>
      <c r="AD300" s="201"/>
      <c r="AF300" s="201"/>
      <c r="AG300" s="201"/>
      <c r="AH300" s="201"/>
      <c r="AN300" s="201"/>
    </row>
    <row r="301" spans="1:55">
      <c r="A301" t="s">
        <v>824</v>
      </c>
      <c r="G301">
        <v>22</v>
      </c>
      <c r="H301">
        <v>48</v>
      </c>
      <c r="I301">
        <v>30</v>
      </c>
      <c r="J301">
        <v>12</v>
      </c>
      <c r="K301">
        <v>12</v>
      </c>
      <c r="L301">
        <v>30</v>
      </c>
      <c r="M301">
        <v>17</v>
      </c>
      <c r="N301">
        <v>38</v>
      </c>
      <c r="Q301">
        <v>23</v>
      </c>
      <c r="V301" s="2"/>
      <c r="W301" s="2"/>
      <c r="X301" s="2"/>
      <c r="Y301" s="2"/>
      <c r="Z301" s="2"/>
      <c r="AA301" s="2"/>
      <c r="AB301" s="35">
        <v>41</v>
      </c>
      <c r="AC301" s="2">
        <v>0.04</v>
      </c>
      <c r="AD301" s="2">
        <v>0.04</v>
      </c>
      <c r="AF301" s="35"/>
      <c r="AG301" s="35"/>
      <c r="AH301" s="2"/>
      <c r="AL301" s="35"/>
    </row>
    <row r="302" spans="1:55" s="31" customFormat="1">
      <c r="A302" s="31" t="s">
        <v>825</v>
      </c>
      <c r="G302" s="31">
        <v>24</v>
      </c>
      <c r="H302" s="31">
        <v>50</v>
      </c>
      <c r="I302" s="31">
        <v>30</v>
      </c>
      <c r="J302" s="31">
        <v>13</v>
      </c>
      <c r="K302" s="31">
        <v>12</v>
      </c>
      <c r="L302" s="31">
        <v>30</v>
      </c>
      <c r="M302" s="31">
        <v>17</v>
      </c>
      <c r="N302" s="31">
        <v>53</v>
      </c>
      <c r="Q302" s="31">
        <v>33</v>
      </c>
      <c r="V302" s="12"/>
      <c r="W302" s="12"/>
      <c r="X302" s="12"/>
      <c r="Y302" s="12"/>
      <c r="Z302" s="12"/>
      <c r="AA302" s="12"/>
      <c r="AB302" s="50">
        <v>41</v>
      </c>
      <c r="AC302" s="12">
        <v>0.05</v>
      </c>
      <c r="AD302" s="12">
        <v>0.05</v>
      </c>
      <c r="AF302" s="50"/>
      <c r="AG302" s="12"/>
      <c r="AH302" s="12"/>
      <c r="AI302" s="50"/>
      <c r="AJ302" s="50"/>
      <c r="AK302" s="50"/>
      <c r="AL302" s="50"/>
      <c r="AM302" s="50"/>
    </row>
    <row r="303" spans="1:55" s="189" customFormat="1">
      <c r="A303" s="189" t="s">
        <v>828</v>
      </c>
      <c r="G303" s="189">
        <v>12</v>
      </c>
      <c r="H303" s="189">
        <v>48</v>
      </c>
      <c r="I303" s="189">
        <v>30</v>
      </c>
      <c r="J303" s="189">
        <v>12</v>
      </c>
      <c r="K303" s="189">
        <v>12</v>
      </c>
      <c r="L303" s="189">
        <v>30</v>
      </c>
      <c r="M303" s="189">
        <v>17</v>
      </c>
      <c r="N303" s="189">
        <v>43</v>
      </c>
      <c r="Q303" s="189">
        <v>23</v>
      </c>
      <c r="V303" s="188">
        <v>0.03</v>
      </c>
      <c r="W303" s="188"/>
      <c r="X303" s="188"/>
      <c r="Y303" s="188"/>
      <c r="Z303" s="188"/>
      <c r="AA303" s="188"/>
      <c r="AB303" s="191">
        <v>41</v>
      </c>
      <c r="AC303" s="188">
        <v>0.04</v>
      </c>
      <c r="AD303" s="188">
        <v>0.04</v>
      </c>
      <c r="AF303" s="191"/>
      <c r="AG303" s="188"/>
      <c r="AH303" s="188"/>
      <c r="AI303" s="191"/>
      <c r="AJ303" s="191"/>
      <c r="AK303" s="191"/>
      <c r="AL303" s="191"/>
      <c r="AM303" s="191"/>
    </row>
    <row r="304" spans="1:55" s="189" customFormat="1">
      <c r="A304" s="189" t="s">
        <v>829</v>
      </c>
      <c r="G304" s="189">
        <v>12</v>
      </c>
      <c r="H304" s="189">
        <v>50</v>
      </c>
      <c r="I304" s="189">
        <v>30</v>
      </c>
      <c r="J304" s="189">
        <v>13</v>
      </c>
      <c r="K304" s="189">
        <v>12</v>
      </c>
      <c r="L304" s="189">
        <v>30</v>
      </c>
      <c r="M304" s="189">
        <v>17</v>
      </c>
      <c r="N304" s="189">
        <v>58</v>
      </c>
      <c r="Q304" s="189">
        <v>33</v>
      </c>
      <c r="V304" s="188">
        <v>0.04</v>
      </c>
      <c r="W304" s="188"/>
      <c r="X304" s="188"/>
      <c r="Y304" s="188"/>
      <c r="Z304" s="188"/>
      <c r="AA304" s="188"/>
      <c r="AB304" s="191">
        <v>41</v>
      </c>
      <c r="AC304" s="188">
        <v>0.05</v>
      </c>
      <c r="AD304" s="188">
        <v>0.05</v>
      </c>
      <c r="AF304" s="191"/>
      <c r="AG304" s="188"/>
      <c r="AH304" s="188"/>
      <c r="AI304" s="191"/>
      <c r="AJ304" s="191"/>
      <c r="AK304" s="191"/>
      <c r="AL304" s="191"/>
      <c r="AM304" s="191"/>
    </row>
    <row r="305" spans="1:61" s="31" customFormat="1">
      <c r="A305" s="31" t="s">
        <v>681</v>
      </c>
      <c r="G305" s="31">
        <v>20</v>
      </c>
      <c r="H305" s="31">
        <v>51</v>
      </c>
      <c r="I305" s="31">
        <v>34</v>
      </c>
      <c r="J305" s="31">
        <v>7</v>
      </c>
      <c r="K305" s="31">
        <v>21</v>
      </c>
      <c r="L305" s="31">
        <v>32</v>
      </c>
      <c r="M305" s="31">
        <v>19</v>
      </c>
      <c r="N305" s="31">
        <v>20</v>
      </c>
      <c r="V305" s="12"/>
      <c r="W305" s="12"/>
      <c r="X305" s="12"/>
      <c r="Y305" s="12"/>
      <c r="Z305" s="12"/>
      <c r="AA305" s="12"/>
      <c r="AB305" s="50">
        <v>50</v>
      </c>
      <c r="AC305" s="12"/>
      <c r="AD305" s="12"/>
      <c r="AF305" s="50"/>
      <c r="AG305" s="12"/>
      <c r="AH305" s="12"/>
      <c r="AI305" s="50"/>
      <c r="AJ305" s="50"/>
      <c r="AK305" s="50"/>
      <c r="AL305" s="50"/>
      <c r="AM305" s="50"/>
    </row>
    <row r="306" spans="1:61" s="184" customFormat="1">
      <c r="A306" s="189" t="s">
        <v>714</v>
      </c>
      <c r="B306" s="186"/>
      <c r="C306" s="186"/>
      <c r="D306" s="186"/>
      <c r="E306" s="186"/>
      <c r="F306" s="186"/>
      <c r="G306" s="186">
        <v>13</v>
      </c>
      <c r="H306" s="186">
        <v>41</v>
      </c>
      <c r="I306" s="186">
        <v>34</v>
      </c>
      <c r="J306" s="186">
        <v>7</v>
      </c>
      <c r="K306" s="186">
        <v>14</v>
      </c>
      <c r="L306" s="186">
        <v>32</v>
      </c>
      <c r="M306" s="186">
        <v>19</v>
      </c>
      <c r="N306" s="186">
        <v>35</v>
      </c>
      <c r="O306" s="186"/>
      <c r="P306" s="186"/>
      <c r="Q306" s="186"/>
      <c r="R306" s="186"/>
      <c r="S306" s="186"/>
      <c r="T306" s="186"/>
      <c r="U306" s="186"/>
      <c r="V306" s="187"/>
      <c r="W306" s="187"/>
      <c r="X306" s="187"/>
      <c r="Y306" s="187"/>
      <c r="Z306" s="187"/>
      <c r="AA306" s="187"/>
      <c r="AB306" s="190">
        <v>51</v>
      </c>
      <c r="AC306" s="187"/>
      <c r="AD306" s="187"/>
      <c r="AE306" s="190"/>
      <c r="AF306" s="187"/>
      <c r="AG306" s="190"/>
      <c r="AH306" s="187"/>
      <c r="AI306" s="186"/>
      <c r="AJ306" s="186"/>
      <c r="AK306" s="186"/>
      <c r="AL306" s="187"/>
      <c r="AM306" s="186"/>
      <c r="AN306" s="186"/>
      <c r="AO306" s="186"/>
      <c r="AP306" s="186"/>
      <c r="AQ306" s="186"/>
      <c r="AR306" s="186"/>
      <c r="AS306" s="186"/>
      <c r="AT306" s="186"/>
      <c r="AU306" s="186"/>
      <c r="AV306" s="186"/>
      <c r="AW306" s="186"/>
      <c r="AX306" s="186"/>
      <c r="AY306" s="186"/>
      <c r="AZ306" s="186"/>
      <c r="BA306" s="186"/>
      <c r="BB306" s="186"/>
      <c r="BC306" s="186"/>
      <c r="BD306" s="186"/>
      <c r="BE306" s="186"/>
      <c r="BF306" s="186"/>
      <c r="BG306" s="186"/>
      <c r="BH306" s="186"/>
      <c r="BI306" s="186"/>
    </row>
    <row r="307" spans="1:61" s="200" customFormat="1">
      <c r="A307" s="200" t="s">
        <v>904</v>
      </c>
      <c r="G307" s="200">
        <v>18</v>
      </c>
      <c r="H307" s="200">
        <v>50</v>
      </c>
      <c r="I307" s="200">
        <v>42</v>
      </c>
      <c r="J307" s="200">
        <v>17</v>
      </c>
      <c r="K307" s="200">
        <v>16</v>
      </c>
      <c r="L307" s="200">
        <v>33</v>
      </c>
      <c r="M307" s="200">
        <v>26</v>
      </c>
      <c r="N307" s="200">
        <v>61</v>
      </c>
      <c r="V307" s="201"/>
      <c r="W307" s="201">
        <v>0.04</v>
      </c>
      <c r="X307" s="201"/>
      <c r="Y307" s="201"/>
      <c r="Z307" s="201">
        <v>0.06</v>
      </c>
      <c r="AA307" s="201"/>
      <c r="AB307" s="200">
        <v>40</v>
      </c>
      <c r="AC307" s="201"/>
      <c r="AD307" s="201"/>
      <c r="AE307" s="200">
        <v>8</v>
      </c>
      <c r="AH307" s="201"/>
    </row>
    <row r="308" spans="1:61">
      <c r="A308" s="31" t="s">
        <v>679</v>
      </c>
      <c r="G308">
        <v>9</v>
      </c>
      <c r="H308">
        <v>35</v>
      </c>
      <c r="I308">
        <v>30</v>
      </c>
      <c r="J308">
        <v>3</v>
      </c>
      <c r="K308">
        <v>10</v>
      </c>
      <c r="L308">
        <v>28</v>
      </c>
      <c r="M308">
        <v>15</v>
      </c>
      <c r="N308">
        <v>20</v>
      </c>
      <c r="O308">
        <v>20</v>
      </c>
      <c r="S308">
        <v>7</v>
      </c>
      <c r="T308">
        <v>7</v>
      </c>
      <c r="V308" s="2"/>
      <c r="W308" s="2"/>
      <c r="X308" s="2"/>
      <c r="Y308" s="2"/>
      <c r="Z308" s="2"/>
      <c r="AA308" s="2"/>
      <c r="AB308" s="35">
        <v>50</v>
      </c>
      <c r="AC308" s="2">
        <v>0.03</v>
      </c>
      <c r="AD308" s="2">
        <v>0.03</v>
      </c>
      <c r="AF308" s="2"/>
      <c r="AG308" s="35"/>
      <c r="AH308" s="2"/>
      <c r="AL308" s="2"/>
    </row>
    <row r="309" spans="1:61">
      <c r="A309" t="s">
        <v>680</v>
      </c>
      <c r="G309">
        <v>16</v>
      </c>
      <c r="H309">
        <v>42</v>
      </c>
      <c r="I309">
        <v>30</v>
      </c>
      <c r="J309">
        <v>3</v>
      </c>
      <c r="K309">
        <v>10</v>
      </c>
      <c r="L309">
        <v>28</v>
      </c>
      <c r="M309">
        <v>15</v>
      </c>
      <c r="N309">
        <v>20</v>
      </c>
      <c r="O309">
        <v>20</v>
      </c>
      <c r="S309">
        <v>7</v>
      </c>
      <c r="T309">
        <v>7</v>
      </c>
      <c r="V309" s="2"/>
      <c r="W309" s="2">
        <v>0.02</v>
      </c>
      <c r="X309" s="2"/>
      <c r="Y309" s="2"/>
      <c r="Z309" s="2"/>
      <c r="AA309" s="2"/>
      <c r="AB309" s="35">
        <v>50</v>
      </c>
      <c r="AC309" s="2"/>
      <c r="AD309" s="2"/>
      <c r="AF309" s="35"/>
      <c r="AG309" s="35"/>
      <c r="AH309" s="2"/>
      <c r="AL309" s="35"/>
    </row>
    <row r="312" spans="1:61">
      <c r="A312" t="s">
        <v>64</v>
      </c>
      <c r="B312" t="s">
        <v>30</v>
      </c>
      <c r="C312" t="s">
        <v>518</v>
      </c>
      <c r="D312" t="s">
        <v>652</v>
      </c>
      <c r="E312" t="s">
        <v>484</v>
      </c>
      <c r="F312" s="31" t="s">
        <v>511</v>
      </c>
      <c r="G312" t="s">
        <v>3</v>
      </c>
      <c r="H312" t="s">
        <v>4</v>
      </c>
      <c r="I312" t="s">
        <v>5</v>
      </c>
      <c r="J312" t="s">
        <v>42</v>
      </c>
      <c r="K312" t="s">
        <v>208</v>
      </c>
      <c r="L312" t="s">
        <v>209</v>
      </c>
      <c r="M312" t="s">
        <v>210</v>
      </c>
      <c r="N312" t="s">
        <v>10</v>
      </c>
      <c r="O312" t="s">
        <v>9</v>
      </c>
      <c r="P312" t="s">
        <v>479</v>
      </c>
      <c r="Q312" t="s">
        <v>635</v>
      </c>
      <c r="R312" t="s">
        <v>636</v>
      </c>
      <c r="S312" t="s">
        <v>637</v>
      </c>
      <c r="T312" s="35" t="s">
        <v>638</v>
      </c>
      <c r="U312" s="145" t="s">
        <v>639</v>
      </c>
      <c r="V312" t="s">
        <v>12</v>
      </c>
      <c r="W312" t="s">
        <v>152</v>
      </c>
      <c r="X312" t="s">
        <v>345</v>
      </c>
      <c r="Y312" t="s">
        <v>480</v>
      </c>
      <c r="Z312" t="s">
        <v>481</v>
      </c>
      <c r="AA312" t="s">
        <v>122</v>
      </c>
      <c r="AB312" t="s">
        <v>11</v>
      </c>
      <c r="AC312" t="s">
        <v>119</v>
      </c>
      <c r="AD312" t="s">
        <v>118</v>
      </c>
      <c r="AE312" t="s">
        <v>13</v>
      </c>
      <c r="AF312" t="s">
        <v>116</v>
      </c>
      <c r="AG312" t="s">
        <v>289</v>
      </c>
      <c r="AH312" t="s">
        <v>163</v>
      </c>
      <c r="AI312" s="35" t="s">
        <v>457</v>
      </c>
      <c r="AJ312" s="35" t="s">
        <v>458</v>
      </c>
      <c r="AK312" s="145" t="s">
        <v>433</v>
      </c>
      <c r="AL312" t="s">
        <v>339</v>
      </c>
      <c r="AM312" s="145" t="s">
        <v>649</v>
      </c>
    </row>
    <row r="313" spans="1:61">
      <c r="A313" s="31" t="s">
        <v>645</v>
      </c>
      <c r="J313">
        <v>5</v>
      </c>
      <c r="S313">
        <v>3</v>
      </c>
      <c r="T313">
        <v>3</v>
      </c>
      <c r="V313" s="2"/>
      <c r="W313" s="2"/>
      <c r="X313" s="2"/>
      <c r="Y313" s="2"/>
      <c r="Z313" s="2"/>
      <c r="AA313" s="2"/>
      <c r="AB313" s="35"/>
      <c r="AC313" s="2"/>
      <c r="AD313" s="2"/>
      <c r="AF313" s="35"/>
      <c r="AG313" s="35"/>
      <c r="AH313" s="2"/>
      <c r="AI313" s="2"/>
      <c r="AJ313" s="2"/>
      <c r="AK313" s="2"/>
      <c r="AL313" s="2"/>
      <c r="AM313" s="2"/>
    </row>
    <row r="314" spans="1:61" s="186" customFormat="1">
      <c r="A314" s="189" t="s">
        <v>715</v>
      </c>
      <c r="G314" s="186">
        <v>6</v>
      </c>
      <c r="H314" s="186">
        <v>6</v>
      </c>
      <c r="J314" s="186">
        <v>6</v>
      </c>
      <c r="V314" s="187"/>
      <c r="W314" s="187"/>
      <c r="X314" s="187"/>
      <c r="Y314" s="187"/>
      <c r="Z314" s="187"/>
      <c r="AA314" s="187"/>
      <c r="AB314" s="190"/>
      <c r="AC314" s="187"/>
      <c r="AD314" s="187"/>
      <c r="AE314" s="186">
        <v>3</v>
      </c>
      <c r="AF314" s="190"/>
      <c r="AG314" s="190"/>
      <c r="AH314" s="187"/>
      <c r="AI314" s="187"/>
      <c r="AJ314" s="187"/>
      <c r="AK314" s="187"/>
      <c r="AL314" s="187"/>
      <c r="AM314" s="187"/>
    </row>
    <row r="315" spans="1:61" s="186" customFormat="1">
      <c r="A315" s="186" t="s">
        <v>716</v>
      </c>
      <c r="N315" s="186">
        <v>7</v>
      </c>
      <c r="O315" s="186">
        <v>7</v>
      </c>
      <c r="V315" s="187"/>
      <c r="W315" s="187"/>
      <c r="X315" s="187"/>
      <c r="Y315" s="187"/>
      <c r="Z315" s="187"/>
      <c r="AA315" s="187"/>
      <c r="AB315" s="190"/>
      <c r="AC315" s="187">
        <v>0.05</v>
      </c>
      <c r="AD315" s="187"/>
      <c r="AF315" s="187"/>
      <c r="AG315" s="187"/>
      <c r="AH315" s="187"/>
      <c r="AI315" s="190"/>
      <c r="AJ315" s="190"/>
      <c r="AK315" s="190"/>
      <c r="AL315" s="187"/>
      <c r="AM315" s="190"/>
    </row>
    <row r="316" spans="1:61">
      <c r="A316" s="31" t="s">
        <v>703</v>
      </c>
      <c r="N316">
        <v>10</v>
      </c>
      <c r="Q316">
        <v>15</v>
      </c>
      <c r="V316" s="2"/>
      <c r="W316" s="2"/>
      <c r="X316" s="2"/>
      <c r="Y316" s="2"/>
      <c r="Z316" s="2"/>
      <c r="AA316" s="2"/>
      <c r="AB316" s="35"/>
      <c r="AC316" s="2"/>
      <c r="AD316" s="2"/>
      <c r="AF316" s="35"/>
      <c r="AG316" s="35"/>
      <c r="AH316" s="2"/>
      <c r="AL316" s="2"/>
      <c r="AQ316" s="2"/>
    </row>
    <row r="317" spans="1:61" s="200" customFormat="1">
      <c r="A317" s="202" t="s">
        <v>913</v>
      </c>
      <c r="H317" s="200">
        <v>10</v>
      </c>
      <c r="J317" s="200">
        <v>10</v>
      </c>
      <c r="N317" s="200">
        <v>11</v>
      </c>
      <c r="Q317" s="200">
        <v>16</v>
      </c>
      <c r="V317" s="201"/>
      <c r="W317" s="201"/>
      <c r="X317" s="201"/>
      <c r="Y317" s="201"/>
      <c r="Z317" s="201"/>
      <c r="AA317" s="201"/>
      <c r="AC317" s="201"/>
      <c r="AD317" s="201"/>
      <c r="AH317" s="201"/>
      <c r="AL317" s="201"/>
      <c r="AQ317" s="201"/>
    </row>
    <row r="318" spans="1:61" s="200" customFormat="1">
      <c r="A318" s="202" t="s">
        <v>869</v>
      </c>
      <c r="N318" s="200">
        <v>7</v>
      </c>
      <c r="V318" s="201"/>
      <c r="W318" s="201"/>
      <c r="X318" s="201"/>
      <c r="Y318" s="201"/>
      <c r="Z318" s="201"/>
      <c r="AA318" s="201"/>
      <c r="AB318" s="203"/>
      <c r="AC318" s="201"/>
      <c r="AD318" s="201"/>
      <c r="AE318" s="200">
        <v>5</v>
      </c>
      <c r="AF318" s="203"/>
      <c r="AG318" s="203"/>
      <c r="AH318" s="201"/>
      <c r="AI318" s="203"/>
      <c r="AJ318" s="203"/>
      <c r="AK318" s="203"/>
      <c r="AL318" s="201"/>
      <c r="AM318" s="203"/>
      <c r="AQ318" s="201"/>
    </row>
    <row r="319" spans="1:61" s="200" customFormat="1">
      <c r="A319" s="202" t="s">
        <v>870</v>
      </c>
      <c r="N319" s="200">
        <v>10</v>
      </c>
      <c r="V319" s="201"/>
      <c r="W319" s="201"/>
      <c r="X319" s="201"/>
      <c r="Y319" s="201"/>
      <c r="Z319" s="201"/>
      <c r="AA319" s="201"/>
      <c r="AB319" s="203"/>
      <c r="AC319" s="201"/>
      <c r="AD319" s="201"/>
      <c r="AE319" s="200">
        <v>6</v>
      </c>
      <c r="AF319" s="203"/>
      <c r="AG319" s="203"/>
      <c r="AH319" s="201"/>
      <c r="AI319" s="203"/>
      <c r="AJ319" s="203"/>
      <c r="AK319" s="203"/>
      <c r="AL319" s="201"/>
      <c r="AM319" s="203"/>
      <c r="AQ319" s="201"/>
    </row>
    <row r="320" spans="1:61" s="200" customFormat="1">
      <c r="A320" s="202" t="s">
        <v>793</v>
      </c>
      <c r="J320" s="200">
        <v>10</v>
      </c>
      <c r="R320" s="200">
        <v>35</v>
      </c>
      <c r="T320" s="200">
        <v>10</v>
      </c>
      <c r="V320" s="201"/>
      <c r="W320" s="201"/>
      <c r="X320" s="201"/>
      <c r="Y320" s="201"/>
      <c r="Z320" s="201"/>
      <c r="AA320" s="201"/>
      <c r="AB320" s="203"/>
      <c r="AC320" s="201"/>
      <c r="AD320" s="201"/>
      <c r="AF320" s="201"/>
      <c r="AG320" s="203"/>
      <c r="AH320" s="201"/>
      <c r="AI320" s="203"/>
      <c r="AJ320" s="203"/>
      <c r="AK320" s="203"/>
      <c r="AL320" s="201"/>
      <c r="AM320" s="203"/>
    </row>
    <row r="321" spans="1:65" s="31" customFormat="1">
      <c r="A321" t="s">
        <v>462</v>
      </c>
      <c r="B321"/>
      <c r="C321"/>
      <c r="D321"/>
      <c r="E321"/>
      <c r="F321"/>
      <c r="G321"/>
      <c r="H321">
        <v>4</v>
      </c>
      <c r="I321"/>
      <c r="J321">
        <v>4</v>
      </c>
      <c r="K321"/>
      <c r="L321"/>
      <c r="M321"/>
      <c r="N321"/>
      <c r="O321">
        <v>3</v>
      </c>
      <c r="P321"/>
      <c r="Q321"/>
      <c r="R321"/>
      <c r="S321"/>
      <c r="T321"/>
      <c r="U321"/>
      <c r="V321" s="2"/>
      <c r="W321" s="2"/>
      <c r="X321" s="2"/>
      <c r="Y321" s="2"/>
      <c r="Z321" s="2"/>
      <c r="AA321" s="2"/>
      <c r="AB321" s="35"/>
      <c r="AC321" s="2"/>
      <c r="AD321" s="2"/>
      <c r="AE321">
        <v>2</v>
      </c>
      <c r="AF321" s="35"/>
      <c r="AG321" s="35"/>
      <c r="AH321" s="2"/>
      <c r="AI321" s="35"/>
      <c r="AJ321" s="35"/>
      <c r="AK321" s="35"/>
      <c r="AL321" s="35"/>
      <c r="AM321" s="35"/>
      <c r="AN321"/>
      <c r="AO321"/>
      <c r="AP321"/>
      <c r="AQ321"/>
      <c r="AR321"/>
      <c r="AS321"/>
      <c r="AT321"/>
      <c r="AU321"/>
      <c r="AV321"/>
      <c r="AW321"/>
      <c r="AX321"/>
      <c r="AY321"/>
      <c r="AZ321"/>
      <c r="BA321"/>
      <c r="BB321"/>
      <c r="BC321"/>
      <c r="BD321"/>
      <c r="BE321"/>
      <c r="BF321"/>
      <c r="BG321"/>
      <c r="BH321"/>
      <c r="BI321"/>
      <c r="BJ321"/>
      <c r="BK321"/>
      <c r="BL321"/>
      <c r="BM321"/>
    </row>
    <row r="322" spans="1:65" s="202" customFormat="1">
      <c r="A322" s="200" t="s">
        <v>853</v>
      </c>
      <c r="B322" s="200"/>
      <c r="C322" s="200"/>
      <c r="D322" s="200"/>
      <c r="E322" s="200"/>
      <c r="F322" s="200"/>
      <c r="G322" s="200"/>
      <c r="H322" s="200"/>
      <c r="I322" s="200"/>
      <c r="J322" s="200"/>
      <c r="K322" s="200"/>
      <c r="L322" s="200"/>
      <c r="M322" s="200"/>
      <c r="N322" s="200"/>
      <c r="O322" s="200"/>
      <c r="P322" s="200"/>
      <c r="Q322" s="200"/>
      <c r="R322" s="200"/>
      <c r="S322" s="200"/>
      <c r="T322" s="200"/>
      <c r="U322" s="200"/>
      <c r="V322" s="201"/>
      <c r="W322" s="201"/>
      <c r="X322" s="201"/>
      <c r="Y322" s="201"/>
      <c r="Z322" s="201"/>
      <c r="AA322" s="201"/>
      <c r="AB322" s="203"/>
      <c r="AC322" s="201"/>
      <c r="AD322" s="201"/>
      <c r="AE322" s="200">
        <v>-10</v>
      </c>
      <c r="AF322" s="203"/>
      <c r="AG322" s="203"/>
      <c r="AH322" s="201">
        <v>0.05</v>
      </c>
      <c r="AI322" s="203"/>
      <c r="AJ322" s="203"/>
      <c r="AK322" s="203"/>
      <c r="AL322" s="203"/>
      <c r="AM322" s="203"/>
      <c r="AN322" s="200"/>
      <c r="AO322" s="200"/>
      <c r="AP322" s="200"/>
      <c r="AQ322" s="200"/>
      <c r="AR322" s="200"/>
      <c r="AS322" s="200"/>
      <c r="AT322" s="200"/>
      <c r="AU322" s="200"/>
      <c r="AV322" s="200"/>
      <c r="AW322" s="200"/>
      <c r="AX322" s="200"/>
      <c r="AY322" s="200"/>
      <c r="AZ322" s="200"/>
      <c r="BA322" s="200"/>
      <c r="BB322" s="200"/>
      <c r="BC322" s="200"/>
      <c r="BD322" s="200"/>
      <c r="BE322" s="200"/>
      <c r="BF322" s="200"/>
      <c r="BG322" s="200"/>
      <c r="BH322" s="200"/>
      <c r="BI322" s="200"/>
      <c r="BJ322" s="200"/>
      <c r="BK322" s="200"/>
      <c r="BL322" s="200"/>
      <c r="BM322" s="200"/>
    </row>
    <row r="323" spans="1:65">
      <c r="A323" t="s">
        <v>153</v>
      </c>
      <c r="V323" s="2">
        <v>0.03</v>
      </c>
      <c r="W323" s="2">
        <v>0.03</v>
      </c>
      <c r="X323" s="2"/>
      <c r="Y323" s="2"/>
      <c r="Z323" s="2"/>
      <c r="AA323" s="2"/>
      <c r="AB323" s="35"/>
      <c r="AC323" s="2"/>
      <c r="AD323" s="2"/>
      <c r="AF323" s="35"/>
      <c r="AG323" s="35"/>
      <c r="AH323" s="2"/>
      <c r="AL323" s="35"/>
    </row>
    <row r="324" spans="1:65">
      <c r="A324" s="31" t="s">
        <v>624</v>
      </c>
      <c r="S324">
        <v>2</v>
      </c>
      <c r="T324">
        <v>2</v>
      </c>
      <c r="V324" s="2"/>
      <c r="W324" s="2"/>
      <c r="X324" s="2"/>
      <c r="Y324" s="2"/>
      <c r="Z324" s="2"/>
      <c r="AA324" s="2"/>
      <c r="AB324" s="35"/>
      <c r="AC324" s="2"/>
      <c r="AD324" s="2"/>
      <c r="AF324" s="35"/>
      <c r="AG324" s="35"/>
      <c r="AH324" s="2"/>
      <c r="AL324" s="2"/>
      <c r="AQ324" s="2"/>
    </row>
    <row r="325" spans="1:65">
      <c r="A325" s="31" t="s">
        <v>625</v>
      </c>
      <c r="S325">
        <v>3</v>
      </c>
      <c r="T325">
        <v>3</v>
      </c>
      <c r="U325">
        <v>5</v>
      </c>
      <c r="V325" s="2"/>
      <c r="W325" s="2"/>
      <c r="X325" s="2"/>
      <c r="Y325" s="2"/>
      <c r="Z325" s="2"/>
      <c r="AA325" s="2"/>
      <c r="AB325" s="35"/>
      <c r="AC325" s="2"/>
      <c r="AD325" s="2"/>
      <c r="AF325" s="35"/>
      <c r="AG325" s="35"/>
      <c r="AH325" s="2"/>
      <c r="AL325" s="2"/>
      <c r="AQ325" s="2"/>
    </row>
    <row r="326" spans="1:65">
      <c r="A326" s="31" t="s">
        <v>618</v>
      </c>
      <c r="J326">
        <v>8</v>
      </c>
      <c r="V326" s="2"/>
      <c r="W326" s="2"/>
      <c r="X326" s="2"/>
      <c r="Y326" s="2"/>
      <c r="Z326" s="2"/>
      <c r="AA326" s="2"/>
      <c r="AB326" s="35"/>
      <c r="AC326" s="2"/>
      <c r="AD326" s="2"/>
      <c r="AF326" s="35"/>
      <c r="AG326" s="35"/>
      <c r="AH326" s="2"/>
      <c r="AL326" s="2"/>
      <c r="AQ326" s="2"/>
    </row>
    <row r="327" spans="1:65">
      <c r="A327" s="31" t="s">
        <v>619</v>
      </c>
      <c r="J327">
        <v>9</v>
      </c>
      <c r="Q327">
        <v>5</v>
      </c>
      <c r="V327" s="2"/>
      <c r="W327" s="2"/>
      <c r="X327" s="2"/>
      <c r="Y327" s="2"/>
      <c r="Z327" s="2"/>
      <c r="AA327" s="2"/>
      <c r="AB327" s="35"/>
      <c r="AC327" s="2"/>
      <c r="AD327" s="2"/>
      <c r="AF327" s="35"/>
      <c r="AG327" s="35"/>
      <c r="AH327" s="2"/>
      <c r="AL327" s="2"/>
      <c r="AQ327" s="2"/>
    </row>
    <row r="328" spans="1:65" s="200" customFormat="1">
      <c r="A328" s="202" t="s">
        <v>872</v>
      </c>
      <c r="G328" s="200">
        <v>10</v>
      </c>
      <c r="O328" s="200">
        <v>16</v>
      </c>
      <c r="V328" s="201"/>
      <c r="W328" s="201">
        <v>0.05</v>
      </c>
      <c r="X328" s="201"/>
      <c r="Y328" s="201"/>
      <c r="Z328" s="201"/>
      <c r="AA328" s="201"/>
      <c r="AB328" s="203"/>
      <c r="AC328" s="201"/>
      <c r="AD328" s="201"/>
      <c r="AF328" s="203"/>
      <c r="AG328" s="203"/>
      <c r="AH328" s="201"/>
      <c r="AI328" s="203"/>
      <c r="AJ328" s="203"/>
      <c r="AK328" s="203"/>
      <c r="AL328" s="201"/>
      <c r="AM328" s="203"/>
      <c r="AQ328" s="201"/>
    </row>
    <row r="329" spans="1:65" s="200" customFormat="1">
      <c r="A329" s="202" t="s">
        <v>857</v>
      </c>
      <c r="Q329" s="200">
        <v>20</v>
      </c>
      <c r="V329" s="201"/>
      <c r="W329" s="201"/>
      <c r="X329" s="201"/>
      <c r="Y329" s="201"/>
      <c r="Z329" s="201"/>
      <c r="AA329" s="201">
        <v>0.05</v>
      </c>
      <c r="AB329" s="203"/>
      <c r="AC329" s="201"/>
      <c r="AD329" s="201"/>
      <c r="AF329" s="203"/>
      <c r="AG329" s="203"/>
      <c r="AH329" s="201"/>
      <c r="AI329" s="203"/>
      <c r="AJ329" s="203"/>
      <c r="AK329" s="203"/>
      <c r="AL329" s="201"/>
      <c r="AM329" s="203"/>
      <c r="AQ329" s="201"/>
    </row>
    <row r="330" spans="1:65" s="200" customFormat="1">
      <c r="A330" s="202" t="s">
        <v>858</v>
      </c>
      <c r="Q330" s="200">
        <v>23</v>
      </c>
      <c r="V330" s="201"/>
      <c r="W330" s="201"/>
      <c r="X330" s="201"/>
      <c r="Y330" s="201"/>
      <c r="Z330" s="201"/>
      <c r="AA330" s="201">
        <v>0.06</v>
      </c>
      <c r="AB330" s="203"/>
      <c r="AC330" s="201"/>
      <c r="AD330" s="201"/>
      <c r="AF330" s="203"/>
      <c r="AG330" s="203"/>
      <c r="AH330" s="201"/>
      <c r="AI330" s="203"/>
      <c r="AJ330" s="203"/>
      <c r="AK330" s="203"/>
      <c r="AL330" s="201"/>
      <c r="AM330" s="203"/>
      <c r="AQ330" s="201"/>
    </row>
    <row r="331" spans="1:65" s="186" customFormat="1">
      <c r="A331" s="189" t="s">
        <v>717</v>
      </c>
      <c r="V331" s="187"/>
      <c r="W331" s="187">
        <v>0.02</v>
      </c>
      <c r="X331" s="187"/>
      <c r="Y331" s="187"/>
      <c r="Z331" s="187"/>
      <c r="AA331" s="187"/>
      <c r="AB331" s="190"/>
      <c r="AC331" s="187">
        <v>0.01</v>
      </c>
      <c r="AD331" s="187"/>
      <c r="AF331" s="190"/>
      <c r="AG331" s="190"/>
      <c r="AH331" s="187"/>
      <c r="AI331" s="190"/>
      <c r="AJ331" s="190"/>
      <c r="AK331" s="190"/>
      <c r="AL331" s="187"/>
      <c r="AM331" s="190"/>
      <c r="AQ331" s="187"/>
    </row>
    <row r="332" spans="1:65">
      <c r="A332" s="31" t="s">
        <v>612</v>
      </c>
      <c r="G332">
        <v>8</v>
      </c>
      <c r="V332" s="2"/>
      <c r="W332" s="2"/>
      <c r="X332" s="2"/>
      <c r="Y332" s="2"/>
      <c r="Z332" s="2"/>
      <c r="AA332" s="2"/>
      <c r="AB332" s="35"/>
      <c r="AC332" s="2"/>
      <c r="AD332" s="2"/>
      <c r="AF332" s="35"/>
      <c r="AG332" s="35"/>
      <c r="AH332" s="2"/>
      <c r="AL332" s="2"/>
      <c r="AQ332" s="2"/>
    </row>
    <row r="333" spans="1:65">
      <c r="A333" s="31" t="s">
        <v>613</v>
      </c>
      <c r="G333">
        <v>9</v>
      </c>
      <c r="O333">
        <v>5</v>
      </c>
      <c r="V333" s="2"/>
      <c r="W333" s="2"/>
      <c r="X333" s="2"/>
      <c r="Y333" s="2"/>
      <c r="Z333" s="2"/>
      <c r="AA333" s="2"/>
      <c r="AB333" s="35"/>
      <c r="AC333" s="2"/>
      <c r="AD333" s="2"/>
      <c r="AF333" s="35"/>
      <c r="AG333" s="35"/>
      <c r="AH333" s="2"/>
      <c r="AL333" s="2"/>
      <c r="AQ333" s="2"/>
    </row>
    <row r="334" spans="1:65" s="200" customFormat="1">
      <c r="A334" s="202" t="s">
        <v>794</v>
      </c>
      <c r="H334" s="200">
        <v>10</v>
      </c>
      <c r="J334" s="200">
        <v>10</v>
      </c>
      <c r="O334" s="200">
        <v>25</v>
      </c>
      <c r="V334" s="201"/>
      <c r="W334" s="201"/>
      <c r="X334" s="201"/>
      <c r="Y334" s="201"/>
      <c r="Z334" s="201"/>
      <c r="AA334" s="201"/>
      <c r="AB334" s="203"/>
      <c r="AC334" s="201"/>
      <c r="AD334" s="201"/>
      <c r="AE334" s="200">
        <v>5</v>
      </c>
      <c r="AF334" s="203"/>
      <c r="AG334" s="203"/>
      <c r="AH334" s="201"/>
      <c r="AI334" s="203"/>
      <c r="AJ334" s="203"/>
      <c r="AK334" s="203"/>
      <c r="AL334" s="201"/>
      <c r="AM334" s="203"/>
      <c r="AQ334" s="201"/>
    </row>
    <row r="335" spans="1:65">
      <c r="A335" t="s">
        <v>486</v>
      </c>
      <c r="O335">
        <v>5</v>
      </c>
      <c r="V335" s="2"/>
      <c r="W335" s="2"/>
      <c r="X335" s="2"/>
      <c r="Y335" s="2"/>
      <c r="Z335" s="2"/>
      <c r="AA335" s="2"/>
      <c r="AB335" s="35"/>
      <c r="AC335" s="2"/>
      <c r="AD335" s="2"/>
      <c r="AE335">
        <v>5</v>
      </c>
      <c r="AF335" s="35"/>
      <c r="AG335" s="35"/>
      <c r="AH335" s="2"/>
      <c r="AI335" s="2"/>
      <c r="AJ335" s="2"/>
      <c r="AK335" s="2"/>
      <c r="AL335" s="2"/>
      <c r="AM335" s="2"/>
    </row>
    <row r="336" spans="1:65" s="200" customFormat="1">
      <c r="A336" s="200" t="s">
        <v>916</v>
      </c>
      <c r="N336" s="200">
        <v>5</v>
      </c>
      <c r="V336" s="201"/>
      <c r="W336" s="201"/>
      <c r="X336" s="201"/>
      <c r="Y336" s="201"/>
      <c r="Z336" s="201"/>
      <c r="AA336" s="201"/>
      <c r="AC336" s="201"/>
      <c r="AD336" s="201"/>
      <c r="AH336" s="201">
        <v>0.03</v>
      </c>
      <c r="AI336" s="201"/>
      <c r="AJ336" s="201"/>
      <c r="AK336" s="201"/>
      <c r="AL336" s="201"/>
      <c r="AM336" s="201"/>
    </row>
    <row r="337" spans="1:43" s="200" customFormat="1">
      <c r="A337" s="200" t="s">
        <v>854</v>
      </c>
      <c r="N337" s="200">
        <v>10</v>
      </c>
      <c r="V337" s="201"/>
      <c r="W337" s="201"/>
      <c r="X337" s="201"/>
      <c r="Y337" s="201"/>
      <c r="Z337" s="201"/>
      <c r="AA337" s="201"/>
      <c r="AB337" s="203"/>
      <c r="AC337" s="201"/>
      <c r="AD337" s="201"/>
      <c r="AF337" s="203"/>
      <c r="AG337" s="203"/>
      <c r="AH337" s="201">
        <v>0.04</v>
      </c>
      <c r="AI337" s="201"/>
      <c r="AJ337" s="201"/>
      <c r="AK337" s="201"/>
      <c r="AL337" s="201"/>
      <c r="AM337" s="201"/>
    </row>
    <row r="338" spans="1:43">
      <c r="A338" s="31" t="s">
        <v>622</v>
      </c>
      <c r="L338">
        <v>8</v>
      </c>
      <c r="V338" s="2"/>
      <c r="W338" s="2"/>
      <c r="X338" s="2"/>
      <c r="Y338" s="2"/>
      <c r="Z338" s="2"/>
      <c r="AA338" s="2"/>
      <c r="AB338" s="35"/>
      <c r="AC338" s="2"/>
      <c r="AD338" s="2"/>
      <c r="AF338" s="35"/>
      <c r="AG338" s="35"/>
      <c r="AH338" s="2"/>
      <c r="AL338" s="2"/>
      <c r="AQ338" s="2"/>
    </row>
    <row r="339" spans="1:43">
      <c r="A339" s="31" t="s">
        <v>623</v>
      </c>
      <c r="L339">
        <v>9</v>
      </c>
      <c r="V339" s="2"/>
      <c r="W339" s="2"/>
      <c r="X339" s="2"/>
      <c r="Y339" s="2"/>
      <c r="Z339" s="2"/>
      <c r="AA339" s="2"/>
      <c r="AB339" s="35"/>
      <c r="AC339" s="2"/>
      <c r="AD339" s="2"/>
      <c r="AF339" s="35"/>
      <c r="AG339" s="35"/>
      <c r="AH339" s="2"/>
      <c r="AL339" s="2"/>
      <c r="AQ339" s="2"/>
    </row>
    <row r="340" spans="1:43" s="200" customFormat="1">
      <c r="A340" s="200" t="s">
        <v>800</v>
      </c>
      <c r="N340" s="200">
        <v>5</v>
      </c>
      <c r="O340" s="200">
        <v>5</v>
      </c>
      <c r="V340" s="201"/>
      <c r="W340" s="201"/>
      <c r="X340" s="201"/>
      <c r="Y340" s="201"/>
      <c r="Z340" s="201"/>
      <c r="AA340" s="201"/>
      <c r="AB340" s="203"/>
      <c r="AC340" s="201"/>
      <c r="AD340" s="201"/>
      <c r="AE340" s="200">
        <v>3</v>
      </c>
      <c r="AF340" s="203"/>
      <c r="AG340" s="203"/>
      <c r="AH340" s="201"/>
      <c r="AI340" s="203"/>
      <c r="AJ340" s="203"/>
      <c r="AK340" s="203"/>
      <c r="AL340" s="203"/>
      <c r="AM340" s="203"/>
    </row>
    <row r="341" spans="1:43" s="200" customFormat="1">
      <c r="A341" s="200" t="s">
        <v>799</v>
      </c>
      <c r="N341" s="200">
        <v>8</v>
      </c>
      <c r="O341" s="200">
        <v>8</v>
      </c>
      <c r="V341" s="201"/>
      <c r="W341" s="201"/>
      <c r="X341" s="201"/>
      <c r="Y341" s="201"/>
      <c r="Z341" s="201"/>
      <c r="AA341" s="201"/>
      <c r="AB341" s="203"/>
      <c r="AC341" s="201"/>
      <c r="AD341" s="201"/>
      <c r="AE341" s="200">
        <v>5</v>
      </c>
      <c r="AF341" s="203"/>
      <c r="AG341" s="203"/>
      <c r="AH341" s="201"/>
      <c r="AI341" s="203"/>
      <c r="AJ341" s="203"/>
      <c r="AK341" s="203"/>
      <c r="AL341" s="203"/>
      <c r="AM341" s="203"/>
    </row>
    <row r="342" spans="1:43" s="200" customFormat="1">
      <c r="A342" s="200" t="s">
        <v>821</v>
      </c>
      <c r="N342" s="200">
        <v>6</v>
      </c>
      <c r="Q342" s="200">
        <v>6</v>
      </c>
      <c r="S342" s="200">
        <v>6</v>
      </c>
      <c r="V342" s="201"/>
      <c r="W342" s="201"/>
      <c r="X342" s="201"/>
      <c r="Y342" s="201"/>
      <c r="Z342" s="201"/>
      <c r="AA342" s="201"/>
      <c r="AB342" s="203"/>
      <c r="AC342" s="201">
        <v>0.03</v>
      </c>
      <c r="AD342" s="201"/>
      <c r="AF342" s="203"/>
      <c r="AG342" s="203"/>
      <c r="AH342" s="201"/>
      <c r="AI342" s="203"/>
      <c r="AJ342" s="203"/>
      <c r="AK342" s="203"/>
      <c r="AL342" s="203"/>
      <c r="AM342" s="203"/>
    </row>
    <row r="343" spans="1:43">
      <c r="A343" s="31" t="s">
        <v>570</v>
      </c>
      <c r="N343">
        <v>7</v>
      </c>
      <c r="V343" s="2"/>
      <c r="W343" s="2"/>
      <c r="X343" s="2"/>
      <c r="Y343" s="2"/>
      <c r="Z343" s="2"/>
      <c r="AA343" s="2"/>
      <c r="AB343" s="35"/>
      <c r="AC343" s="2"/>
      <c r="AD343" s="2"/>
      <c r="AF343" s="35"/>
      <c r="AG343" s="35"/>
      <c r="AH343" s="2"/>
      <c r="AL343" s="2"/>
      <c r="AP343" s="2"/>
    </row>
    <row r="344" spans="1:43">
      <c r="A344" t="s">
        <v>691</v>
      </c>
      <c r="G344">
        <v>3</v>
      </c>
      <c r="H344">
        <v>3</v>
      </c>
      <c r="I344">
        <v>3</v>
      </c>
      <c r="J344">
        <v>3</v>
      </c>
      <c r="V344" s="2">
        <v>0.01</v>
      </c>
      <c r="W344" s="2"/>
      <c r="X344" s="2"/>
      <c r="Y344" s="2"/>
      <c r="Z344" s="2"/>
      <c r="AA344" s="2"/>
      <c r="AB344" s="35"/>
      <c r="AC344" s="2"/>
      <c r="AD344" s="2"/>
      <c r="AE344">
        <v>5</v>
      </c>
      <c r="AF344" s="35"/>
      <c r="AG344" s="35"/>
      <c r="AH344" s="2"/>
      <c r="AL344" s="35"/>
    </row>
    <row r="345" spans="1:43">
      <c r="A345" t="s">
        <v>26</v>
      </c>
      <c r="G345">
        <v>5</v>
      </c>
      <c r="H345">
        <v>5</v>
      </c>
      <c r="V345" s="2"/>
      <c r="W345" s="2"/>
      <c r="X345" s="2"/>
      <c r="Y345" s="2"/>
      <c r="Z345" s="2"/>
      <c r="AA345" s="2"/>
      <c r="AB345" s="35"/>
      <c r="AC345" s="2"/>
      <c r="AD345" s="2"/>
      <c r="AE345">
        <v>5</v>
      </c>
      <c r="AF345" s="35"/>
      <c r="AG345" s="35"/>
      <c r="AH345" s="2"/>
      <c r="AL345" s="35"/>
    </row>
    <row r="346" spans="1:43">
      <c r="A346" s="31" t="s">
        <v>614</v>
      </c>
      <c r="H346">
        <v>8</v>
      </c>
      <c r="V346" s="2"/>
      <c r="W346" s="2"/>
      <c r="X346" s="2"/>
      <c r="Y346" s="2"/>
      <c r="Z346" s="2"/>
      <c r="AA346" s="2"/>
      <c r="AB346" s="35"/>
      <c r="AC346" s="2"/>
      <c r="AD346" s="2"/>
      <c r="AF346" s="35"/>
      <c r="AG346" s="35"/>
      <c r="AH346" s="2"/>
      <c r="AL346" s="2"/>
      <c r="AQ346" s="2"/>
    </row>
    <row r="347" spans="1:43">
      <c r="A347" s="31" t="s">
        <v>615</v>
      </c>
      <c r="H347">
        <v>9</v>
      </c>
      <c r="N347">
        <v>5</v>
      </c>
      <c r="V347" s="2"/>
      <c r="W347" s="2"/>
      <c r="X347" s="2"/>
      <c r="Y347" s="2"/>
      <c r="Z347" s="2"/>
      <c r="AA347" s="2"/>
      <c r="AB347" s="35"/>
      <c r="AC347" s="2"/>
      <c r="AD347" s="2"/>
      <c r="AF347" s="35"/>
      <c r="AG347" s="35"/>
      <c r="AH347" s="2"/>
      <c r="AL347" s="2"/>
      <c r="AQ347" s="2"/>
    </row>
    <row r="348" spans="1:43" s="200" customFormat="1">
      <c r="A348" s="202" t="s">
        <v>838</v>
      </c>
      <c r="G348" s="200">
        <v>10</v>
      </c>
      <c r="H348" s="200">
        <v>10</v>
      </c>
      <c r="I348" s="200">
        <v>10</v>
      </c>
      <c r="J348" s="200">
        <v>10</v>
      </c>
      <c r="O348" s="200">
        <v>20</v>
      </c>
      <c r="R348" s="200">
        <v>20</v>
      </c>
      <c r="V348" s="201"/>
      <c r="W348" s="201"/>
      <c r="X348" s="201"/>
      <c r="Y348" s="201"/>
      <c r="Z348" s="201"/>
      <c r="AA348" s="201"/>
      <c r="AB348" s="203"/>
      <c r="AC348" s="201"/>
      <c r="AD348" s="201"/>
      <c r="AF348" s="203"/>
      <c r="AG348" s="203"/>
      <c r="AH348" s="201"/>
      <c r="AI348" s="203"/>
      <c r="AJ348" s="203"/>
      <c r="AK348" s="203"/>
      <c r="AL348" s="201"/>
      <c r="AM348" s="203"/>
      <c r="AQ348" s="201"/>
    </row>
    <row r="349" spans="1:43">
      <c r="A349" s="31" t="s">
        <v>620</v>
      </c>
      <c r="K349">
        <v>8</v>
      </c>
      <c r="V349" s="2"/>
      <c r="W349" s="2"/>
      <c r="X349" s="2"/>
      <c r="Y349" s="2"/>
      <c r="Z349" s="2"/>
      <c r="AA349" s="2"/>
      <c r="AB349" s="35"/>
      <c r="AC349" s="2"/>
      <c r="AD349" s="2"/>
      <c r="AF349" s="35"/>
      <c r="AG349" s="35"/>
      <c r="AH349" s="2"/>
      <c r="AL349" s="2"/>
      <c r="AQ349" s="2"/>
    </row>
    <row r="350" spans="1:43">
      <c r="A350" s="31" t="s">
        <v>621</v>
      </c>
      <c r="K350">
        <v>9</v>
      </c>
      <c r="V350" s="2"/>
      <c r="W350" s="2"/>
      <c r="X350" s="2"/>
      <c r="Y350" s="2"/>
      <c r="Z350" s="2"/>
      <c r="AA350" s="2"/>
      <c r="AB350" s="35"/>
      <c r="AC350" s="2"/>
      <c r="AD350" s="2"/>
      <c r="AF350" s="35"/>
      <c r="AG350" s="35"/>
      <c r="AH350" s="2"/>
      <c r="AL350" s="2"/>
      <c r="AQ350" s="2"/>
    </row>
    <row r="351" spans="1:43" s="186" customFormat="1">
      <c r="A351" s="189" t="s">
        <v>718</v>
      </c>
      <c r="G351" s="186">
        <v>7</v>
      </c>
      <c r="O351" s="186">
        <v>15</v>
      </c>
      <c r="V351" s="187"/>
      <c r="W351" s="187"/>
      <c r="X351" s="187"/>
      <c r="Y351" s="187"/>
      <c r="Z351" s="187"/>
      <c r="AA351" s="187"/>
      <c r="AB351" s="190"/>
      <c r="AC351" s="187"/>
      <c r="AD351" s="187"/>
      <c r="AF351" s="190"/>
      <c r="AG351" s="190"/>
      <c r="AH351" s="187"/>
      <c r="AI351" s="190"/>
      <c r="AJ351" s="190"/>
      <c r="AK351" s="190"/>
      <c r="AL351" s="187"/>
      <c r="AM351" s="190"/>
      <c r="AQ351" s="187"/>
    </row>
    <row r="352" spans="1:43">
      <c r="A352" t="s">
        <v>166</v>
      </c>
      <c r="G352">
        <v>5</v>
      </c>
      <c r="K352">
        <v>5</v>
      </c>
      <c r="V352" s="2"/>
      <c r="W352" s="2"/>
      <c r="X352" s="2"/>
      <c r="Y352" s="2"/>
      <c r="Z352" s="2"/>
      <c r="AA352" s="2"/>
      <c r="AB352" s="35"/>
      <c r="AC352" s="2"/>
      <c r="AD352" s="2"/>
      <c r="AF352" s="35"/>
      <c r="AG352" s="35"/>
      <c r="AH352" s="2"/>
      <c r="AL352" s="35"/>
    </row>
    <row r="353" spans="1:43">
      <c r="A353" s="31" t="s">
        <v>616</v>
      </c>
      <c r="I353">
        <v>8</v>
      </c>
      <c r="V353" s="2"/>
      <c r="W353" s="2"/>
      <c r="X353" s="2"/>
      <c r="Y353" s="2"/>
      <c r="Z353" s="2"/>
      <c r="AA353" s="2"/>
      <c r="AB353" s="35"/>
      <c r="AC353" s="2"/>
      <c r="AD353" s="2"/>
      <c r="AF353" s="35"/>
      <c r="AG353" s="35"/>
      <c r="AH353" s="2"/>
      <c r="AL353" s="2"/>
      <c r="AQ353" s="2"/>
    </row>
    <row r="354" spans="1:43">
      <c r="A354" s="31" t="s">
        <v>617</v>
      </c>
      <c r="I354">
        <v>9</v>
      </c>
      <c r="V354" s="2"/>
      <c r="W354" s="2"/>
      <c r="X354" s="2"/>
      <c r="Y354" s="2"/>
      <c r="Z354" s="2"/>
      <c r="AA354" s="2"/>
      <c r="AB354" s="35"/>
      <c r="AC354" s="2"/>
      <c r="AD354" s="2"/>
      <c r="AF354" s="35"/>
      <c r="AG354" s="35"/>
      <c r="AH354" s="2"/>
      <c r="AL354" s="2"/>
      <c r="AQ354" s="2"/>
    </row>
    <row r="355" spans="1:43">
      <c r="A355" t="s">
        <v>72</v>
      </c>
      <c r="N355">
        <v>4</v>
      </c>
      <c r="O355">
        <v>4</v>
      </c>
      <c r="V355" s="2"/>
      <c r="W355" s="2"/>
      <c r="X355" s="2"/>
      <c r="Y355" s="2"/>
      <c r="Z355" s="2"/>
      <c r="AA355" s="2"/>
      <c r="AB355" s="35"/>
      <c r="AC355" s="2"/>
      <c r="AD355" s="2"/>
      <c r="AF355" s="35"/>
      <c r="AG355" s="35"/>
      <c r="AH355" s="2"/>
      <c r="AL355" s="35"/>
    </row>
    <row r="358" spans="1:43">
      <c r="A358" t="s">
        <v>20</v>
      </c>
      <c r="B358" t="s">
        <v>30</v>
      </c>
      <c r="C358" t="s">
        <v>518</v>
      </c>
      <c r="D358" t="s">
        <v>652</v>
      </c>
      <c r="E358" t="s">
        <v>484</v>
      </c>
      <c r="F358" s="31" t="s">
        <v>511</v>
      </c>
      <c r="G358" t="s">
        <v>3</v>
      </c>
      <c r="H358" t="s">
        <v>4</v>
      </c>
      <c r="I358" t="s">
        <v>5</v>
      </c>
      <c r="J358" t="s">
        <v>42</v>
      </c>
      <c r="K358" t="s">
        <v>208</v>
      </c>
      <c r="L358" t="s">
        <v>209</v>
      </c>
      <c r="M358" t="s">
        <v>210</v>
      </c>
      <c r="N358" t="s">
        <v>10</v>
      </c>
      <c r="O358" t="s">
        <v>9</v>
      </c>
      <c r="P358" t="s">
        <v>479</v>
      </c>
      <c r="Q358" t="s">
        <v>635</v>
      </c>
      <c r="R358" t="s">
        <v>636</v>
      </c>
      <c r="S358" t="s">
        <v>637</v>
      </c>
      <c r="T358" s="35" t="s">
        <v>638</v>
      </c>
      <c r="U358" s="145" t="s">
        <v>639</v>
      </c>
      <c r="V358" t="s">
        <v>12</v>
      </c>
      <c r="W358" t="s">
        <v>152</v>
      </c>
      <c r="X358" t="s">
        <v>345</v>
      </c>
      <c r="Y358" t="s">
        <v>480</v>
      </c>
      <c r="Z358" t="s">
        <v>481</v>
      </c>
      <c r="AA358" t="s">
        <v>122</v>
      </c>
      <c r="AB358" t="s">
        <v>11</v>
      </c>
      <c r="AC358" t="s">
        <v>119</v>
      </c>
      <c r="AD358" t="s">
        <v>118</v>
      </c>
      <c r="AE358" t="s">
        <v>13</v>
      </c>
      <c r="AF358" t="s">
        <v>116</v>
      </c>
      <c r="AG358" t="s">
        <v>289</v>
      </c>
      <c r="AH358" t="s">
        <v>163</v>
      </c>
      <c r="AI358" s="35" t="s">
        <v>457</v>
      </c>
      <c r="AJ358" s="35" t="s">
        <v>458</v>
      </c>
      <c r="AK358" s="145" t="s">
        <v>433</v>
      </c>
      <c r="AL358" t="s">
        <v>339</v>
      </c>
      <c r="AM358" s="145" t="s">
        <v>649</v>
      </c>
    </row>
    <row r="359" spans="1:43" s="200" customFormat="1">
      <c r="A359" s="200" t="s">
        <v>759</v>
      </c>
      <c r="H359" s="200">
        <v>30</v>
      </c>
      <c r="N359" s="200">
        <v>20</v>
      </c>
      <c r="O359" s="200">
        <v>20</v>
      </c>
      <c r="V359" s="201">
        <v>0.1</v>
      </c>
      <c r="W359" s="201"/>
      <c r="X359" s="201"/>
      <c r="Y359" s="201"/>
      <c r="Z359" s="201"/>
      <c r="AA359" s="201"/>
      <c r="AB359" s="203"/>
      <c r="AC359" s="201"/>
      <c r="AD359" s="201"/>
      <c r="AF359" s="203"/>
      <c r="AG359" s="203"/>
      <c r="AH359" s="201"/>
      <c r="AI359" s="203"/>
      <c r="AJ359" s="203"/>
      <c r="AK359" s="203"/>
      <c r="AL359" s="203"/>
      <c r="AM359" s="203"/>
    </row>
    <row r="360" spans="1:43" s="200" customFormat="1">
      <c r="A360" s="200" t="s">
        <v>856</v>
      </c>
      <c r="H360" s="200">
        <v>30</v>
      </c>
      <c r="N360" s="200">
        <v>20</v>
      </c>
      <c r="O360" s="200">
        <v>20</v>
      </c>
      <c r="V360" s="201"/>
      <c r="W360" s="201"/>
      <c r="X360" s="201"/>
      <c r="Y360" s="201"/>
      <c r="Z360" s="201"/>
      <c r="AA360" s="201">
        <v>0.1</v>
      </c>
      <c r="AB360" s="203"/>
      <c r="AC360" s="201"/>
      <c r="AD360" s="201"/>
      <c r="AF360" s="203"/>
      <c r="AG360" s="203"/>
      <c r="AH360" s="201"/>
      <c r="AI360" s="203"/>
      <c r="AJ360" s="203"/>
      <c r="AK360" s="203"/>
      <c r="AL360" s="203"/>
      <c r="AM360" s="203"/>
    </row>
    <row r="361" spans="1:43" s="200" customFormat="1">
      <c r="A361" s="200" t="s">
        <v>764</v>
      </c>
      <c r="H361" s="200">
        <v>30</v>
      </c>
      <c r="N361" s="200">
        <v>20</v>
      </c>
      <c r="O361" s="200">
        <v>20</v>
      </c>
      <c r="V361" s="201"/>
      <c r="W361" s="201"/>
      <c r="X361" s="201"/>
      <c r="Y361" s="201"/>
      <c r="Z361" s="201"/>
      <c r="AA361" s="201"/>
      <c r="AB361" s="203"/>
      <c r="AC361" s="201">
        <v>0.1</v>
      </c>
      <c r="AD361" s="201"/>
      <c r="AF361" s="203"/>
      <c r="AG361" s="203"/>
      <c r="AH361" s="201"/>
      <c r="AI361" s="203"/>
      <c r="AJ361" s="203"/>
      <c r="AK361" s="203"/>
      <c r="AL361" s="203"/>
      <c r="AM361" s="203"/>
    </row>
    <row r="362" spans="1:43" s="200" customFormat="1">
      <c r="A362" s="200" t="s">
        <v>761</v>
      </c>
      <c r="H362" s="200">
        <v>30</v>
      </c>
      <c r="N362" s="200">
        <v>20</v>
      </c>
      <c r="O362" s="200">
        <v>20</v>
      </c>
      <c r="V362" s="201"/>
      <c r="W362" s="201"/>
      <c r="X362" s="201"/>
      <c r="Y362" s="201"/>
      <c r="Z362" s="201"/>
      <c r="AA362" s="201"/>
      <c r="AB362" s="203"/>
      <c r="AC362" s="201"/>
      <c r="AD362" s="201"/>
      <c r="AF362" s="203"/>
      <c r="AG362" s="203"/>
      <c r="AH362" s="201">
        <v>0.1</v>
      </c>
      <c r="AI362" s="203"/>
      <c r="AJ362" s="203"/>
      <c r="AK362" s="203"/>
      <c r="AL362" s="203"/>
      <c r="AM362" s="203"/>
    </row>
    <row r="363" spans="1:43" s="200" customFormat="1">
      <c r="A363" s="200" t="s">
        <v>762</v>
      </c>
      <c r="H363" s="200">
        <v>30</v>
      </c>
      <c r="N363" s="200">
        <v>20</v>
      </c>
      <c r="O363" s="200">
        <v>20</v>
      </c>
      <c r="V363" s="201"/>
      <c r="W363" s="201"/>
      <c r="X363" s="201"/>
      <c r="Y363" s="201"/>
      <c r="Z363" s="201"/>
      <c r="AA363" s="201"/>
      <c r="AB363" s="203"/>
      <c r="AC363" s="201"/>
      <c r="AD363" s="201"/>
      <c r="AE363" s="200">
        <v>10</v>
      </c>
      <c r="AF363" s="203"/>
      <c r="AG363" s="203"/>
      <c r="AH363" s="201"/>
      <c r="AI363" s="203"/>
      <c r="AJ363" s="203"/>
      <c r="AK363" s="203"/>
      <c r="AL363" s="203"/>
      <c r="AM363" s="203"/>
    </row>
    <row r="364" spans="1:43" s="200" customFormat="1">
      <c r="A364" s="200" t="s">
        <v>763</v>
      </c>
      <c r="J364" s="200">
        <v>30</v>
      </c>
      <c r="N364" s="200">
        <v>20</v>
      </c>
      <c r="O364" s="200">
        <v>20</v>
      </c>
      <c r="V364" s="201"/>
      <c r="W364" s="201"/>
      <c r="X364" s="201"/>
      <c r="Y364" s="201"/>
      <c r="Z364" s="201"/>
      <c r="AA364" s="201"/>
      <c r="AB364" s="203"/>
      <c r="AC364" s="201">
        <v>0.1</v>
      </c>
      <c r="AD364" s="201"/>
      <c r="AF364" s="203"/>
      <c r="AG364" s="203"/>
      <c r="AH364" s="201"/>
      <c r="AI364" s="203"/>
      <c r="AJ364" s="203"/>
      <c r="AK364" s="203"/>
      <c r="AL364" s="203"/>
      <c r="AM364" s="203"/>
    </row>
    <row r="365" spans="1:43" s="200" customFormat="1">
      <c r="A365" s="200" t="s">
        <v>760</v>
      </c>
      <c r="J365" s="200">
        <v>30</v>
      </c>
      <c r="N365" s="200">
        <v>20</v>
      </c>
      <c r="O365" s="200">
        <v>20</v>
      </c>
      <c r="V365" s="201"/>
      <c r="W365" s="201"/>
      <c r="X365" s="201"/>
      <c r="Y365" s="201"/>
      <c r="Z365" s="201"/>
      <c r="AA365" s="201"/>
      <c r="AB365" s="203"/>
      <c r="AC365" s="201"/>
      <c r="AD365" s="201"/>
      <c r="AF365" s="203"/>
      <c r="AG365" s="203"/>
      <c r="AH365" s="201">
        <v>0.1</v>
      </c>
      <c r="AI365" s="203"/>
      <c r="AJ365" s="203"/>
      <c r="AK365" s="203"/>
      <c r="AL365" s="203"/>
      <c r="AM365" s="203"/>
    </row>
    <row r="366" spans="1:43" s="200" customFormat="1">
      <c r="A366" s="200" t="s">
        <v>771</v>
      </c>
      <c r="G366" s="200">
        <v>30</v>
      </c>
      <c r="N366" s="200">
        <v>20</v>
      </c>
      <c r="O366" s="200">
        <v>20</v>
      </c>
      <c r="V366" s="201"/>
      <c r="W366" s="201"/>
      <c r="X366" s="201"/>
      <c r="Y366" s="201"/>
      <c r="Z366" s="201"/>
      <c r="AA366" s="201"/>
      <c r="AB366" s="203"/>
      <c r="AC366" s="201"/>
      <c r="AD366" s="201"/>
      <c r="AF366" s="203"/>
      <c r="AG366" s="203"/>
      <c r="AH366" s="201">
        <v>0.1</v>
      </c>
      <c r="AI366" s="203"/>
      <c r="AJ366" s="203"/>
      <c r="AK366" s="203"/>
      <c r="AL366" s="203"/>
      <c r="AM366" s="203"/>
    </row>
    <row r="367" spans="1:43" s="200" customFormat="1">
      <c r="A367" s="200" t="s">
        <v>914</v>
      </c>
      <c r="G367" s="200">
        <v>30</v>
      </c>
      <c r="N367" s="200">
        <v>20</v>
      </c>
      <c r="O367" s="200">
        <v>20</v>
      </c>
      <c r="V367" s="201">
        <v>0.1</v>
      </c>
      <c r="W367" s="201"/>
      <c r="X367" s="201"/>
      <c r="Y367" s="201"/>
      <c r="Z367" s="201"/>
      <c r="AA367" s="201"/>
      <c r="AC367" s="201"/>
      <c r="AD367" s="201"/>
      <c r="AH367" s="201"/>
    </row>
    <row r="368" spans="1:43">
      <c r="A368" s="31" t="s">
        <v>633</v>
      </c>
      <c r="O368">
        <v>12</v>
      </c>
      <c r="T368">
        <v>12</v>
      </c>
      <c r="V368" s="2"/>
      <c r="W368" s="2"/>
      <c r="X368" s="2"/>
      <c r="Y368" s="2"/>
      <c r="Z368" s="2"/>
      <c r="AA368" s="2"/>
      <c r="AB368" s="35"/>
      <c r="AC368" s="2"/>
      <c r="AD368" s="2"/>
      <c r="AF368" s="35"/>
      <c r="AG368" s="35"/>
      <c r="AH368" s="2"/>
      <c r="AI368" s="2"/>
      <c r="AJ368" s="2"/>
      <c r="AK368" s="2"/>
      <c r="AL368" s="2"/>
      <c r="AM368" s="2"/>
    </row>
    <row r="369" spans="1:43">
      <c r="A369" t="s">
        <v>692</v>
      </c>
      <c r="O369">
        <v>20</v>
      </c>
      <c r="V369" s="2"/>
      <c r="W369" s="2">
        <v>0.02</v>
      </c>
      <c r="X369" s="2"/>
      <c r="Y369" s="2"/>
      <c r="Z369" s="2"/>
      <c r="AA369" s="2"/>
      <c r="AB369" s="35"/>
      <c r="AC369" s="2"/>
      <c r="AD369" s="2"/>
      <c r="AF369" s="35"/>
      <c r="AG369" s="35"/>
      <c r="AH369" s="2"/>
      <c r="AL369" s="35"/>
      <c r="AP369" s="2"/>
    </row>
    <row r="370" spans="1:43">
      <c r="A370" t="s">
        <v>528</v>
      </c>
      <c r="G370">
        <v>8</v>
      </c>
      <c r="O370">
        <v>10</v>
      </c>
      <c r="R370">
        <v>10</v>
      </c>
      <c r="V370" s="2"/>
      <c r="W370" s="2"/>
      <c r="X370" s="2"/>
      <c r="Y370" s="2"/>
      <c r="Z370" s="2"/>
      <c r="AA370" s="2"/>
      <c r="AB370" s="35"/>
      <c r="AC370" s="2"/>
      <c r="AD370" s="2"/>
      <c r="AF370" s="35"/>
      <c r="AG370" s="35"/>
      <c r="AH370" s="2"/>
      <c r="AL370" s="2"/>
      <c r="AP370" s="2"/>
    </row>
    <row r="371" spans="1:43">
      <c r="A371" t="s">
        <v>304</v>
      </c>
      <c r="O371">
        <v>17</v>
      </c>
      <c r="V371" s="2"/>
      <c r="W371" s="2"/>
      <c r="X371" s="2"/>
      <c r="Y371" s="2"/>
      <c r="Z371" s="2"/>
      <c r="AA371" s="2"/>
      <c r="AB371" s="35"/>
      <c r="AC371" s="2">
        <v>0.05</v>
      </c>
      <c r="AD371" s="2"/>
      <c r="AF371" s="35"/>
      <c r="AG371" s="35"/>
      <c r="AH371" s="2"/>
      <c r="AL371" s="35"/>
    </row>
    <row r="372" spans="1:43">
      <c r="A372" s="31" t="s">
        <v>611</v>
      </c>
      <c r="G372">
        <v>10</v>
      </c>
      <c r="H372">
        <v>10</v>
      </c>
      <c r="I372">
        <v>10</v>
      </c>
      <c r="J372">
        <v>10</v>
      </c>
      <c r="K372">
        <v>10</v>
      </c>
      <c r="L372">
        <v>10</v>
      </c>
      <c r="M372">
        <v>10</v>
      </c>
      <c r="V372" s="2"/>
      <c r="W372" s="2"/>
      <c r="X372" s="2"/>
      <c r="Y372" s="2"/>
      <c r="Z372" s="2"/>
      <c r="AA372" s="2"/>
      <c r="AB372" s="35"/>
      <c r="AC372" s="2"/>
      <c r="AD372" s="2"/>
      <c r="AF372" s="35"/>
      <c r="AG372" s="35"/>
      <c r="AH372" s="2"/>
      <c r="AL372" s="2"/>
      <c r="AQ372" s="2"/>
    </row>
    <row r="373" spans="1:43">
      <c r="A373" s="31" t="s">
        <v>513</v>
      </c>
      <c r="G373">
        <v>5</v>
      </c>
      <c r="H373">
        <v>5</v>
      </c>
      <c r="N373">
        <v>15</v>
      </c>
      <c r="O373">
        <v>15</v>
      </c>
      <c r="Q373">
        <v>15</v>
      </c>
      <c r="R373">
        <v>15</v>
      </c>
      <c r="V373" s="2">
        <v>0.02</v>
      </c>
      <c r="W373" s="2"/>
      <c r="X373" s="2"/>
      <c r="Y373" s="2"/>
      <c r="Z373" s="2"/>
      <c r="AA373" s="2"/>
      <c r="AB373" s="35"/>
      <c r="AC373" s="2"/>
      <c r="AD373" s="2"/>
      <c r="AF373" s="2"/>
      <c r="AG373" s="2"/>
      <c r="AH373" s="2">
        <v>0.05</v>
      </c>
      <c r="AL373" s="2"/>
    </row>
    <row r="374" spans="1:43">
      <c r="AB374" s="35"/>
      <c r="AC374" s="2"/>
      <c r="AD374" s="2"/>
      <c r="AF374" s="35"/>
      <c r="AG374" s="35"/>
      <c r="AH374" s="2"/>
      <c r="AL374" s="35"/>
    </row>
    <row r="376" spans="1:43">
      <c r="A376" t="s">
        <v>21</v>
      </c>
      <c r="B376" t="s">
        <v>30</v>
      </c>
      <c r="C376" t="s">
        <v>518</v>
      </c>
      <c r="D376" t="s">
        <v>652</v>
      </c>
      <c r="E376" t="s">
        <v>484</v>
      </c>
      <c r="F376" s="31" t="s">
        <v>511</v>
      </c>
      <c r="G376" t="s">
        <v>3</v>
      </c>
      <c r="H376" t="s">
        <v>4</v>
      </c>
      <c r="I376" t="s">
        <v>5</v>
      </c>
      <c r="J376" t="s">
        <v>42</v>
      </c>
      <c r="K376" t="s">
        <v>208</v>
      </c>
      <c r="L376" t="s">
        <v>209</v>
      </c>
      <c r="M376" t="s">
        <v>210</v>
      </c>
      <c r="N376" t="s">
        <v>10</v>
      </c>
      <c r="O376" t="s">
        <v>9</v>
      </c>
      <c r="P376" t="s">
        <v>479</v>
      </c>
      <c r="Q376" t="s">
        <v>635</v>
      </c>
      <c r="R376" t="s">
        <v>636</v>
      </c>
      <c r="S376" t="s">
        <v>637</v>
      </c>
      <c r="T376" s="35" t="s">
        <v>638</v>
      </c>
      <c r="U376" s="145" t="s">
        <v>639</v>
      </c>
      <c r="V376" t="s">
        <v>12</v>
      </c>
      <c r="W376" t="s">
        <v>152</v>
      </c>
      <c r="X376" t="s">
        <v>345</v>
      </c>
      <c r="Y376" t="s">
        <v>480</v>
      </c>
      <c r="Z376" t="s">
        <v>481</v>
      </c>
      <c r="AA376" t="s">
        <v>122</v>
      </c>
      <c r="AB376" t="s">
        <v>11</v>
      </c>
      <c r="AC376" t="s">
        <v>119</v>
      </c>
      <c r="AD376" t="s">
        <v>118</v>
      </c>
      <c r="AE376" t="s">
        <v>13</v>
      </c>
      <c r="AF376" t="s">
        <v>116</v>
      </c>
      <c r="AG376" t="s">
        <v>289</v>
      </c>
      <c r="AH376" t="s">
        <v>163</v>
      </c>
      <c r="AI376" s="35" t="s">
        <v>457</v>
      </c>
      <c r="AJ376" s="35" t="s">
        <v>458</v>
      </c>
      <c r="AK376" s="145" t="s">
        <v>433</v>
      </c>
      <c r="AL376" t="s">
        <v>339</v>
      </c>
      <c r="AM376" s="145" t="s">
        <v>649</v>
      </c>
    </row>
    <row r="377" spans="1:43">
      <c r="A377" t="s">
        <v>75</v>
      </c>
      <c r="N377">
        <v>15</v>
      </c>
      <c r="O377">
        <v>15</v>
      </c>
      <c r="V377" s="2">
        <v>0.01</v>
      </c>
      <c r="W377" s="2"/>
      <c r="X377" s="2"/>
      <c r="Y377" s="2"/>
      <c r="Z377" s="2"/>
      <c r="AA377" s="2"/>
      <c r="AB377" s="35"/>
      <c r="AC377" s="2"/>
      <c r="AD377" s="2"/>
      <c r="AF377" s="35"/>
      <c r="AG377" s="35"/>
      <c r="AH377" s="2"/>
      <c r="AL377" s="35"/>
    </row>
    <row r="378" spans="1:43" s="192" customFormat="1">
      <c r="A378" s="193" t="s">
        <v>719</v>
      </c>
      <c r="B378" s="193"/>
      <c r="C378" s="193"/>
      <c r="D378" s="193"/>
      <c r="E378" s="193"/>
      <c r="F378" s="193"/>
      <c r="G378" s="193"/>
      <c r="H378" s="193">
        <v>10</v>
      </c>
      <c r="I378" s="193"/>
      <c r="J378" s="193"/>
      <c r="K378" s="193"/>
      <c r="L378" s="193"/>
      <c r="M378" s="193"/>
      <c r="N378" s="193"/>
      <c r="O378" s="193"/>
      <c r="P378" s="193"/>
      <c r="Q378" s="193"/>
      <c r="R378" s="193"/>
      <c r="S378" s="193"/>
      <c r="T378" s="193"/>
      <c r="U378" s="193"/>
      <c r="V378" s="194"/>
      <c r="W378" s="194"/>
      <c r="X378" s="194"/>
      <c r="Y378" s="194"/>
      <c r="Z378" s="194"/>
      <c r="AA378" s="194"/>
      <c r="AB378" s="195"/>
      <c r="AC378" s="194"/>
      <c r="AD378" s="194"/>
      <c r="AE378" s="193"/>
      <c r="AF378" s="195"/>
      <c r="AG378" s="195"/>
      <c r="AH378" s="194"/>
      <c r="AI378" s="193"/>
      <c r="AJ378" s="193"/>
      <c r="AK378" s="193"/>
      <c r="AL378" s="194"/>
      <c r="AM378" s="193"/>
      <c r="AN378" s="194"/>
    </row>
    <row r="379" spans="1:43">
      <c r="A379" t="s">
        <v>301</v>
      </c>
      <c r="G379">
        <v>9</v>
      </c>
      <c r="H379">
        <v>-7</v>
      </c>
      <c r="V379" s="2"/>
      <c r="W379" s="2"/>
      <c r="X379" s="2"/>
      <c r="Y379" s="2"/>
      <c r="Z379" s="2"/>
      <c r="AA379" s="2"/>
      <c r="AB379" s="35"/>
      <c r="AC379" s="2"/>
      <c r="AD379" s="2"/>
      <c r="AF379" s="35"/>
      <c r="AG379" s="35"/>
      <c r="AH379" s="2"/>
      <c r="AL379" s="35"/>
    </row>
    <row r="380" spans="1:43">
      <c r="A380" t="s">
        <v>460</v>
      </c>
      <c r="G380">
        <v>6</v>
      </c>
      <c r="K380">
        <v>6</v>
      </c>
      <c r="N380">
        <v>10</v>
      </c>
      <c r="O380">
        <v>15</v>
      </c>
      <c r="V380" s="2"/>
      <c r="W380" s="2"/>
      <c r="X380" s="2"/>
      <c r="Y380" s="2"/>
      <c r="Z380" s="2"/>
      <c r="AA380" s="2"/>
      <c r="AB380" s="35"/>
      <c r="AC380" s="2"/>
      <c r="AD380" s="2"/>
      <c r="AF380" s="35"/>
      <c r="AG380" s="35"/>
      <c r="AH380" s="2"/>
      <c r="AL380" s="35"/>
    </row>
    <row r="381" spans="1:43" s="200" customFormat="1">
      <c r="A381" s="200" t="s">
        <v>805</v>
      </c>
      <c r="H381" s="200">
        <v>7</v>
      </c>
      <c r="V381" s="201"/>
      <c r="W381" s="201">
        <v>0.02</v>
      </c>
      <c r="X381" s="201"/>
      <c r="Y381" s="201"/>
      <c r="Z381" s="201"/>
      <c r="AA381" s="201"/>
      <c r="AB381" s="203"/>
      <c r="AC381" s="201"/>
      <c r="AD381" s="201"/>
      <c r="AF381" s="201"/>
      <c r="AG381" s="203"/>
      <c r="AH381" s="201"/>
      <c r="AI381" s="203"/>
      <c r="AJ381" s="203"/>
      <c r="AK381" s="203"/>
      <c r="AL381" s="201"/>
      <c r="AM381" s="203"/>
    </row>
    <row r="382" spans="1:43">
      <c r="A382" t="s">
        <v>140</v>
      </c>
      <c r="G382">
        <v>5</v>
      </c>
      <c r="J382">
        <v>5</v>
      </c>
      <c r="V382" s="2"/>
      <c r="W382" s="2"/>
      <c r="X382" s="2"/>
      <c r="Y382" s="2"/>
      <c r="Z382" s="2"/>
      <c r="AA382" s="2"/>
      <c r="AB382" s="35"/>
      <c r="AC382" s="2"/>
      <c r="AD382" s="2"/>
      <c r="AF382" s="35"/>
      <c r="AG382" s="35"/>
      <c r="AH382" s="2"/>
      <c r="AL382" s="35"/>
    </row>
    <row r="383" spans="1:43">
      <c r="A383" t="s">
        <v>693</v>
      </c>
      <c r="N383">
        <v>15</v>
      </c>
      <c r="O383">
        <v>15</v>
      </c>
      <c r="Q383">
        <v>15</v>
      </c>
      <c r="R383">
        <v>15</v>
      </c>
      <c r="S383">
        <v>7</v>
      </c>
      <c r="T383">
        <v>7</v>
      </c>
      <c r="V383" s="2"/>
      <c r="W383" s="2"/>
      <c r="X383" s="2"/>
      <c r="Y383" s="2"/>
      <c r="Z383" s="2"/>
      <c r="AA383" s="2"/>
      <c r="AB383" s="35"/>
      <c r="AC383" s="2"/>
      <c r="AD383" s="2"/>
      <c r="AF383" s="35"/>
      <c r="AG383" s="35"/>
      <c r="AH383" s="2"/>
      <c r="AL383" s="35"/>
    </row>
    <row r="384" spans="1:43">
      <c r="A384" t="s">
        <v>162</v>
      </c>
      <c r="N384">
        <v>10</v>
      </c>
      <c r="V384" s="2"/>
      <c r="W384" s="2"/>
      <c r="X384" s="2"/>
      <c r="Y384" s="2"/>
      <c r="Z384" s="2"/>
      <c r="AA384" s="2"/>
      <c r="AB384" s="35"/>
      <c r="AC384" s="2"/>
      <c r="AD384" s="2"/>
      <c r="AF384" s="35"/>
      <c r="AG384" s="35"/>
      <c r="AH384" s="2"/>
      <c r="AI384" s="35">
        <v>97.65625</v>
      </c>
      <c r="AL384" s="2">
        <v>7.0000000000000007E-2</v>
      </c>
    </row>
    <row r="385" spans="1:41" s="200" customFormat="1">
      <c r="A385" s="202" t="s">
        <v>753</v>
      </c>
      <c r="N385" s="200">
        <v>10</v>
      </c>
      <c r="V385" s="201"/>
      <c r="W385" s="201"/>
      <c r="X385" s="201"/>
      <c r="Y385" s="201"/>
      <c r="Z385" s="201"/>
      <c r="AA385" s="201"/>
      <c r="AB385" s="203"/>
      <c r="AC385" s="201"/>
      <c r="AD385" s="201"/>
      <c r="AF385" s="203"/>
      <c r="AG385" s="203"/>
      <c r="AH385" s="201"/>
      <c r="AI385" s="203">
        <v>97.65625</v>
      </c>
      <c r="AJ385" s="203"/>
      <c r="AK385" s="203"/>
      <c r="AL385" s="201"/>
      <c r="AM385" s="203"/>
    </row>
    <row r="386" spans="1:41" s="200" customFormat="1">
      <c r="A386" s="202" t="s">
        <v>888</v>
      </c>
      <c r="H386" s="200">
        <v>7</v>
      </c>
      <c r="I386" s="200">
        <v>7</v>
      </c>
      <c r="V386" s="201"/>
      <c r="W386" s="201"/>
      <c r="X386" s="201"/>
      <c r="Y386" s="201"/>
      <c r="Z386" s="201"/>
      <c r="AA386" s="201">
        <v>0.04</v>
      </c>
      <c r="AB386" s="203"/>
      <c r="AC386" s="201">
        <v>0.04</v>
      </c>
      <c r="AD386" s="201"/>
      <c r="AE386" s="200">
        <v>6</v>
      </c>
      <c r="AF386" s="203"/>
      <c r="AG386" s="203"/>
      <c r="AH386" s="201"/>
      <c r="AI386" s="203"/>
      <c r="AJ386" s="203"/>
      <c r="AK386" s="203"/>
      <c r="AL386" s="201"/>
      <c r="AM386" s="203"/>
    </row>
    <row r="387" spans="1:41">
      <c r="A387" t="s">
        <v>135</v>
      </c>
      <c r="V387" s="2"/>
      <c r="W387" s="2"/>
      <c r="X387" s="2"/>
      <c r="Y387" s="2"/>
      <c r="Z387" s="2"/>
      <c r="AA387" s="2"/>
      <c r="AB387" s="35">
        <v>50</v>
      </c>
      <c r="AC387" s="2"/>
      <c r="AD387" s="2"/>
      <c r="AE387">
        <v>5</v>
      </c>
      <c r="AF387" s="35"/>
      <c r="AG387" s="35"/>
      <c r="AH387" s="2"/>
      <c r="AL387" s="35"/>
    </row>
    <row r="388" spans="1:41">
      <c r="A388" t="s">
        <v>694</v>
      </c>
      <c r="G388">
        <v>5</v>
      </c>
      <c r="H388">
        <v>5</v>
      </c>
      <c r="N388">
        <v>10</v>
      </c>
      <c r="O388">
        <v>20</v>
      </c>
      <c r="V388" s="2">
        <v>0.02</v>
      </c>
      <c r="W388" s="2"/>
      <c r="X388" s="2"/>
      <c r="Y388" s="2"/>
      <c r="Z388" s="2"/>
      <c r="AA388" s="2"/>
      <c r="AB388" s="35"/>
      <c r="AC388" s="2"/>
      <c r="AD388" s="2"/>
      <c r="AF388" s="35"/>
      <c r="AG388" s="35"/>
      <c r="AH388" s="2"/>
      <c r="AL388" s="35"/>
    </row>
    <row r="389" spans="1:41">
      <c r="A389" t="s">
        <v>482</v>
      </c>
      <c r="N389">
        <v>15</v>
      </c>
      <c r="V389" s="2"/>
      <c r="W389" s="2"/>
      <c r="X389" s="2"/>
      <c r="Y389" s="2"/>
      <c r="Z389" s="2"/>
      <c r="AA389" s="2"/>
      <c r="AB389" s="35">
        <v>71</v>
      </c>
      <c r="AC389" s="2"/>
      <c r="AD389" s="2"/>
      <c r="AF389" s="35"/>
      <c r="AG389" s="35"/>
      <c r="AH389" s="2"/>
      <c r="AL389" s="35"/>
    </row>
    <row r="390" spans="1:41" s="200" customFormat="1">
      <c r="A390" s="200" t="s">
        <v>905</v>
      </c>
      <c r="G390" s="200">
        <v>10</v>
      </c>
      <c r="H390" s="200">
        <v>10</v>
      </c>
      <c r="N390" s="200">
        <v>14</v>
      </c>
      <c r="V390" s="201">
        <v>0.03</v>
      </c>
      <c r="W390" s="201"/>
      <c r="X390" s="201"/>
      <c r="Y390" s="201"/>
      <c r="Z390" s="201"/>
      <c r="AA390" s="201"/>
      <c r="AC390" s="201"/>
      <c r="AD390" s="201"/>
      <c r="AE390" s="200">
        <v>5</v>
      </c>
      <c r="AH390" s="201"/>
    </row>
    <row r="391" spans="1:41">
      <c r="A391" s="31" t="s">
        <v>581</v>
      </c>
      <c r="G391">
        <v>13</v>
      </c>
      <c r="N391">
        <v>5</v>
      </c>
      <c r="V391" s="2">
        <v>0.01</v>
      </c>
      <c r="W391" s="2"/>
      <c r="X391" s="2"/>
      <c r="Y391" s="2"/>
      <c r="Z391" s="2"/>
      <c r="AA391" s="2"/>
      <c r="AB391" s="35"/>
      <c r="AC391" s="2"/>
      <c r="AD391" s="2"/>
      <c r="AF391" s="2"/>
      <c r="AG391" s="2"/>
      <c r="AH391" s="2"/>
      <c r="AL391" s="35"/>
      <c r="AN391" s="2"/>
      <c r="AO391" s="35"/>
    </row>
    <row r="392" spans="1:41">
      <c r="A392" s="31" t="s">
        <v>644</v>
      </c>
      <c r="N392">
        <v>20</v>
      </c>
      <c r="O392">
        <v>-5</v>
      </c>
      <c r="V392" s="2"/>
      <c r="W392" s="2"/>
      <c r="X392" s="2"/>
      <c r="Y392" s="2"/>
      <c r="Z392" s="2"/>
      <c r="AA392" s="2"/>
      <c r="AB392" s="35"/>
      <c r="AC392" s="2"/>
      <c r="AD392" s="2"/>
      <c r="AE392">
        <v>3</v>
      </c>
      <c r="AF392" s="35"/>
      <c r="AG392" s="35"/>
      <c r="AH392" s="2"/>
      <c r="AI392" s="2"/>
      <c r="AJ392" s="2"/>
      <c r="AK392" s="2"/>
      <c r="AL392" s="2"/>
      <c r="AM392" s="2"/>
    </row>
    <row r="393" spans="1:41">
      <c r="A393" t="s">
        <v>392</v>
      </c>
      <c r="O393">
        <v>8</v>
      </c>
      <c r="V393" s="2"/>
      <c r="W393" s="2"/>
      <c r="X393" s="2"/>
      <c r="Y393" s="2"/>
      <c r="Z393" s="2"/>
      <c r="AA393" s="2">
        <v>0.05</v>
      </c>
      <c r="AB393" s="35"/>
      <c r="AC393" s="2"/>
      <c r="AD393" s="2"/>
      <c r="AE393">
        <v>5</v>
      </c>
      <c r="AF393" s="35"/>
      <c r="AG393" s="35"/>
      <c r="AH393" s="2"/>
      <c r="AL393" s="35"/>
    </row>
    <row r="394" spans="1:41">
      <c r="A394" t="s">
        <v>348</v>
      </c>
      <c r="G394">
        <v>9</v>
      </c>
      <c r="O394">
        <v>25</v>
      </c>
      <c r="V394" s="2">
        <v>-0.05</v>
      </c>
      <c r="W394" s="2"/>
      <c r="X394" s="2"/>
      <c r="Y394" s="2"/>
      <c r="Z394" s="2"/>
      <c r="AA394" s="2"/>
      <c r="AB394" s="35"/>
      <c r="AC394" s="2"/>
      <c r="AD394" s="2"/>
      <c r="AF394" s="35"/>
      <c r="AG394" s="35"/>
      <c r="AH394" s="2"/>
      <c r="AL394" s="35"/>
    </row>
    <row r="395" spans="1:41">
      <c r="A395" s="31" t="s">
        <v>642</v>
      </c>
      <c r="G395">
        <v>10</v>
      </c>
      <c r="N395">
        <v>5</v>
      </c>
      <c r="O395">
        <v>28</v>
      </c>
      <c r="V395" s="2">
        <v>-0.05</v>
      </c>
      <c r="W395" s="2"/>
      <c r="X395" s="2"/>
      <c r="Y395" s="2"/>
      <c r="Z395" s="2"/>
      <c r="AA395" s="2"/>
      <c r="AB395" s="35"/>
      <c r="AC395" s="2"/>
      <c r="AD395" s="2"/>
      <c r="AF395" s="35"/>
      <c r="AG395" s="35"/>
      <c r="AH395" s="2"/>
      <c r="AI395" s="2"/>
      <c r="AJ395" s="2"/>
      <c r="AK395" s="2"/>
      <c r="AL395" s="2"/>
      <c r="AM395" s="2"/>
    </row>
    <row r="396" spans="1:41">
      <c r="A396" t="s">
        <v>485</v>
      </c>
      <c r="V396" s="2"/>
      <c r="W396" s="2"/>
      <c r="X396" s="2"/>
      <c r="Y396" s="2"/>
      <c r="Z396" s="2"/>
      <c r="AA396" s="2"/>
      <c r="AB396" s="35">
        <v>91</v>
      </c>
      <c r="AC396" s="2"/>
      <c r="AD396" s="2"/>
      <c r="AF396" s="2"/>
      <c r="AG396" s="2"/>
      <c r="AH396" s="2"/>
      <c r="AL396" s="2"/>
    </row>
    <row r="397" spans="1:41">
      <c r="A397" s="31" t="s">
        <v>701</v>
      </c>
      <c r="N397">
        <v>10</v>
      </c>
      <c r="Q397">
        <v>10</v>
      </c>
      <c r="V397" s="2"/>
      <c r="W397" s="2"/>
      <c r="X397" s="2"/>
      <c r="Y397" s="2"/>
      <c r="Z397" s="2"/>
      <c r="AA397" s="2">
        <v>7.0000000000000007E-2</v>
      </c>
      <c r="AB397" s="35"/>
      <c r="AC397" s="2"/>
      <c r="AD397" s="2"/>
      <c r="AE397">
        <v>4</v>
      </c>
      <c r="AF397" s="2"/>
      <c r="AG397" s="2"/>
      <c r="AH397" s="2"/>
      <c r="AL397" s="2"/>
    </row>
    <row r="398" spans="1:41" s="200" customFormat="1">
      <c r="A398" s="202" t="s">
        <v>881</v>
      </c>
      <c r="G398" s="200">
        <v>15</v>
      </c>
      <c r="O398" s="200">
        <v>15</v>
      </c>
      <c r="V398" s="201">
        <v>0.05</v>
      </c>
      <c r="W398" s="201">
        <v>0.02</v>
      </c>
      <c r="X398" s="201"/>
      <c r="Y398" s="201"/>
      <c r="Z398" s="201"/>
      <c r="AA398" s="201"/>
      <c r="AB398" s="203">
        <v>91</v>
      </c>
      <c r="AC398" s="201"/>
      <c r="AD398" s="201"/>
      <c r="AF398" s="201"/>
      <c r="AG398" s="201"/>
      <c r="AH398" s="201"/>
      <c r="AI398" s="203"/>
      <c r="AJ398" s="203"/>
      <c r="AK398" s="203"/>
      <c r="AL398" s="201"/>
      <c r="AM398" s="203"/>
    </row>
    <row r="399" spans="1:41">
      <c r="A399" t="s">
        <v>647</v>
      </c>
      <c r="J399">
        <v>5</v>
      </c>
      <c r="M399">
        <v>5</v>
      </c>
      <c r="O399">
        <v>0</v>
      </c>
      <c r="V399" s="2"/>
      <c r="W399" s="2"/>
      <c r="X399" s="2"/>
      <c r="Y399" s="2"/>
      <c r="Z399" s="2"/>
      <c r="AA399" s="2">
        <v>0.06</v>
      </c>
      <c r="AB399" s="35"/>
      <c r="AC399" s="2"/>
      <c r="AD399" s="2"/>
      <c r="AF399" s="2"/>
      <c r="AG399" s="2"/>
      <c r="AH399" s="2"/>
      <c r="AL399" s="2"/>
    </row>
    <row r="400" spans="1:41">
      <c r="A400" t="s">
        <v>796</v>
      </c>
      <c r="J400">
        <v>10</v>
      </c>
      <c r="O400">
        <v>-5</v>
      </c>
      <c r="V400" s="2"/>
      <c r="W400" s="2"/>
      <c r="X400" s="2"/>
      <c r="Y400" s="2"/>
      <c r="Z400" s="2"/>
      <c r="AA400" s="2"/>
      <c r="AB400" s="35"/>
      <c r="AC400" s="2"/>
      <c r="AD400" s="2"/>
      <c r="AF400" s="35"/>
      <c r="AG400" s="35"/>
      <c r="AH400" s="2"/>
      <c r="AL400" s="35"/>
    </row>
    <row r="401" spans="1:41">
      <c r="A401" s="31" t="s">
        <v>626</v>
      </c>
      <c r="O401">
        <v>18</v>
      </c>
      <c r="V401" s="2"/>
      <c r="W401" s="2"/>
      <c r="X401" s="2"/>
      <c r="Y401" s="2"/>
      <c r="Z401" s="2"/>
      <c r="AA401" s="2"/>
      <c r="AB401" s="35">
        <v>40</v>
      </c>
      <c r="AC401" s="2"/>
      <c r="AD401" s="2"/>
      <c r="AE401">
        <v>6</v>
      </c>
      <c r="AF401" s="2"/>
      <c r="AG401" s="2"/>
      <c r="AH401" s="2"/>
      <c r="AL401" s="35"/>
      <c r="AN401" s="2"/>
      <c r="AO401" s="35"/>
    </row>
    <row r="402" spans="1:41">
      <c r="A402" t="s">
        <v>160</v>
      </c>
      <c r="V402" s="2">
        <v>0.02</v>
      </c>
      <c r="W402" s="2"/>
      <c r="X402" s="2"/>
      <c r="Y402" s="2"/>
      <c r="Z402" s="2"/>
      <c r="AA402" s="2"/>
      <c r="AB402" s="35">
        <v>71</v>
      </c>
      <c r="AC402" s="2"/>
      <c r="AD402" s="2"/>
      <c r="AF402" s="35"/>
      <c r="AG402" s="35"/>
      <c r="AH402" s="2"/>
      <c r="AL402" s="35"/>
    </row>
    <row r="403" spans="1:41">
      <c r="A403" t="s">
        <v>455</v>
      </c>
      <c r="G403">
        <v>8</v>
      </c>
      <c r="H403">
        <v>8</v>
      </c>
      <c r="J403">
        <v>-5</v>
      </c>
      <c r="K403">
        <v>8</v>
      </c>
      <c r="V403" s="2"/>
      <c r="W403" s="2"/>
      <c r="X403" s="2"/>
      <c r="Y403" s="2"/>
      <c r="Z403" s="2"/>
      <c r="AA403" s="2"/>
      <c r="AB403" s="35"/>
      <c r="AC403" s="2"/>
      <c r="AD403" s="2"/>
      <c r="AF403" s="35"/>
      <c r="AG403" s="35"/>
      <c r="AH403" s="2"/>
      <c r="AL403" s="35"/>
    </row>
    <row r="404" spans="1:41">
      <c r="A404" t="s">
        <v>349</v>
      </c>
      <c r="V404" s="2"/>
      <c r="W404" s="2">
        <v>0.02</v>
      </c>
      <c r="X404" s="2">
        <v>0.01</v>
      </c>
      <c r="Y404" s="2"/>
      <c r="Z404" s="2"/>
      <c r="AA404" s="2"/>
      <c r="AB404" s="35"/>
      <c r="AC404" s="2"/>
      <c r="AD404" s="2"/>
      <c r="AF404" s="35"/>
      <c r="AG404" s="35"/>
      <c r="AH404" s="2"/>
      <c r="AL404" s="35"/>
    </row>
    <row r="405" spans="1:41">
      <c r="A405" s="31" t="s">
        <v>643</v>
      </c>
      <c r="N405">
        <v>2</v>
      </c>
      <c r="V405" s="2"/>
      <c r="W405" s="2">
        <v>0.02</v>
      </c>
      <c r="X405" s="2">
        <v>0.02</v>
      </c>
      <c r="Y405" s="2"/>
      <c r="Z405" s="2"/>
      <c r="AA405" s="2"/>
      <c r="AB405" s="35"/>
      <c r="AC405" s="2"/>
      <c r="AD405" s="2"/>
      <c r="AF405" s="35"/>
      <c r="AG405" s="35"/>
      <c r="AH405" s="2"/>
      <c r="AI405" s="2"/>
      <c r="AJ405" s="2"/>
      <c r="AK405" s="2"/>
      <c r="AL405" s="2"/>
      <c r="AM405" s="2"/>
    </row>
    <row r="408" spans="1:41">
      <c r="A408" t="s">
        <v>22</v>
      </c>
      <c r="B408" t="s">
        <v>30</v>
      </c>
      <c r="C408" t="s">
        <v>518</v>
      </c>
      <c r="D408" t="s">
        <v>652</v>
      </c>
      <c r="E408" t="s">
        <v>484</v>
      </c>
      <c r="F408" s="31" t="s">
        <v>511</v>
      </c>
      <c r="G408" t="s">
        <v>3</v>
      </c>
      <c r="H408" t="s">
        <v>4</v>
      </c>
      <c r="I408" t="s">
        <v>5</v>
      </c>
      <c r="J408" t="s">
        <v>42</v>
      </c>
      <c r="K408" t="s">
        <v>208</v>
      </c>
      <c r="L408" t="s">
        <v>209</v>
      </c>
      <c r="M408" t="s">
        <v>210</v>
      </c>
      <c r="N408" t="s">
        <v>10</v>
      </c>
      <c r="O408" t="s">
        <v>9</v>
      </c>
      <c r="P408" t="s">
        <v>479</v>
      </c>
      <c r="Q408" t="s">
        <v>635</v>
      </c>
      <c r="R408" t="s">
        <v>636</v>
      </c>
      <c r="S408" t="s">
        <v>637</v>
      </c>
      <c r="T408" s="35" t="s">
        <v>638</v>
      </c>
      <c r="U408" s="145" t="s">
        <v>639</v>
      </c>
      <c r="V408" t="s">
        <v>12</v>
      </c>
      <c r="W408" t="s">
        <v>152</v>
      </c>
      <c r="X408" t="s">
        <v>345</v>
      </c>
      <c r="Y408" t="s">
        <v>480</v>
      </c>
      <c r="Z408" t="s">
        <v>481</v>
      </c>
      <c r="AA408" t="s">
        <v>122</v>
      </c>
      <c r="AB408" t="s">
        <v>11</v>
      </c>
      <c r="AC408" t="s">
        <v>119</v>
      </c>
      <c r="AD408" t="s">
        <v>118</v>
      </c>
      <c r="AE408" t="s">
        <v>13</v>
      </c>
      <c r="AF408" t="s">
        <v>116</v>
      </c>
      <c r="AG408" t="s">
        <v>289</v>
      </c>
      <c r="AH408" t="s">
        <v>163</v>
      </c>
      <c r="AI408" s="35" t="s">
        <v>457</v>
      </c>
      <c r="AJ408" s="35" t="s">
        <v>458</v>
      </c>
      <c r="AK408" s="145" t="s">
        <v>433</v>
      </c>
      <c r="AL408" t="s">
        <v>339</v>
      </c>
      <c r="AM408" s="145" t="s">
        <v>649</v>
      </c>
    </row>
    <row r="409" spans="1:41" s="196" customFormat="1">
      <c r="A409" s="197" t="s">
        <v>704</v>
      </c>
      <c r="B409" s="197"/>
      <c r="C409" s="197"/>
      <c r="D409" s="197"/>
      <c r="E409" s="197"/>
      <c r="F409" s="197"/>
      <c r="G409" s="197">
        <v>32</v>
      </c>
      <c r="H409" s="197">
        <v>12</v>
      </c>
      <c r="I409" s="197">
        <v>15</v>
      </c>
      <c r="J409" s="197">
        <v>42</v>
      </c>
      <c r="K409" s="197">
        <v>28</v>
      </c>
      <c r="L409" s="197">
        <v>16</v>
      </c>
      <c r="M409" s="197">
        <v>16</v>
      </c>
      <c r="N409" s="197">
        <v>54</v>
      </c>
      <c r="O409" s="197"/>
      <c r="P409" s="197"/>
      <c r="Q409" s="197">
        <v>34</v>
      </c>
      <c r="R409" s="197"/>
      <c r="S409" s="197"/>
      <c r="T409" s="197"/>
      <c r="U409" s="197"/>
      <c r="V409" s="198"/>
      <c r="W409" s="198"/>
      <c r="X409" s="198"/>
      <c r="Y409" s="198"/>
      <c r="Z409" s="198"/>
      <c r="AA409" s="198"/>
      <c r="AB409" s="199">
        <v>61</v>
      </c>
      <c r="AC409" s="198"/>
      <c r="AD409" s="198"/>
      <c r="AE409" s="199">
        <v>8</v>
      </c>
      <c r="AF409" s="199"/>
      <c r="AG409" s="199"/>
      <c r="AH409" s="198"/>
      <c r="AI409" s="197"/>
      <c r="AJ409" s="197"/>
      <c r="AK409" s="197"/>
      <c r="AL409" s="198"/>
      <c r="AM409" s="197"/>
      <c r="AN409" s="198"/>
    </row>
    <row r="410" spans="1:41" s="196" customFormat="1">
      <c r="A410" s="197" t="s">
        <v>705</v>
      </c>
      <c r="B410" s="197"/>
      <c r="C410" s="197"/>
      <c r="D410" s="197"/>
      <c r="E410" s="197"/>
      <c r="F410" s="197"/>
      <c r="G410" s="197">
        <v>44</v>
      </c>
      <c r="H410" s="197">
        <v>12</v>
      </c>
      <c r="I410" s="197">
        <v>15</v>
      </c>
      <c r="J410" s="197">
        <v>30</v>
      </c>
      <c r="K410" s="197">
        <v>28</v>
      </c>
      <c r="L410" s="197">
        <v>16</v>
      </c>
      <c r="M410" s="197">
        <v>16</v>
      </c>
      <c r="N410" s="197">
        <v>34</v>
      </c>
      <c r="O410" s="197">
        <v>20</v>
      </c>
      <c r="P410" s="197"/>
      <c r="Q410" s="197">
        <v>34</v>
      </c>
      <c r="R410" s="197"/>
      <c r="S410" s="197"/>
      <c r="T410" s="197"/>
      <c r="U410" s="197"/>
      <c r="V410" s="198"/>
      <c r="W410" s="198"/>
      <c r="X410" s="198"/>
      <c r="Y410" s="198"/>
      <c r="Z410" s="198"/>
      <c r="AA410" s="198"/>
      <c r="AB410" s="199">
        <v>61</v>
      </c>
      <c r="AC410" s="198"/>
      <c r="AD410" s="198"/>
      <c r="AE410" s="199">
        <v>8</v>
      </c>
      <c r="AF410" s="199"/>
      <c r="AG410" s="199"/>
      <c r="AH410" s="198"/>
      <c r="AI410" s="197"/>
      <c r="AJ410" s="197"/>
      <c r="AK410" s="197"/>
      <c r="AL410" s="198"/>
      <c r="AM410" s="197"/>
      <c r="AN410" s="198"/>
    </row>
    <row r="411" spans="1:41" s="196" customFormat="1">
      <c r="A411" s="197" t="s">
        <v>706</v>
      </c>
      <c r="B411" s="197"/>
      <c r="C411" s="197"/>
      <c r="D411" s="197"/>
      <c r="E411" s="197"/>
      <c r="F411" s="197"/>
      <c r="G411" s="197">
        <v>32</v>
      </c>
      <c r="H411" s="197">
        <v>10</v>
      </c>
      <c r="I411" s="197">
        <v>15</v>
      </c>
      <c r="J411" s="197">
        <v>40</v>
      </c>
      <c r="K411" s="197">
        <v>28</v>
      </c>
      <c r="L411" s="197">
        <v>16</v>
      </c>
      <c r="M411" s="197">
        <v>16</v>
      </c>
      <c r="N411" s="197">
        <v>39</v>
      </c>
      <c r="O411" s="197"/>
      <c r="P411" s="197"/>
      <c r="Q411" s="197">
        <v>24</v>
      </c>
      <c r="R411" s="197"/>
      <c r="S411" s="197"/>
      <c r="T411" s="197"/>
      <c r="U411" s="197"/>
      <c r="V411" s="198"/>
      <c r="W411" s="198"/>
      <c r="X411" s="198"/>
      <c r="Y411" s="198"/>
      <c r="Z411" s="198"/>
      <c r="AA411" s="198"/>
      <c r="AB411" s="199">
        <v>61</v>
      </c>
      <c r="AC411" s="198"/>
      <c r="AD411" s="198"/>
      <c r="AE411" s="199">
        <v>7</v>
      </c>
      <c r="AF411" s="199"/>
      <c r="AG411" s="199"/>
      <c r="AH411" s="198"/>
      <c r="AI411" s="197"/>
      <c r="AJ411" s="197"/>
      <c r="AK411" s="197"/>
      <c r="AL411" s="198"/>
      <c r="AM411" s="197"/>
      <c r="AN411" s="198"/>
    </row>
    <row r="412" spans="1:41" s="193" customFormat="1">
      <c r="A412" s="197" t="s">
        <v>707</v>
      </c>
      <c r="B412" s="197"/>
      <c r="C412" s="197"/>
      <c r="D412" s="197"/>
      <c r="E412" s="197"/>
      <c r="F412" s="197"/>
      <c r="G412" s="197">
        <v>42</v>
      </c>
      <c r="H412" s="197">
        <v>10</v>
      </c>
      <c r="I412" s="197">
        <v>15</v>
      </c>
      <c r="J412" s="197">
        <v>30</v>
      </c>
      <c r="K412" s="197">
        <v>28</v>
      </c>
      <c r="L412" s="197">
        <v>16</v>
      </c>
      <c r="M412" s="197">
        <v>16</v>
      </c>
      <c r="N412" s="197">
        <v>24</v>
      </c>
      <c r="O412" s="197">
        <v>15</v>
      </c>
      <c r="P412" s="197"/>
      <c r="Q412" s="197">
        <v>24</v>
      </c>
      <c r="R412" s="197"/>
      <c r="S412" s="197"/>
      <c r="T412" s="197"/>
      <c r="U412" s="197"/>
      <c r="V412" s="198"/>
      <c r="W412" s="198"/>
      <c r="X412" s="198"/>
      <c r="Y412" s="198"/>
      <c r="Z412" s="198"/>
      <c r="AA412" s="198"/>
      <c r="AB412" s="199">
        <v>61</v>
      </c>
      <c r="AC412" s="198"/>
      <c r="AD412" s="198"/>
      <c r="AE412" s="199">
        <v>7</v>
      </c>
      <c r="AF412" s="199"/>
      <c r="AG412" s="199"/>
      <c r="AH412" s="198"/>
      <c r="AI412" s="197"/>
      <c r="AJ412" s="197"/>
      <c r="AK412" s="197"/>
      <c r="AL412" s="198"/>
      <c r="AM412" s="197"/>
      <c r="AN412" s="198"/>
    </row>
    <row r="413" spans="1:41">
      <c r="A413" s="31" t="s">
        <v>541</v>
      </c>
      <c r="G413">
        <v>20</v>
      </c>
      <c r="I413">
        <v>8</v>
      </c>
      <c r="J413">
        <v>13</v>
      </c>
      <c r="K413">
        <v>20</v>
      </c>
      <c r="L413">
        <v>11</v>
      </c>
      <c r="M413">
        <v>6</v>
      </c>
      <c r="N413">
        <v>15</v>
      </c>
      <c r="Q413">
        <v>15</v>
      </c>
      <c r="V413" s="2"/>
      <c r="W413" s="2"/>
      <c r="X413" s="2"/>
      <c r="Y413" s="2"/>
      <c r="Z413" s="2"/>
      <c r="AA413" s="2">
        <v>0.03</v>
      </c>
      <c r="AB413" s="35">
        <v>61</v>
      </c>
      <c r="AC413" s="2"/>
      <c r="AD413" s="2"/>
      <c r="AE413" s="35"/>
      <c r="AF413" s="35"/>
      <c r="AG413" s="35"/>
      <c r="AH413" s="2"/>
      <c r="AL413" s="2"/>
    </row>
    <row r="414" spans="1:41">
      <c r="A414" s="31" t="s">
        <v>569</v>
      </c>
      <c r="G414">
        <v>32</v>
      </c>
      <c r="I414">
        <v>14</v>
      </c>
      <c r="J414">
        <v>21</v>
      </c>
      <c r="K414">
        <v>32</v>
      </c>
      <c r="L414">
        <v>17</v>
      </c>
      <c r="M414">
        <v>10</v>
      </c>
      <c r="N414">
        <v>15</v>
      </c>
      <c r="Q414">
        <v>15</v>
      </c>
      <c r="V414" s="2"/>
      <c r="W414" s="2"/>
      <c r="X414" s="2"/>
      <c r="Y414" s="2"/>
      <c r="Z414" s="2"/>
      <c r="AA414" s="2">
        <v>0.03</v>
      </c>
      <c r="AB414" s="35">
        <v>61</v>
      </c>
      <c r="AC414" s="2"/>
      <c r="AD414" s="2"/>
      <c r="AE414" s="35"/>
      <c r="AF414" s="35"/>
      <c r="AG414" s="35"/>
      <c r="AH414" s="2"/>
      <c r="AL414" s="2"/>
    </row>
    <row r="415" spans="1:41" s="200" customFormat="1">
      <c r="A415" s="202" t="s">
        <v>789</v>
      </c>
      <c r="G415" s="200">
        <v>37</v>
      </c>
      <c r="I415" s="200">
        <v>19</v>
      </c>
      <c r="J415" s="200">
        <v>26</v>
      </c>
      <c r="K415" s="200">
        <v>37</v>
      </c>
      <c r="L415" s="200">
        <v>22</v>
      </c>
      <c r="M415" s="200">
        <v>15</v>
      </c>
      <c r="N415" s="200">
        <v>46</v>
      </c>
      <c r="Q415" s="200">
        <v>25</v>
      </c>
      <c r="V415" s="201"/>
      <c r="W415" s="201"/>
      <c r="X415" s="201"/>
      <c r="Y415" s="201"/>
      <c r="Z415" s="201"/>
      <c r="AA415" s="201">
        <v>0.04</v>
      </c>
      <c r="AB415" s="203">
        <v>61</v>
      </c>
      <c r="AC415" s="201"/>
      <c r="AD415" s="201"/>
      <c r="AE415" s="203">
        <v>3</v>
      </c>
      <c r="AF415" s="203"/>
      <c r="AG415" s="203"/>
      <c r="AH415" s="201"/>
      <c r="AI415" s="203"/>
      <c r="AJ415" s="203"/>
      <c r="AK415" s="203"/>
      <c r="AL415" s="201"/>
      <c r="AM415" s="203"/>
    </row>
    <row r="416" spans="1:41" s="200" customFormat="1">
      <c r="A416" s="202" t="s">
        <v>790</v>
      </c>
      <c r="G416" s="200">
        <v>42</v>
      </c>
      <c r="I416" s="200">
        <v>24</v>
      </c>
      <c r="J416" s="200">
        <v>31</v>
      </c>
      <c r="K416" s="200">
        <v>42</v>
      </c>
      <c r="L416" s="200">
        <v>27</v>
      </c>
      <c r="M416" s="200">
        <v>20</v>
      </c>
      <c r="N416" s="200">
        <v>56</v>
      </c>
      <c r="Q416" s="200">
        <v>35</v>
      </c>
      <c r="V416" s="201"/>
      <c r="W416" s="201"/>
      <c r="X416" s="201"/>
      <c r="Y416" s="201"/>
      <c r="Z416" s="201"/>
      <c r="AA416" s="201">
        <v>0.05</v>
      </c>
      <c r="AB416" s="203">
        <v>61</v>
      </c>
      <c r="AC416" s="201"/>
      <c r="AD416" s="201"/>
      <c r="AE416" s="203">
        <v>6</v>
      </c>
      <c r="AF416" s="203"/>
      <c r="AG416" s="203"/>
      <c r="AH416" s="201"/>
      <c r="AI416" s="203"/>
      <c r="AJ416" s="203"/>
      <c r="AK416" s="203"/>
      <c r="AL416" s="201"/>
      <c r="AM416" s="203"/>
    </row>
    <row r="417" spans="1:39" s="200" customFormat="1">
      <c r="A417" s="202" t="s">
        <v>721</v>
      </c>
      <c r="G417" s="200">
        <v>33</v>
      </c>
      <c r="H417" s="200">
        <v>10</v>
      </c>
      <c r="I417" s="200">
        <v>16</v>
      </c>
      <c r="J417" s="200">
        <v>32</v>
      </c>
      <c r="K417" s="200">
        <v>29</v>
      </c>
      <c r="L417" s="200">
        <v>15</v>
      </c>
      <c r="M417" s="200">
        <v>10</v>
      </c>
      <c r="N417" s="200">
        <v>25</v>
      </c>
      <c r="O417" s="200">
        <v>40</v>
      </c>
      <c r="R417" s="200">
        <v>15</v>
      </c>
      <c r="V417" s="201"/>
      <c r="W417" s="201">
        <v>0.04</v>
      </c>
      <c r="X417" s="201"/>
      <c r="Y417" s="201"/>
      <c r="Z417" s="201"/>
      <c r="AA417" s="201"/>
      <c r="AB417" s="200">
        <v>60</v>
      </c>
      <c r="AC417" s="201"/>
      <c r="AD417" s="201"/>
      <c r="AE417" s="200">
        <v>4</v>
      </c>
      <c r="AH417" s="201"/>
      <c r="AL417" s="201"/>
    </row>
    <row r="418" spans="1:39" s="200" customFormat="1">
      <c r="A418" s="202" t="s">
        <v>722</v>
      </c>
      <c r="G418" s="200">
        <v>33</v>
      </c>
      <c r="H418" s="200">
        <v>10</v>
      </c>
      <c r="I418" s="200">
        <v>16</v>
      </c>
      <c r="J418" s="200">
        <v>32</v>
      </c>
      <c r="K418" s="200">
        <v>29</v>
      </c>
      <c r="L418" s="200">
        <v>15</v>
      </c>
      <c r="M418" s="200">
        <v>10</v>
      </c>
      <c r="N418" s="200">
        <v>25</v>
      </c>
      <c r="O418" s="200">
        <v>40</v>
      </c>
      <c r="R418" s="200">
        <v>15</v>
      </c>
      <c r="V418" s="201"/>
      <c r="W418" s="201"/>
      <c r="X418" s="201"/>
      <c r="Y418" s="201"/>
      <c r="Z418" s="201"/>
      <c r="AA418" s="201"/>
      <c r="AB418" s="200">
        <v>60</v>
      </c>
      <c r="AC418" s="201"/>
      <c r="AD418" s="201"/>
      <c r="AE418" s="200">
        <v>11</v>
      </c>
      <c r="AH418" s="201"/>
      <c r="AL418" s="201"/>
    </row>
    <row r="419" spans="1:39" s="200" customFormat="1">
      <c r="A419" s="202" t="s">
        <v>723</v>
      </c>
      <c r="G419" s="200">
        <v>33</v>
      </c>
      <c r="H419" s="200">
        <v>10</v>
      </c>
      <c r="I419" s="200">
        <v>16</v>
      </c>
      <c r="J419" s="200">
        <v>32</v>
      </c>
      <c r="K419" s="200">
        <v>29</v>
      </c>
      <c r="L419" s="200">
        <v>15</v>
      </c>
      <c r="M419" s="200">
        <v>10</v>
      </c>
      <c r="N419" s="200">
        <v>25</v>
      </c>
      <c r="O419" s="200">
        <v>40</v>
      </c>
      <c r="R419" s="200">
        <v>15</v>
      </c>
      <c r="V419" s="201"/>
      <c r="W419" s="201"/>
      <c r="X419" s="201"/>
      <c r="Y419" s="201"/>
      <c r="Z419" s="201"/>
      <c r="AA419" s="201"/>
      <c r="AB419" s="200">
        <v>60</v>
      </c>
      <c r="AC419" s="201">
        <v>0.05</v>
      </c>
      <c r="AD419" s="201"/>
      <c r="AE419" s="200">
        <v>4</v>
      </c>
      <c r="AH419" s="201"/>
      <c r="AL419" s="201"/>
    </row>
    <row r="420" spans="1:39" s="200" customFormat="1">
      <c r="A420" s="202" t="s">
        <v>724</v>
      </c>
      <c r="G420" s="200">
        <v>33</v>
      </c>
      <c r="H420" s="200">
        <v>10</v>
      </c>
      <c r="I420" s="200">
        <v>16</v>
      </c>
      <c r="J420" s="200">
        <v>32</v>
      </c>
      <c r="K420" s="200">
        <v>29</v>
      </c>
      <c r="L420" s="200">
        <v>15</v>
      </c>
      <c r="M420" s="200">
        <v>10</v>
      </c>
      <c r="N420" s="200">
        <v>25</v>
      </c>
      <c r="O420" s="200">
        <v>40</v>
      </c>
      <c r="R420" s="200">
        <v>15</v>
      </c>
      <c r="V420" s="201"/>
      <c r="W420" s="201"/>
      <c r="X420" s="201"/>
      <c r="Y420" s="201"/>
      <c r="Z420" s="201"/>
      <c r="AA420" s="201"/>
      <c r="AB420" s="200">
        <v>60</v>
      </c>
      <c r="AC420" s="201"/>
      <c r="AD420" s="201">
        <v>0.05</v>
      </c>
      <c r="AE420" s="200">
        <v>4</v>
      </c>
      <c r="AH420" s="201"/>
      <c r="AL420" s="201"/>
    </row>
    <row r="421" spans="1:39" s="200" customFormat="1">
      <c r="A421" s="202" t="s">
        <v>768</v>
      </c>
      <c r="G421" s="200">
        <v>33</v>
      </c>
      <c r="H421" s="200">
        <v>10</v>
      </c>
      <c r="I421" s="200">
        <v>16</v>
      </c>
      <c r="J421" s="200">
        <v>32</v>
      </c>
      <c r="K421" s="200">
        <v>29</v>
      </c>
      <c r="L421" s="200">
        <v>15</v>
      </c>
      <c r="M421" s="200">
        <v>10</v>
      </c>
      <c r="N421" s="200">
        <v>25</v>
      </c>
      <c r="O421" s="200">
        <v>40</v>
      </c>
      <c r="R421" s="200">
        <v>15</v>
      </c>
      <c r="V421" s="201"/>
      <c r="W421" s="201"/>
      <c r="X421" s="201"/>
      <c r="Y421" s="201"/>
      <c r="Z421" s="201"/>
      <c r="AA421" s="201"/>
      <c r="AB421" s="200">
        <v>60</v>
      </c>
      <c r="AC421" s="201"/>
      <c r="AD421" s="201"/>
      <c r="AE421" s="200">
        <v>4</v>
      </c>
      <c r="AH421" s="201">
        <v>0.05</v>
      </c>
      <c r="AL421" s="201"/>
    </row>
    <row r="422" spans="1:39" s="200" customFormat="1">
      <c r="A422" s="202" t="s">
        <v>727</v>
      </c>
      <c r="G422" s="200">
        <v>33</v>
      </c>
      <c r="I422" s="200">
        <v>16</v>
      </c>
      <c r="J422" s="200">
        <v>42</v>
      </c>
      <c r="K422" s="200">
        <v>29</v>
      </c>
      <c r="L422" s="200">
        <v>15</v>
      </c>
      <c r="M422" s="200">
        <v>10</v>
      </c>
      <c r="N422" s="200">
        <v>25</v>
      </c>
      <c r="O422" s="200">
        <v>40</v>
      </c>
      <c r="R422" s="200">
        <v>15</v>
      </c>
      <c r="V422" s="201"/>
      <c r="W422" s="201">
        <v>0.04</v>
      </c>
      <c r="X422" s="201"/>
      <c r="Y422" s="201"/>
      <c r="Z422" s="201"/>
      <c r="AA422" s="201"/>
      <c r="AB422" s="200">
        <v>60</v>
      </c>
      <c r="AC422" s="201"/>
      <c r="AD422" s="201"/>
      <c r="AE422" s="200">
        <v>4</v>
      </c>
      <c r="AH422" s="201"/>
      <c r="AL422" s="201"/>
    </row>
    <row r="423" spans="1:39" s="200" customFormat="1">
      <c r="A423" s="202" t="s">
        <v>725</v>
      </c>
      <c r="G423" s="200">
        <v>33</v>
      </c>
      <c r="I423" s="200">
        <v>16</v>
      </c>
      <c r="J423" s="200">
        <v>42</v>
      </c>
      <c r="K423" s="200">
        <v>29</v>
      </c>
      <c r="L423" s="200">
        <v>15</v>
      </c>
      <c r="M423" s="200">
        <v>10</v>
      </c>
      <c r="N423" s="200">
        <v>25</v>
      </c>
      <c r="O423" s="200">
        <v>40</v>
      </c>
      <c r="R423" s="200">
        <v>15</v>
      </c>
      <c r="V423" s="201"/>
      <c r="W423" s="201"/>
      <c r="X423" s="201"/>
      <c r="Y423" s="201"/>
      <c r="Z423" s="201"/>
      <c r="AA423" s="201"/>
      <c r="AB423" s="200">
        <v>60</v>
      </c>
      <c r="AC423" s="201">
        <v>0.05</v>
      </c>
      <c r="AD423" s="201"/>
      <c r="AE423" s="200">
        <v>4</v>
      </c>
      <c r="AH423" s="201"/>
      <c r="AL423" s="201"/>
    </row>
    <row r="424" spans="1:39" s="200" customFormat="1">
      <c r="A424" s="202" t="s">
        <v>726</v>
      </c>
      <c r="G424" s="200">
        <v>33</v>
      </c>
      <c r="I424" s="200">
        <v>16</v>
      </c>
      <c r="J424" s="200">
        <v>42</v>
      </c>
      <c r="K424" s="200">
        <v>29</v>
      </c>
      <c r="L424" s="200">
        <v>15</v>
      </c>
      <c r="M424" s="200">
        <v>10</v>
      </c>
      <c r="N424" s="200">
        <v>25</v>
      </c>
      <c r="O424" s="200">
        <v>40</v>
      </c>
      <c r="R424" s="200">
        <v>15</v>
      </c>
      <c r="V424" s="201"/>
      <c r="W424" s="201"/>
      <c r="X424" s="201"/>
      <c r="Y424" s="201"/>
      <c r="Z424" s="201"/>
      <c r="AA424" s="201"/>
      <c r="AB424" s="200">
        <v>60</v>
      </c>
      <c r="AC424" s="201"/>
      <c r="AD424" s="201">
        <v>0.05</v>
      </c>
      <c r="AE424" s="200">
        <v>4</v>
      </c>
      <c r="AH424" s="201"/>
      <c r="AL424" s="201"/>
    </row>
    <row r="425" spans="1:39" s="200" customFormat="1">
      <c r="A425" s="202" t="s">
        <v>769</v>
      </c>
      <c r="G425" s="200">
        <v>33</v>
      </c>
      <c r="I425" s="200">
        <v>16</v>
      </c>
      <c r="J425" s="200">
        <v>42</v>
      </c>
      <c r="K425" s="200">
        <v>29</v>
      </c>
      <c r="L425" s="200">
        <v>15</v>
      </c>
      <c r="M425" s="200">
        <v>10</v>
      </c>
      <c r="N425" s="200">
        <v>25</v>
      </c>
      <c r="O425" s="200">
        <v>40</v>
      </c>
      <c r="R425" s="200">
        <v>15</v>
      </c>
      <c r="V425" s="201"/>
      <c r="W425" s="201"/>
      <c r="X425" s="201"/>
      <c r="Y425" s="201"/>
      <c r="Z425" s="201"/>
      <c r="AA425" s="201"/>
      <c r="AB425" s="200">
        <v>60</v>
      </c>
      <c r="AC425" s="201"/>
      <c r="AD425" s="201"/>
      <c r="AE425" s="200">
        <v>4</v>
      </c>
      <c r="AH425" s="201">
        <v>0.05</v>
      </c>
      <c r="AL425" s="201"/>
    </row>
    <row r="426" spans="1:39" s="200" customFormat="1">
      <c r="A426" s="202" t="s">
        <v>895</v>
      </c>
      <c r="G426" s="200">
        <v>43</v>
      </c>
      <c r="I426" s="200">
        <v>16</v>
      </c>
      <c r="J426" s="200">
        <v>32</v>
      </c>
      <c r="K426" s="200">
        <v>29</v>
      </c>
      <c r="L426" s="200">
        <v>15</v>
      </c>
      <c r="M426" s="200">
        <v>10</v>
      </c>
      <c r="N426" s="200">
        <v>25</v>
      </c>
      <c r="O426" s="200">
        <v>40</v>
      </c>
      <c r="R426" s="200">
        <v>15</v>
      </c>
      <c r="V426" s="201"/>
      <c r="W426" s="201">
        <v>0.04</v>
      </c>
      <c r="X426" s="201"/>
      <c r="Y426" s="201"/>
      <c r="Z426" s="201"/>
      <c r="AA426" s="201"/>
      <c r="AB426" s="200">
        <v>60</v>
      </c>
      <c r="AC426" s="201"/>
      <c r="AD426" s="201"/>
      <c r="AE426" s="200">
        <v>4</v>
      </c>
      <c r="AH426" s="201"/>
      <c r="AL426" s="201"/>
    </row>
    <row r="427" spans="1:39" s="200" customFormat="1">
      <c r="A427" s="202" t="s">
        <v>902</v>
      </c>
      <c r="G427" s="200">
        <v>43</v>
      </c>
      <c r="I427" s="200">
        <v>16</v>
      </c>
      <c r="J427" s="200">
        <v>32</v>
      </c>
      <c r="K427" s="200">
        <v>29</v>
      </c>
      <c r="L427" s="200">
        <v>15</v>
      </c>
      <c r="M427" s="200">
        <v>10</v>
      </c>
      <c r="N427" s="200">
        <v>25</v>
      </c>
      <c r="O427" s="200">
        <v>40</v>
      </c>
      <c r="R427" s="200">
        <v>15</v>
      </c>
      <c r="V427" s="201"/>
      <c r="W427" s="201"/>
      <c r="X427" s="201"/>
      <c r="Y427" s="201"/>
      <c r="Z427" s="201"/>
      <c r="AA427" s="201"/>
      <c r="AB427" s="200">
        <v>60</v>
      </c>
      <c r="AC427" s="201"/>
      <c r="AD427" s="201"/>
      <c r="AE427" s="200">
        <v>4</v>
      </c>
      <c r="AH427" s="201">
        <v>0.05</v>
      </c>
      <c r="AL427" s="201"/>
    </row>
    <row r="428" spans="1:39" s="200" customFormat="1">
      <c r="A428" s="202" t="s">
        <v>873</v>
      </c>
      <c r="G428" s="200">
        <v>43</v>
      </c>
      <c r="H428" s="200">
        <v>10</v>
      </c>
      <c r="I428" s="200">
        <v>16</v>
      </c>
      <c r="J428" s="200">
        <v>32</v>
      </c>
      <c r="K428" s="200">
        <v>29</v>
      </c>
      <c r="L428" s="200">
        <v>15</v>
      </c>
      <c r="M428" s="200">
        <v>10</v>
      </c>
      <c r="N428" s="200">
        <v>25</v>
      </c>
      <c r="O428" s="200">
        <v>40</v>
      </c>
      <c r="R428" s="200">
        <v>15</v>
      </c>
      <c r="V428" s="201"/>
      <c r="W428" s="201"/>
      <c r="X428" s="201"/>
      <c r="Y428" s="201"/>
      <c r="Z428" s="201"/>
      <c r="AA428" s="201"/>
      <c r="AB428" s="200">
        <v>60</v>
      </c>
      <c r="AC428" s="201"/>
      <c r="AD428" s="201"/>
      <c r="AE428" s="200">
        <v>4</v>
      </c>
      <c r="AH428" s="201">
        <v>0.05</v>
      </c>
      <c r="AL428" s="201"/>
    </row>
    <row r="429" spans="1:39" s="200" customFormat="1">
      <c r="A429" s="202" t="s">
        <v>766</v>
      </c>
      <c r="G429" s="200">
        <v>47</v>
      </c>
      <c r="I429" s="200">
        <v>29</v>
      </c>
      <c r="J429" s="200">
        <v>21</v>
      </c>
      <c r="K429" s="200">
        <v>24</v>
      </c>
      <c r="L429" s="200">
        <v>11</v>
      </c>
      <c r="M429" s="200">
        <v>16</v>
      </c>
      <c r="N429" s="200">
        <v>39</v>
      </c>
      <c r="O429" s="200">
        <v>27</v>
      </c>
      <c r="V429" s="201"/>
      <c r="W429" s="201"/>
      <c r="X429" s="201"/>
      <c r="Y429" s="201"/>
      <c r="Z429" s="201"/>
      <c r="AA429" s="201"/>
      <c r="AB429" s="203">
        <v>90</v>
      </c>
      <c r="AC429" s="201"/>
      <c r="AD429" s="201"/>
      <c r="AE429" s="203"/>
      <c r="AF429" s="203"/>
      <c r="AG429" s="203"/>
      <c r="AH429" s="201">
        <v>0.05</v>
      </c>
      <c r="AI429" s="203"/>
      <c r="AJ429" s="203"/>
      <c r="AK429" s="203"/>
      <c r="AL429" s="201"/>
      <c r="AM429" s="203"/>
    </row>
    <row r="430" spans="1:39" s="200" customFormat="1">
      <c r="A430" s="202" t="s">
        <v>809</v>
      </c>
      <c r="G430" s="200">
        <v>50</v>
      </c>
      <c r="I430" s="200">
        <v>32</v>
      </c>
      <c r="J430" s="200">
        <v>24</v>
      </c>
      <c r="K430" s="200">
        <v>24</v>
      </c>
      <c r="L430" s="200">
        <v>11</v>
      </c>
      <c r="M430" s="200">
        <v>19</v>
      </c>
      <c r="N430" s="200">
        <v>45</v>
      </c>
      <c r="O430" s="200">
        <v>27</v>
      </c>
      <c r="V430" s="201"/>
      <c r="W430" s="201"/>
      <c r="X430" s="201"/>
      <c r="Y430" s="201"/>
      <c r="Z430" s="201"/>
      <c r="AA430" s="201"/>
      <c r="AB430" s="203">
        <v>90</v>
      </c>
      <c r="AC430" s="201"/>
      <c r="AD430" s="201"/>
      <c r="AE430" s="203"/>
      <c r="AF430" s="203"/>
      <c r="AG430" s="203"/>
      <c r="AH430" s="201">
        <v>7.0000000000000007E-2</v>
      </c>
      <c r="AI430" s="203"/>
      <c r="AJ430" s="203"/>
      <c r="AK430" s="203"/>
      <c r="AL430" s="201"/>
      <c r="AM430" s="203"/>
    </row>
    <row r="431" spans="1:39">
      <c r="A431" t="s">
        <v>573</v>
      </c>
      <c r="G431">
        <v>34</v>
      </c>
      <c r="I431">
        <v>16</v>
      </c>
      <c r="J431">
        <v>20</v>
      </c>
      <c r="K431">
        <v>30</v>
      </c>
      <c r="L431">
        <v>17</v>
      </c>
      <c r="M431">
        <v>11</v>
      </c>
      <c r="N431">
        <v>15</v>
      </c>
      <c r="V431" s="2"/>
      <c r="W431" s="2"/>
      <c r="X431" s="2"/>
      <c r="Y431" s="2"/>
      <c r="Z431" s="2"/>
      <c r="AA431" s="2"/>
      <c r="AB431" s="35">
        <v>61</v>
      </c>
      <c r="AC431" s="2"/>
      <c r="AD431" s="2"/>
      <c r="AE431" s="35"/>
      <c r="AF431" s="2"/>
      <c r="AG431" s="35"/>
      <c r="AH431" s="2"/>
      <c r="AL431" s="2"/>
    </row>
    <row r="432" spans="1:39">
      <c r="A432" s="31" t="s">
        <v>700</v>
      </c>
      <c r="G432">
        <v>29</v>
      </c>
      <c r="H432">
        <v>35</v>
      </c>
      <c r="I432">
        <v>15</v>
      </c>
      <c r="J432">
        <v>21</v>
      </c>
      <c r="K432">
        <v>30</v>
      </c>
      <c r="L432">
        <v>17</v>
      </c>
      <c r="M432">
        <v>11</v>
      </c>
      <c r="V432" s="2"/>
      <c r="W432" s="2"/>
      <c r="X432" s="2"/>
      <c r="Y432" s="2"/>
      <c r="Z432" s="2"/>
      <c r="AA432" s="2"/>
      <c r="AB432" s="35">
        <v>21</v>
      </c>
      <c r="AC432" s="2">
        <v>0.04</v>
      </c>
      <c r="AD432" s="2"/>
      <c r="AE432" s="35"/>
      <c r="AF432" s="35"/>
      <c r="AG432" s="35"/>
      <c r="AH432" s="2"/>
      <c r="AL432" s="35"/>
    </row>
    <row r="433" spans="1:55" s="200" customFormat="1">
      <c r="A433" s="200" t="s">
        <v>808</v>
      </c>
      <c r="G433" s="200">
        <v>37</v>
      </c>
      <c r="I433" s="200">
        <v>25</v>
      </c>
      <c r="J433" s="200">
        <v>28</v>
      </c>
      <c r="K433" s="200">
        <v>32</v>
      </c>
      <c r="L433" s="200">
        <v>16</v>
      </c>
      <c r="M433" s="200">
        <v>12</v>
      </c>
      <c r="N433" s="200">
        <v>41</v>
      </c>
      <c r="Q433" s="200">
        <v>36</v>
      </c>
      <c r="V433" s="201"/>
      <c r="W433" s="201">
        <v>0.04</v>
      </c>
      <c r="X433" s="201"/>
      <c r="Y433" s="201"/>
      <c r="Z433" s="201"/>
      <c r="AA433" s="201"/>
      <c r="AB433" s="203">
        <v>91</v>
      </c>
      <c r="AC433" s="201">
        <v>0.05</v>
      </c>
      <c r="AD433" s="201"/>
      <c r="AE433" s="203"/>
      <c r="AF433" s="203"/>
      <c r="AG433" s="203"/>
      <c r="AH433" s="201"/>
      <c r="AI433" s="203"/>
      <c r="AJ433" s="203"/>
      <c r="AK433" s="203"/>
      <c r="AL433" s="203"/>
      <c r="AM433" s="203"/>
    </row>
    <row r="434" spans="1:55" s="200" customFormat="1">
      <c r="A434" s="200" t="s">
        <v>807</v>
      </c>
      <c r="G434" s="200">
        <v>37</v>
      </c>
      <c r="H434" s="200">
        <v>5</v>
      </c>
      <c r="I434" s="200">
        <v>25</v>
      </c>
      <c r="J434" s="200">
        <v>33</v>
      </c>
      <c r="K434" s="200">
        <v>32</v>
      </c>
      <c r="L434" s="200">
        <v>16</v>
      </c>
      <c r="M434" s="200">
        <v>12</v>
      </c>
      <c r="N434" s="200">
        <v>51</v>
      </c>
      <c r="Q434" s="200">
        <v>46</v>
      </c>
      <c r="V434" s="201"/>
      <c r="W434" s="201">
        <v>0.05</v>
      </c>
      <c r="X434" s="201"/>
      <c r="Y434" s="201"/>
      <c r="Z434" s="201"/>
      <c r="AA434" s="201"/>
      <c r="AB434" s="203">
        <v>91</v>
      </c>
      <c r="AC434" s="201">
        <v>7.0000000000000007E-2</v>
      </c>
      <c r="AD434" s="201"/>
      <c r="AE434" s="203"/>
      <c r="AF434" s="203"/>
      <c r="AG434" s="203"/>
      <c r="AH434" s="201"/>
      <c r="AI434" s="203"/>
      <c r="AJ434" s="203"/>
      <c r="AK434" s="203"/>
      <c r="AL434" s="203"/>
      <c r="AM434" s="203"/>
    </row>
    <row r="435" spans="1:55" s="200" customFormat="1">
      <c r="A435" s="200" t="s">
        <v>882</v>
      </c>
      <c r="G435" s="200">
        <v>28</v>
      </c>
      <c r="I435" s="200">
        <v>17</v>
      </c>
      <c r="J435" s="200">
        <v>42</v>
      </c>
      <c r="K435" s="200">
        <v>26</v>
      </c>
      <c r="L435" s="200">
        <v>19</v>
      </c>
      <c r="M435" s="200">
        <v>12</v>
      </c>
      <c r="N435" s="200">
        <v>50</v>
      </c>
      <c r="Q435" s="200">
        <v>50</v>
      </c>
      <c r="S435" s="200">
        <v>50</v>
      </c>
      <c r="V435" s="201"/>
      <c r="W435" s="201"/>
      <c r="X435" s="201"/>
      <c r="Y435" s="201"/>
      <c r="Z435" s="201"/>
      <c r="AA435" s="201"/>
      <c r="AB435" s="203">
        <v>91</v>
      </c>
      <c r="AC435" s="201"/>
      <c r="AD435" s="201"/>
      <c r="AE435" s="203">
        <v>10</v>
      </c>
      <c r="AF435" s="203"/>
      <c r="AG435" s="203"/>
      <c r="AH435" s="201"/>
      <c r="AI435" s="203"/>
      <c r="AJ435" s="203"/>
      <c r="AK435" s="203"/>
      <c r="AL435" s="203"/>
      <c r="AM435" s="203"/>
      <c r="BC435" s="200">
        <v>0.05</v>
      </c>
    </row>
    <row r="436" spans="1:55">
      <c r="A436" s="31" t="s">
        <v>582</v>
      </c>
      <c r="G436" s="35">
        <v>20</v>
      </c>
      <c r="I436">
        <v>8</v>
      </c>
      <c r="J436">
        <v>18</v>
      </c>
      <c r="K436">
        <v>20</v>
      </c>
      <c r="L436">
        <v>11</v>
      </c>
      <c r="M436">
        <v>6</v>
      </c>
      <c r="V436" s="2"/>
      <c r="W436" s="2"/>
      <c r="X436" s="2"/>
      <c r="Y436" s="2"/>
      <c r="Z436" s="2"/>
      <c r="AA436" s="2">
        <v>7.0000000000000007E-2</v>
      </c>
      <c r="AB436" s="35">
        <v>61</v>
      </c>
      <c r="AC436" s="2"/>
      <c r="AD436" s="2"/>
      <c r="AE436" s="35"/>
      <c r="AF436" s="2"/>
      <c r="AG436" s="2"/>
      <c r="AH436" s="2"/>
      <c r="AL436" s="2"/>
    </row>
    <row r="437" spans="1:55">
      <c r="A437" s="31" t="s">
        <v>583</v>
      </c>
      <c r="G437" s="35">
        <v>32</v>
      </c>
      <c r="I437">
        <v>14</v>
      </c>
      <c r="J437">
        <v>26</v>
      </c>
      <c r="K437">
        <v>32</v>
      </c>
      <c r="L437">
        <v>17</v>
      </c>
      <c r="M437">
        <v>10</v>
      </c>
      <c r="V437" s="2"/>
      <c r="W437" s="2"/>
      <c r="X437" s="2"/>
      <c r="Y437" s="2"/>
      <c r="Z437" s="2"/>
      <c r="AA437" s="2">
        <v>0.08</v>
      </c>
      <c r="AB437" s="35">
        <v>61</v>
      </c>
      <c r="AC437" s="2"/>
      <c r="AD437" s="2"/>
      <c r="AE437" s="35"/>
      <c r="AF437" s="2"/>
      <c r="AG437" s="2"/>
      <c r="AH437" s="2"/>
      <c r="AL437" s="2"/>
    </row>
    <row r="438" spans="1:55" s="200" customFormat="1">
      <c r="A438" s="202" t="s">
        <v>831</v>
      </c>
      <c r="G438" s="203">
        <v>37</v>
      </c>
      <c r="I438" s="200">
        <v>19</v>
      </c>
      <c r="J438" s="200">
        <v>31</v>
      </c>
      <c r="K438" s="200">
        <v>37</v>
      </c>
      <c r="L438" s="200">
        <v>22</v>
      </c>
      <c r="M438" s="200">
        <v>15</v>
      </c>
      <c r="N438" s="200">
        <v>29</v>
      </c>
      <c r="O438" s="200">
        <v>49</v>
      </c>
      <c r="S438" s="200">
        <v>29</v>
      </c>
      <c r="V438" s="201"/>
      <c r="W438" s="201"/>
      <c r="X438" s="201"/>
      <c r="Y438" s="201"/>
      <c r="Z438" s="201"/>
      <c r="AA438" s="201">
        <v>0.09</v>
      </c>
      <c r="AB438" s="203">
        <v>61</v>
      </c>
      <c r="AC438" s="201"/>
      <c r="AD438" s="201"/>
      <c r="AE438" s="203"/>
      <c r="AF438" s="201"/>
      <c r="AG438" s="201"/>
      <c r="AH438" s="201">
        <v>0.05</v>
      </c>
      <c r="AI438" s="203"/>
      <c r="AJ438" s="203"/>
      <c r="AK438" s="203"/>
      <c r="AL438" s="201"/>
      <c r="AM438" s="203"/>
    </row>
    <row r="439" spans="1:55" s="200" customFormat="1">
      <c r="A439" s="202" t="s">
        <v>832</v>
      </c>
      <c r="G439" s="203">
        <v>42</v>
      </c>
      <c r="I439" s="200">
        <v>24</v>
      </c>
      <c r="J439" s="200">
        <v>36</v>
      </c>
      <c r="K439" s="200">
        <v>42</v>
      </c>
      <c r="L439" s="200">
        <v>27</v>
      </c>
      <c r="M439" s="200">
        <v>20</v>
      </c>
      <c r="N439" s="200">
        <v>39</v>
      </c>
      <c r="O439" s="200">
        <v>64</v>
      </c>
      <c r="S439" s="200">
        <v>39</v>
      </c>
      <c r="V439" s="201"/>
      <c r="W439" s="201"/>
      <c r="X439" s="201"/>
      <c r="Y439" s="201"/>
      <c r="Z439" s="201"/>
      <c r="AA439" s="201">
        <v>0.1</v>
      </c>
      <c r="AB439" s="203">
        <v>61</v>
      </c>
      <c r="AC439" s="201"/>
      <c r="AD439" s="201"/>
      <c r="AE439" s="203"/>
      <c r="AF439" s="201"/>
      <c r="AG439" s="201"/>
      <c r="AH439" s="201">
        <v>0.1</v>
      </c>
      <c r="AI439" s="203"/>
      <c r="AJ439" s="203"/>
      <c r="AK439" s="203"/>
      <c r="AL439" s="201"/>
      <c r="AM439" s="203"/>
    </row>
    <row r="440" spans="1:55" s="200" customFormat="1">
      <c r="A440" s="202" t="s">
        <v>821</v>
      </c>
      <c r="G440" s="203">
        <v>33</v>
      </c>
      <c r="H440" s="200">
        <v>11</v>
      </c>
      <c r="I440" s="200">
        <v>16</v>
      </c>
      <c r="J440" s="200">
        <v>45</v>
      </c>
      <c r="K440" s="200">
        <v>29</v>
      </c>
      <c r="L440" s="200">
        <v>15</v>
      </c>
      <c r="M440" s="200">
        <v>12</v>
      </c>
      <c r="N440" s="200">
        <v>45</v>
      </c>
      <c r="Q440" s="200">
        <v>45</v>
      </c>
      <c r="S440" s="200">
        <v>45</v>
      </c>
      <c r="V440" s="201"/>
      <c r="W440" s="201"/>
      <c r="X440" s="201"/>
      <c r="Y440" s="201"/>
      <c r="Z440" s="201"/>
      <c r="AA440" s="201"/>
      <c r="AB440" s="203">
        <v>61</v>
      </c>
      <c r="AC440" s="201">
        <v>7.0000000000000007E-2</v>
      </c>
      <c r="AD440" s="201"/>
      <c r="AE440" s="203"/>
      <c r="AF440" s="201"/>
      <c r="AG440" s="201"/>
      <c r="AH440" s="201"/>
      <c r="AI440" s="203"/>
      <c r="AJ440" s="203"/>
      <c r="AK440" s="203"/>
      <c r="AL440" s="201"/>
      <c r="AM440" s="203"/>
    </row>
    <row r="441" spans="1:55" s="200" customFormat="1">
      <c r="A441" s="202" t="s">
        <v>900</v>
      </c>
      <c r="G441" s="200">
        <v>58</v>
      </c>
      <c r="H441" s="200">
        <v>12</v>
      </c>
      <c r="I441" s="200">
        <v>15</v>
      </c>
      <c r="J441" s="200">
        <v>21</v>
      </c>
      <c r="K441" s="200">
        <v>30</v>
      </c>
      <c r="L441" s="200">
        <v>31</v>
      </c>
      <c r="M441" s="200">
        <v>8</v>
      </c>
      <c r="O441" s="200">
        <v>63</v>
      </c>
      <c r="R441" s="200">
        <v>33</v>
      </c>
      <c r="V441" s="201"/>
      <c r="W441" s="201"/>
      <c r="X441" s="201"/>
      <c r="Y441" s="201"/>
      <c r="Z441" s="201"/>
      <c r="AA441" s="201"/>
      <c r="AB441" s="200">
        <v>61</v>
      </c>
      <c r="AC441" s="201"/>
      <c r="AD441" s="201"/>
      <c r="AF441" s="201"/>
      <c r="AG441" s="201"/>
      <c r="AH441" s="201"/>
      <c r="AL441" s="201"/>
    </row>
    <row r="442" spans="1:55" s="200" customFormat="1">
      <c r="A442" s="202" t="s">
        <v>825</v>
      </c>
      <c r="G442" s="200">
        <v>41</v>
      </c>
      <c r="H442" s="200">
        <v>12</v>
      </c>
      <c r="I442" s="200">
        <v>15</v>
      </c>
      <c r="J442" s="200">
        <v>21</v>
      </c>
      <c r="K442" s="200">
        <v>30</v>
      </c>
      <c r="L442" s="200">
        <v>17</v>
      </c>
      <c r="M442" s="200">
        <v>11</v>
      </c>
      <c r="N442" s="200">
        <v>20</v>
      </c>
      <c r="O442" s="200">
        <v>33</v>
      </c>
      <c r="R442" s="200">
        <v>33</v>
      </c>
      <c r="V442" s="201"/>
      <c r="W442" s="201"/>
      <c r="X442" s="201"/>
      <c r="Y442" s="201"/>
      <c r="Z442" s="201"/>
      <c r="AA442" s="201"/>
      <c r="AB442" s="200">
        <v>61</v>
      </c>
      <c r="AC442" s="201">
        <v>0.05</v>
      </c>
      <c r="AD442" s="201">
        <v>0.05</v>
      </c>
      <c r="AF442" s="201"/>
      <c r="AG442" s="201"/>
      <c r="AH442" s="201"/>
      <c r="AL442" s="201"/>
    </row>
    <row r="443" spans="1:55" s="31" customFormat="1">
      <c r="A443" s="31" t="s">
        <v>695</v>
      </c>
      <c r="G443" s="31">
        <v>48</v>
      </c>
      <c r="H443" s="31">
        <v>16</v>
      </c>
      <c r="I443" s="31">
        <v>15</v>
      </c>
      <c r="J443" s="31">
        <v>30</v>
      </c>
      <c r="K443" s="31">
        <v>28</v>
      </c>
      <c r="L443" s="31">
        <v>16</v>
      </c>
      <c r="M443" s="31">
        <v>8</v>
      </c>
      <c r="N443" s="31">
        <v>15</v>
      </c>
      <c r="Q443" s="31">
        <v>15</v>
      </c>
      <c r="V443" s="12">
        <v>0.03</v>
      </c>
      <c r="W443" s="12">
        <v>0.03</v>
      </c>
      <c r="X443" s="12"/>
      <c r="Y443" s="12"/>
      <c r="Z443" s="12"/>
      <c r="AA443" s="12"/>
      <c r="AB443" s="50">
        <v>61</v>
      </c>
      <c r="AC443" s="12"/>
      <c r="AD443" s="12"/>
      <c r="AE443" s="50">
        <v>7</v>
      </c>
      <c r="AF443" s="50"/>
      <c r="AG443" s="12"/>
      <c r="AH443" s="12"/>
      <c r="AI443" s="50"/>
      <c r="AJ443" s="50"/>
      <c r="AK443" s="50"/>
      <c r="AL443" s="50"/>
      <c r="AM443" s="50"/>
    </row>
    <row r="444" spans="1:55">
      <c r="A444" t="s">
        <v>679</v>
      </c>
      <c r="G444">
        <v>27</v>
      </c>
      <c r="I444">
        <v>14</v>
      </c>
      <c r="J444">
        <v>18</v>
      </c>
      <c r="K444">
        <v>28</v>
      </c>
      <c r="L444">
        <v>15</v>
      </c>
      <c r="M444">
        <v>9</v>
      </c>
      <c r="N444">
        <v>27</v>
      </c>
      <c r="O444">
        <v>20</v>
      </c>
      <c r="Q444">
        <v>7</v>
      </c>
      <c r="V444" s="2"/>
      <c r="W444" s="2"/>
      <c r="X444" s="2"/>
      <c r="Y444" s="2"/>
      <c r="Z444" s="2"/>
      <c r="AA444" s="2"/>
      <c r="AB444" s="35">
        <v>60</v>
      </c>
      <c r="AC444" s="2">
        <v>0.03</v>
      </c>
      <c r="AD444" s="2">
        <v>0.03</v>
      </c>
      <c r="AE444" s="35"/>
      <c r="AF444" s="35"/>
      <c r="AG444" s="35"/>
      <c r="AH444" s="2"/>
      <c r="AL444" s="35"/>
    </row>
    <row r="445" spans="1:55">
      <c r="A445" t="s">
        <v>680</v>
      </c>
      <c r="G445">
        <v>34</v>
      </c>
      <c r="H445">
        <v>7</v>
      </c>
      <c r="I445">
        <v>14</v>
      </c>
      <c r="J445">
        <v>18</v>
      </c>
      <c r="K445">
        <v>28</v>
      </c>
      <c r="L445">
        <v>15</v>
      </c>
      <c r="M445">
        <v>9</v>
      </c>
      <c r="N445">
        <v>27</v>
      </c>
      <c r="O445">
        <v>20</v>
      </c>
      <c r="Q445">
        <v>7</v>
      </c>
      <c r="V445" s="2"/>
      <c r="W445" s="2">
        <v>0.04</v>
      </c>
      <c r="X445" s="2"/>
      <c r="Y445" s="2"/>
      <c r="Z445" s="2"/>
      <c r="AA445" s="2"/>
      <c r="AB445" s="35">
        <v>60</v>
      </c>
      <c r="AC445" s="2"/>
      <c r="AD445" s="2"/>
      <c r="AE445" s="35"/>
      <c r="AF445" s="35"/>
      <c r="AG445" s="35"/>
      <c r="AH445" s="2"/>
      <c r="AL445" s="35"/>
    </row>
    <row r="446" spans="1:55" s="200" customFormat="1">
      <c r="A446" s="200" t="s">
        <v>904</v>
      </c>
      <c r="G446" s="200">
        <v>55</v>
      </c>
      <c r="H446" s="200">
        <v>10</v>
      </c>
      <c r="I446" s="200">
        <v>35</v>
      </c>
      <c r="J446" s="200">
        <v>25</v>
      </c>
      <c r="K446" s="200">
        <v>33</v>
      </c>
      <c r="L446" s="200">
        <v>22</v>
      </c>
      <c r="M446" s="200">
        <v>20</v>
      </c>
      <c r="N446" s="200">
        <v>60</v>
      </c>
      <c r="O446" s="200">
        <v>31</v>
      </c>
      <c r="V446" s="201"/>
      <c r="W446" s="201">
        <v>0.03</v>
      </c>
      <c r="X446" s="201"/>
      <c r="Y446" s="201"/>
      <c r="Z446" s="201">
        <v>0.06</v>
      </c>
      <c r="AA446" s="201"/>
      <c r="AB446" s="200">
        <v>51</v>
      </c>
      <c r="AC446" s="201"/>
      <c r="AD446" s="201"/>
      <c r="AE446" s="200">
        <v>8</v>
      </c>
      <c r="AH446" s="201"/>
    </row>
    <row r="447" spans="1:55" s="200" customFormat="1">
      <c r="A447" s="200" t="s">
        <v>909</v>
      </c>
      <c r="G447" s="200">
        <v>39</v>
      </c>
      <c r="H447" s="200">
        <v>10</v>
      </c>
      <c r="I447" s="200">
        <v>26</v>
      </c>
      <c r="J447" s="200">
        <v>30</v>
      </c>
      <c r="K447" s="200">
        <v>40</v>
      </c>
      <c r="L447" s="200">
        <v>27</v>
      </c>
      <c r="M447" s="200">
        <v>21</v>
      </c>
      <c r="N447" s="200">
        <v>30</v>
      </c>
      <c r="V447" s="201">
        <v>0.05</v>
      </c>
      <c r="W447" s="201">
        <v>0.03</v>
      </c>
      <c r="X447" s="201"/>
      <c r="Y447" s="201"/>
      <c r="Z447" s="201"/>
      <c r="AA447" s="201"/>
      <c r="AB447" s="200">
        <v>61</v>
      </c>
      <c r="AC447" s="201">
        <v>0.05</v>
      </c>
      <c r="AD447" s="201"/>
      <c r="AE447" s="200">
        <v>-5</v>
      </c>
      <c r="AF447" s="201"/>
      <c r="AH447" s="201"/>
      <c r="AL447" s="201"/>
    </row>
    <row r="448" spans="1:55">
      <c r="A448" t="s">
        <v>696</v>
      </c>
      <c r="G448">
        <v>29</v>
      </c>
      <c r="I448">
        <v>16</v>
      </c>
      <c r="J448">
        <v>20</v>
      </c>
      <c r="K448">
        <v>30</v>
      </c>
      <c r="L448">
        <v>17</v>
      </c>
      <c r="M448">
        <v>11</v>
      </c>
      <c r="N448">
        <v>15</v>
      </c>
      <c r="O448">
        <v>15</v>
      </c>
      <c r="V448" s="2"/>
      <c r="W448" s="2">
        <v>0.03</v>
      </c>
      <c r="X448" s="2"/>
      <c r="Y448" s="2"/>
      <c r="Z448" s="2"/>
      <c r="AA448" s="2"/>
      <c r="AB448" s="35">
        <v>61</v>
      </c>
      <c r="AC448" s="2">
        <v>0.05</v>
      </c>
      <c r="AD448" s="2"/>
      <c r="AE448" s="35"/>
      <c r="AF448" s="2"/>
      <c r="AG448" s="35"/>
      <c r="AH448" s="2"/>
      <c r="AL448" s="2"/>
    </row>
    <row r="449" spans="1:41">
      <c r="AC449" s="2"/>
      <c r="AD449" s="2"/>
      <c r="AH449" s="2"/>
    </row>
    <row r="451" spans="1:41">
      <c r="A451" t="s">
        <v>23</v>
      </c>
      <c r="B451" t="s">
        <v>30</v>
      </c>
      <c r="C451" t="s">
        <v>518</v>
      </c>
      <c r="D451" t="s">
        <v>652</v>
      </c>
      <c r="E451" t="s">
        <v>484</v>
      </c>
      <c r="F451" s="31" t="s">
        <v>511</v>
      </c>
      <c r="G451" t="s">
        <v>3</v>
      </c>
      <c r="H451" t="s">
        <v>4</v>
      </c>
      <c r="I451" t="s">
        <v>5</v>
      </c>
      <c r="J451" t="s">
        <v>42</v>
      </c>
      <c r="K451" t="s">
        <v>208</v>
      </c>
      <c r="L451" t="s">
        <v>209</v>
      </c>
      <c r="M451" t="s">
        <v>210</v>
      </c>
      <c r="N451" t="s">
        <v>10</v>
      </c>
      <c r="O451" t="s">
        <v>9</v>
      </c>
      <c r="P451" t="s">
        <v>479</v>
      </c>
      <c r="Q451" t="s">
        <v>635</v>
      </c>
      <c r="R451" t="s">
        <v>636</v>
      </c>
      <c r="S451" t="s">
        <v>637</v>
      </c>
      <c r="T451" s="35" t="s">
        <v>638</v>
      </c>
      <c r="U451" s="145" t="s">
        <v>639</v>
      </c>
      <c r="V451" t="s">
        <v>12</v>
      </c>
      <c r="W451" t="s">
        <v>152</v>
      </c>
      <c r="X451" t="s">
        <v>345</v>
      </c>
      <c r="Y451" t="s">
        <v>480</v>
      </c>
      <c r="Z451" t="s">
        <v>481</v>
      </c>
      <c r="AA451" t="s">
        <v>122</v>
      </c>
      <c r="AB451" t="s">
        <v>11</v>
      </c>
      <c r="AC451" t="s">
        <v>119</v>
      </c>
      <c r="AD451" t="s">
        <v>118</v>
      </c>
      <c r="AE451" t="s">
        <v>13</v>
      </c>
      <c r="AF451" t="s">
        <v>116</v>
      </c>
      <c r="AG451" t="s">
        <v>289</v>
      </c>
      <c r="AH451" t="s">
        <v>163</v>
      </c>
      <c r="AI451" s="35" t="s">
        <v>457</v>
      </c>
      <c r="AJ451" s="35" t="s">
        <v>458</v>
      </c>
      <c r="AK451" s="145" t="s">
        <v>433</v>
      </c>
      <c r="AL451" t="s">
        <v>339</v>
      </c>
      <c r="AM451" s="145" t="s">
        <v>649</v>
      </c>
    </row>
    <row r="452" spans="1:41">
      <c r="A452" s="202" t="s">
        <v>704</v>
      </c>
      <c r="B452" s="200"/>
      <c r="C452" s="200"/>
      <c r="D452" s="200"/>
      <c r="E452" s="200"/>
      <c r="F452" s="200"/>
      <c r="G452" s="200">
        <v>15</v>
      </c>
      <c r="H452" s="200">
        <v>35</v>
      </c>
      <c r="I452" s="200">
        <v>8</v>
      </c>
      <c r="J452" s="200">
        <v>54</v>
      </c>
      <c r="K452" s="200"/>
      <c r="L452" s="200">
        <v>11</v>
      </c>
      <c r="M452" s="200">
        <v>25</v>
      </c>
      <c r="N452" s="200">
        <v>20</v>
      </c>
      <c r="O452" s="200">
        <v>34</v>
      </c>
      <c r="P452" s="200"/>
      <c r="Q452" s="200"/>
      <c r="R452" s="200">
        <v>34</v>
      </c>
      <c r="S452" s="201"/>
      <c r="T452" s="203"/>
      <c r="U452" s="203"/>
      <c r="V452" s="201"/>
      <c r="W452" s="201"/>
      <c r="X452" s="201"/>
      <c r="Y452" s="201"/>
      <c r="Z452" s="201"/>
      <c r="AA452" s="201"/>
      <c r="AB452" s="203">
        <v>40</v>
      </c>
      <c r="AC452" s="201">
        <v>0.04</v>
      </c>
      <c r="AD452" s="201"/>
      <c r="AE452" s="203"/>
      <c r="AF452" s="201"/>
      <c r="AG452" s="201"/>
      <c r="AH452" s="201"/>
      <c r="AI452" s="200"/>
      <c r="AJ452" s="200"/>
      <c r="AK452" s="200"/>
      <c r="AL452" s="203"/>
      <c r="AM452" s="200"/>
      <c r="AN452" s="200"/>
      <c r="AO452" s="35"/>
    </row>
    <row r="453" spans="1:41" s="197" customFormat="1">
      <c r="A453" s="202" t="s">
        <v>706</v>
      </c>
      <c r="B453" s="200"/>
      <c r="C453" s="200"/>
      <c r="D453" s="200"/>
      <c r="E453" s="200"/>
      <c r="F453" s="200"/>
      <c r="G453" s="200">
        <v>15</v>
      </c>
      <c r="H453" s="200">
        <v>33</v>
      </c>
      <c r="I453" s="200">
        <v>8</v>
      </c>
      <c r="J453" s="200">
        <v>52</v>
      </c>
      <c r="K453" s="200"/>
      <c r="L453" s="200">
        <v>11</v>
      </c>
      <c r="M453" s="200">
        <v>25</v>
      </c>
      <c r="N453" s="200">
        <v>15</v>
      </c>
      <c r="O453" s="200">
        <v>24</v>
      </c>
      <c r="P453" s="200"/>
      <c r="Q453" s="200"/>
      <c r="R453" s="200">
        <v>24</v>
      </c>
      <c r="S453" s="201"/>
      <c r="T453" s="203"/>
      <c r="U453" s="203"/>
      <c r="V453" s="201"/>
      <c r="W453" s="201"/>
      <c r="X453" s="201"/>
      <c r="Y453" s="201"/>
      <c r="Z453" s="201"/>
      <c r="AA453" s="201"/>
      <c r="AB453" s="203">
        <v>40</v>
      </c>
      <c r="AC453" s="201">
        <v>0.03</v>
      </c>
      <c r="AD453" s="201"/>
      <c r="AE453" s="203"/>
      <c r="AF453" s="201"/>
      <c r="AG453" s="201"/>
      <c r="AH453" s="201"/>
      <c r="AI453" s="200"/>
      <c r="AJ453" s="200"/>
      <c r="AK453" s="200"/>
      <c r="AL453" s="203"/>
      <c r="AM453" s="200"/>
      <c r="AN453" s="200"/>
      <c r="AO453" s="199"/>
    </row>
    <row r="454" spans="1:41">
      <c r="A454" s="202" t="s">
        <v>707</v>
      </c>
      <c r="B454" s="200"/>
      <c r="C454" s="200"/>
      <c r="D454" s="200"/>
      <c r="E454" s="200"/>
      <c r="F454" s="200"/>
      <c r="G454" s="200">
        <v>25</v>
      </c>
      <c r="H454" s="200">
        <v>33</v>
      </c>
      <c r="I454" s="200">
        <v>8</v>
      </c>
      <c r="J454" s="200">
        <v>42</v>
      </c>
      <c r="K454" s="200"/>
      <c r="L454" s="200">
        <v>11</v>
      </c>
      <c r="M454" s="200">
        <v>25</v>
      </c>
      <c r="N454" s="200"/>
      <c r="O454" s="200">
        <v>39</v>
      </c>
      <c r="P454" s="200"/>
      <c r="Q454" s="200"/>
      <c r="R454" s="200">
        <v>24</v>
      </c>
      <c r="S454" s="201"/>
      <c r="T454" s="203"/>
      <c r="U454" s="203"/>
      <c r="V454" s="201"/>
      <c r="W454" s="201"/>
      <c r="X454" s="201"/>
      <c r="Y454" s="201"/>
      <c r="Z454" s="201"/>
      <c r="AA454" s="201"/>
      <c r="AB454" s="203">
        <v>40</v>
      </c>
      <c r="AC454" s="201">
        <v>0.03</v>
      </c>
      <c r="AD454" s="201"/>
      <c r="AE454" s="203"/>
      <c r="AF454" s="201"/>
      <c r="AG454" s="201"/>
      <c r="AH454" s="201"/>
      <c r="AI454" s="200"/>
      <c r="AJ454" s="200"/>
      <c r="AK454" s="200"/>
      <c r="AL454" s="203"/>
      <c r="AM454" s="200"/>
      <c r="AN454" s="200"/>
      <c r="AO454" s="35"/>
    </row>
    <row r="455" spans="1:41" s="197" customFormat="1">
      <c r="A455" s="202" t="s">
        <v>705</v>
      </c>
      <c r="B455" s="200"/>
      <c r="C455" s="200"/>
      <c r="D455" s="200"/>
      <c r="E455" s="200"/>
      <c r="F455" s="200"/>
      <c r="G455" s="200">
        <v>27</v>
      </c>
      <c r="H455" s="200">
        <v>35</v>
      </c>
      <c r="I455" s="200">
        <v>8</v>
      </c>
      <c r="J455" s="200">
        <v>42</v>
      </c>
      <c r="K455" s="200"/>
      <c r="L455" s="200">
        <v>11</v>
      </c>
      <c r="M455" s="200">
        <v>25</v>
      </c>
      <c r="N455" s="200"/>
      <c r="O455" s="200">
        <v>54</v>
      </c>
      <c r="P455" s="200"/>
      <c r="Q455" s="200"/>
      <c r="R455" s="200">
        <v>34</v>
      </c>
      <c r="S455" s="201"/>
      <c r="T455" s="203"/>
      <c r="U455" s="203"/>
      <c r="V455" s="201"/>
      <c r="W455" s="201"/>
      <c r="X455" s="201"/>
      <c r="Y455" s="201"/>
      <c r="Z455" s="201"/>
      <c r="AA455" s="201"/>
      <c r="AB455" s="203">
        <v>40</v>
      </c>
      <c r="AC455" s="201">
        <v>0.04</v>
      </c>
      <c r="AD455" s="201"/>
      <c r="AE455" s="203"/>
      <c r="AF455" s="201"/>
      <c r="AG455" s="201"/>
      <c r="AH455" s="201"/>
      <c r="AI455" s="200"/>
      <c r="AJ455" s="200"/>
      <c r="AK455" s="200"/>
      <c r="AL455" s="203"/>
      <c r="AM455" s="200"/>
      <c r="AN455" s="200"/>
      <c r="AO455" s="199"/>
    </row>
    <row r="456" spans="1:41" s="197" customFormat="1">
      <c r="A456" s="202" t="s">
        <v>720</v>
      </c>
      <c r="B456" s="200"/>
      <c r="C456" s="200"/>
      <c r="D456" s="200"/>
      <c r="E456" s="200"/>
      <c r="F456" s="200"/>
      <c r="G456" s="200">
        <v>15</v>
      </c>
      <c r="H456" s="200">
        <v>25</v>
      </c>
      <c r="I456" s="200">
        <v>8</v>
      </c>
      <c r="J456" s="200">
        <v>42</v>
      </c>
      <c r="K456" s="200"/>
      <c r="L456" s="200">
        <v>11</v>
      </c>
      <c r="M456" s="200">
        <v>25</v>
      </c>
      <c r="N456" s="200"/>
      <c r="O456" s="200">
        <v>34</v>
      </c>
      <c r="P456" s="200"/>
      <c r="Q456" s="200"/>
      <c r="R456" s="200">
        <v>34</v>
      </c>
      <c r="S456" s="201"/>
      <c r="T456" s="203"/>
      <c r="U456" s="203"/>
      <c r="V456" s="201"/>
      <c r="W456" s="201"/>
      <c r="X456" s="201"/>
      <c r="Y456" s="201"/>
      <c r="Z456" s="201"/>
      <c r="AA456" s="201"/>
      <c r="AB456" s="203">
        <v>40</v>
      </c>
      <c r="AC456" s="201">
        <v>0.04</v>
      </c>
      <c r="AD456" s="201"/>
      <c r="AE456" s="203">
        <v>6</v>
      </c>
      <c r="AF456" s="201"/>
      <c r="AG456" s="201"/>
      <c r="AH456" s="201"/>
      <c r="AI456" s="200"/>
      <c r="AJ456" s="200"/>
      <c r="AK456" s="200"/>
      <c r="AL456" s="203"/>
      <c r="AM456" s="200"/>
      <c r="AN456" s="200"/>
      <c r="AO456" s="199"/>
    </row>
    <row r="457" spans="1:41">
      <c r="A457" s="31" t="s">
        <v>541</v>
      </c>
      <c r="G457">
        <v>8</v>
      </c>
      <c r="H457">
        <v>9</v>
      </c>
      <c r="I457">
        <v>7</v>
      </c>
      <c r="J457">
        <v>21</v>
      </c>
      <c r="K457">
        <v>10</v>
      </c>
      <c r="L457">
        <v>8</v>
      </c>
      <c r="M457">
        <v>18</v>
      </c>
      <c r="V457" s="2"/>
      <c r="W457" s="2"/>
      <c r="X457" s="2"/>
      <c r="Y457" s="2"/>
      <c r="Z457" s="2"/>
      <c r="AA457" s="2"/>
      <c r="AB457" s="35">
        <v>40</v>
      </c>
      <c r="AC457" s="2"/>
      <c r="AD457" s="2"/>
      <c r="AE457" s="35"/>
      <c r="AF457" s="35"/>
      <c r="AG457" s="35"/>
      <c r="AH457" s="2"/>
      <c r="AL457" s="2"/>
    </row>
    <row r="458" spans="1:41">
      <c r="A458" s="31" t="s">
        <v>569</v>
      </c>
      <c r="G458">
        <v>14</v>
      </c>
      <c r="H458">
        <v>15</v>
      </c>
      <c r="I458">
        <v>11</v>
      </c>
      <c r="J458">
        <v>34</v>
      </c>
      <c r="K458">
        <v>10</v>
      </c>
      <c r="L458">
        <v>12</v>
      </c>
      <c r="M458">
        <v>29</v>
      </c>
      <c r="V458" s="2"/>
      <c r="W458" s="2"/>
      <c r="X458" s="2"/>
      <c r="Y458" s="2"/>
      <c r="Z458" s="2"/>
      <c r="AA458" s="2"/>
      <c r="AB458" s="35">
        <v>40</v>
      </c>
      <c r="AC458" s="2"/>
      <c r="AD458" s="2"/>
      <c r="AE458" s="35"/>
      <c r="AF458" s="35"/>
      <c r="AG458" s="35"/>
      <c r="AH458" s="2"/>
      <c r="AL458" s="2"/>
    </row>
    <row r="459" spans="1:41" s="200" customFormat="1">
      <c r="A459" s="202" t="s">
        <v>789</v>
      </c>
      <c r="G459" s="200">
        <v>19</v>
      </c>
      <c r="H459" s="200">
        <v>20</v>
      </c>
      <c r="I459" s="200">
        <v>16</v>
      </c>
      <c r="J459" s="200">
        <v>39</v>
      </c>
      <c r="K459" s="200">
        <v>15</v>
      </c>
      <c r="L459" s="200">
        <v>17</v>
      </c>
      <c r="M459" s="200">
        <v>34</v>
      </c>
      <c r="S459" s="200">
        <v>42</v>
      </c>
      <c r="T459" s="200">
        <v>18</v>
      </c>
      <c r="V459" s="201"/>
      <c r="W459" s="201"/>
      <c r="X459" s="201"/>
      <c r="Y459" s="201"/>
      <c r="Z459" s="201"/>
      <c r="AA459" s="201"/>
      <c r="AB459" s="203">
        <v>40</v>
      </c>
      <c r="AC459" s="201"/>
      <c r="AD459" s="201"/>
      <c r="AE459" s="203"/>
      <c r="AF459" s="203"/>
      <c r="AG459" s="203"/>
      <c r="AH459" s="201"/>
      <c r="AI459" s="203"/>
      <c r="AJ459" s="203"/>
      <c r="AK459" s="203"/>
      <c r="AL459" s="201"/>
      <c r="AM459" s="203"/>
    </row>
    <row r="460" spans="1:41" s="200" customFormat="1">
      <c r="A460" s="202" t="s">
        <v>790</v>
      </c>
      <c r="G460" s="200">
        <v>24</v>
      </c>
      <c r="H460" s="200">
        <v>25</v>
      </c>
      <c r="I460" s="200">
        <v>21</v>
      </c>
      <c r="J460" s="200">
        <v>44</v>
      </c>
      <c r="K460" s="200">
        <v>20</v>
      </c>
      <c r="L460" s="200">
        <v>22</v>
      </c>
      <c r="M460" s="200">
        <v>39</v>
      </c>
      <c r="S460" s="200">
        <v>52</v>
      </c>
      <c r="T460" s="200">
        <v>23</v>
      </c>
      <c r="V460" s="201"/>
      <c r="W460" s="201"/>
      <c r="X460" s="201"/>
      <c r="Y460" s="201"/>
      <c r="Z460" s="201"/>
      <c r="AA460" s="201"/>
      <c r="AB460" s="203">
        <v>40</v>
      </c>
      <c r="AC460" s="201"/>
      <c r="AD460" s="201"/>
      <c r="AE460" s="203"/>
      <c r="AF460" s="203"/>
      <c r="AG460" s="203"/>
      <c r="AH460" s="201"/>
      <c r="AI460" s="203"/>
      <c r="AJ460" s="203"/>
      <c r="AK460" s="203"/>
      <c r="AL460" s="201"/>
      <c r="AM460" s="203"/>
    </row>
    <row r="461" spans="1:41" s="200" customFormat="1">
      <c r="A461" s="202" t="s">
        <v>721</v>
      </c>
      <c r="G461" s="200">
        <v>16</v>
      </c>
      <c r="H461" s="200">
        <v>34</v>
      </c>
      <c r="I461" s="200">
        <v>10</v>
      </c>
      <c r="J461" s="200">
        <v>43</v>
      </c>
      <c r="L461" s="200">
        <v>11</v>
      </c>
      <c r="M461" s="200">
        <v>26</v>
      </c>
      <c r="N461" s="200">
        <v>35</v>
      </c>
      <c r="O461" s="200">
        <v>35</v>
      </c>
      <c r="Q461" s="200">
        <v>10</v>
      </c>
      <c r="R461" s="200">
        <v>10</v>
      </c>
      <c r="S461" s="200">
        <v>10</v>
      </c>
      <c r="T461" s="200">
        <v>10</v>
      </c>
      <c r="V461" s="201"/>
      <c r="W461" s="201">
        <v>0.06</v>
      </c>
      <c r="X461" s="201"/>
      <c r="Y461" s="201"/>
      <c r="Z461" s="201"/>
      <c r="AA461" s="201"/>
      <c r="AB461" s="200">
        <v>40</v>
      </c>
      <c r="AC461" s="201"/>
      <c r="AD461" s="201"/>
      <c r="AH461" s="201"/>
      <c r="AL461" s="201"/>
    </row>
    <row r="462" spans="1:41" s="200" customFormat="1">
      <c r="A462" s="202" t="s">
        <v>722</v>
      </c>
      <c r="G462" s="200">
        <v>16</v>
      </c>
      <c r="H462" s="200">
        <v>34</v>
      </c>
      <c r="I462" s="200">
        <v>10</v>
      </c>
      <c r="J462" s="200">
        <v>43</v>
      </c>
      <c r="L462" s="200">
        <v>11</v>
      </c>
      <c r="M462" s="200">
        <v>26</v>
      </c>
      <c r="N462" s="200">
        <v>35</v>
      </c>
      <c r="O462" s="200">
        <v>35</v>
      </c>
      <c r="Q462" s="200">
        <v>10</v>
      </c>
      <c r="R462" s="200">
        <v>10</v>
      </c>
      <c r="S462" s="200">
        <v>10</v>
      </c>
      <c r="T462" s="200">
        <v>10</v>
      </c>
      <c r="V462" s="201"/>
      <c r="W462" s="201">
        <v>0.02</v>
      </c>
      <c r="X462" s="201"/>
      <c r="Y462" s="201"/>
      <c r="Z462" s="201"/>
      <c r="AA462" s="201"/>
      <c r="AB462" s="200">
        <v>40</v>
      </c>
      <c r="AC462" s="201"/>
      <c r="AD462" s="201"/>
      <c r="AE462" s="200">
        <v>7</v>
      </c>
      <c r="AH462" s="201"/>
      <c r="AL462" s="201"/>
    </row>
    <row r="463" spans="1:41" s="200" customFormat="1">
      <c r="A463" s="202" t="s">
        <v>723</v>
      </c>
      <c r="G463" s="200">
        <v>16</v>
      </c>
      <c r="H463" s="200">
        <v>34</v>
      </c>
      <c r="I463" s="200">
        <v>10</v>
      </c>
      <c r="J463" s="200">
        <v>43</v>
      </c>
      <c r="L463" s="200">
        <v>11</v>
      </c>
      <c r="M463" s="200">
        <v>26</v>
      </c>
      <c r="N463" s="200">
        <v>35</v>
      </c>
      <c r="O463" s="200">
        <v>35</v>
      </c>
      <c r="Q463" s="200">
        <v>10</v>
      </c>
      <c r="R463" s="200">
        <v>10</v>
      </c>
      <c r="S463" s="200">
        <v>10</v>
      </c>
      <c r="T463" s="200">
        <v>10</v>
      </c>
      <c r="V463" s="201"/>
      <c r="W463" s="201">
        <v>0.02</v>
      </c>
      <c r="X463" s="201"/>
      <c r="Y463" s="201"/>
      <c r="Z463" s="201"/>
      <c r="AA463" s="201"/>
      <c r="AB463" s="200">
        <v>40</v>
      </c>
      <c r="AC463" s="201">
        <v>0.05</v>
      </c>
      <c r="AD463" s="201"/>
      <c r="AH463" s="201"/>
      <c r="AL463" s="201"/>
    </row>
    <row r="464" spans="1:41" s="200" customFormat="1">
      <c r="A464" s="202" t="s">
        <v>724</v>
      </c>
      <c r="G464" s="200">
        <v>16</v>
      </c>
      <c r="H464" s="200">
        <v>34</v>
      </c>
      <c r="I464" s="200">
        <v>10</v>
      </c>
      <c r="J464" s="200">
        <v>43</v>
      </c>
      <c r="L464" s="200">
        <v>11</v>
      </c>
      <c r="M464" s="200">
        <v>26</v>
      </c>
      <c r="N464" s="200">
        <v>35</v>
      </c>
      <c r="O464" s="200">
        <v>35</v>
      </c>
      <c r="Q464" s="200">
        <v>10</v>
      </c>
      <c r="R464" s="200">
        <v>10</v>
      </c>
      <c r="S464" s="200">
        <v>10</v>
      </c>
      <c r="T464" s="200">
        <v>10</v>
      </c>
      <c r="V464" s="201"/>
      <c r="W464" s="201">
        <v>0.02</v>
      </c>
      <c r="X464" s="201"/>
      <c r="Y464" s="201"/>
      <c r="Z464" s="201"/>
      <c r="AA464" s="201"/>
      <c r="AB464" s="200">
        <v>40</v>
      </c>
      <c r="AC464" s="201"/>
      <c r="AD464" s="201">
        <v>0.05</v>
      </c>
      <c r="AH464" s="201"/>
      <c r="AL464" s="201"/>
    </row>
    <row r="465" spans="1:55" s="200" customFormat="1">
      <c r="A465" s="202" t="s">
        <v>768</v>
      </c>
      <c r="G465" s="200">
        <v>16</v>
      </c>
      <c r="H465" s="200">
        <v>34</v>
      </c>
      <c r="I465" s="200">
        <v>10</v>
      </c>
      <c r="J465" s="200">
        <v>43</v>
      </c>
      <c r="L465" s="200">
        <v>11</v>
      </c>
      <c r="M465" s="200">
        <v>26</v>
      </c>
      <c r="N465" s="200">
        <v>35</v>
      </c>
      <c r="O465" s="200">
        <v>35</v>
      </c>
      <c r="Q465" s="200">
        <v>10</v>
      </c>
      <c r="R465" s="200">
        <v>10</v>
      </c>
      <c r="S465" s="200">
        <v>10</v>
      </c>
      <c r="T465" s="200">
        <v>10</v>
      </c>
      <c r="V465" s="201"/>
      <c r="W465" s="201">
        <v>0.02</v>
      </c>
      <c r="X465" s="201"/>
      <c r="Y465" s="201"/>
      <c r="Z465" s="201"/>
      <c r="AA465" s="201"/>
      <c r="AB465" s="200">
        <v>40</v>
      </c>
      <c r="AC465" s="201"/>
      <c r="AD465" s="201"/>
      <c r="AH465" s="201">
        <v>0.05</v>
      </c>
      <c r="AL465" s="201"/>
    </row>
    <row r="466" spans="1:55" s="200" customFormat="1">
      <c r="A466" s="202" t="s">
        <v>727</v>
      </c>
      <c r="G466" s="200">
        <v>16</v>
      </c>
      <c r="H466" s="200">
        <v>24</v>
      </c>
      <c r="I466" s="200">
        <v>10</v>
      </c>
      <c r="J466" s="200">
        <v>53</v>
      </c>
      <c r="L466" s="200">
        <v>11</v>
      </c>
      <c r="M466" s="200">
        <v>26</v>
      </c>
      <c r="N466" s="200">
        <v>35</v>
      </c>
      <c r="O466" s="200">
        <v>35</v>
      </c>
      <c r="Q466" s="200">
        <v>10</v>
      </c>
      <c r="R466" s="200">
        <v>10</v>
      </c>
      <c r="S466" s="200">
        <v>10</v>
      </c>
      <c r="T466" s="200">
        <v>10</v>
      </c>
      <c r="V466" s="201"/>
      <c r="W466" s="201">
        <v>0.06</v>
      </c>
      <c r="X466" s="201"/>
      <c r="Y466" s="201"/>
      <c r="Z466" s="201"/>
      <c r="AA466" s="201"/>
      <c r="AB466" s="200">
        <v>40</v>
      </c>
      <c r="AC466" s="201"/>
      <c r="AD466" s="201"/>
      <c r="AH466" s="201"/>
      <c r="AL466" s="201"/>
    </row>
    <row r="467" spans="1:55" s="200" customFormat="1">
      <c r="A467" s="202" t="s">
        <v>725</v>
      </c>
      <c r="G467" s="200">
        <v>16</v>
      </c>
      <c r="H467" s="200">
        <v>24</v>
      </c>
      <c r="I467" s="200">
        <v>10</v>
      </c>
      <c r="J467" s="200">
        <v>53</v>
      </c>
      <c r="L467" s="200">
        <v>11</v>
      </c>
      <c r="M467" s="200">
        <v>26</v>
      </c>
      <c r="N467" s="200">
        <v>35</v>
      </c>
      <c r="O467" s="200">
        <v>35</v>
      </c>
      <c r="Q467" s="200">
        <v>10</v>
      </c>
      <c r="R467" s="200">
        <v>10</v>
      </c>
      <c r="S467" s="200">
        <v>10</v>
      </c>
      <c r="T467" s="200">
        <v>10</v>
      </c>
      <c r="V467" s="201"/>
      <c r="W467" s="201">
        <v>0.02</v>
      </c>
      <c r="X467" s="201"/>
      <c r="Y467" s="201"/>
      <c r="Z467" s="201"/>
      <c r="AA467" s="201"/>
      <c r="AB467" s="200">
        <v>40</v>
      </c>
      <c r="AC467" s="201">
        <v>0.05</v>
      </c>
      <c r="AD467" s="201"/>
      <c r="AH467" s="201"/>
      <c r="AL467" s="201"/>
    </row>
    <row r="468" spans="1:55" s="200" customFormat="1">
      <c r="A468" s="202" t="s">
        <v>726</v>
      </c>
      <c r="G468" s="200">
        <v>16</v>
      </c>
      <c r="H468" s="200">
        <v>24</v>
      </c>
      <c r="I468" s="200">
        <v>10</v>
      </c>
      <c r="J468" s="200">
        <v>53</v>
      </c>
      <c r="L468" s="200">
        <v>11</v>
      </c>
      <c r="M468" s="200">
        <v>26</v>
      </c>
      <c r="N468" s="200">
        <v>35</v>
      </c>
      <c r="O468" s="200">
        <v>35</v>
      </c>
      <c r="Q468" s="200">
        <v>10</v>
      </c>
      <c r="R468" s="200">
        <v>10</v>
      </c>
      <c r="S468" s="200">
        <v>10</v>
      </c>
      <c r="T468" s="200">
        <v>10</v>
      </c>
      <c r="V468" s="201"/>
      <c r="W468" s="201">
        <v>0.02</v>
      </c>
      <c r="X468" s="201"/>
      <c r="Y468" s="201"/>
      <c r="Z468" s="201"/>
      <c r="AA468" s="201"/>
      <c r="AB468" s="200">
        <v>40</v>
      </c>
      <c r="AC468" s="201"/>
      <c r="AD468" s="201">
        <v>0.05</v>
      </c>
      <c r="AH468" s="201"/>
    </row>
    <row r="469" spans="1:55" s="200" customFormat="1">
      <c r="A469" s="202" t="s">
        <v>769</v>
      </c>
      <c r="G469" s="200">
        <v>16</v>
      </c>
      <c r="H469" s="200">
        <v>24</v>
      </c>
      <c r="I469" s="200">
        <v>10</v>
      </c>
      <c r="J469" s="200">
        <v>53</v>
      </c>
      <c r="L469" s="200">
        <v>11</v>
      </c>
      <c r="M469" s="200">
        <v>26</v>
      </c>
      <c r="N469" s="200">
        <v>35</v>
      </c>
      <c r="O469" s="200">
        <v>35</v>
      </c>
      <c r="Q469" s="200">
        <v>10</v>
      </c>
      <c r="R469" s="200">
        <v>10</v>
      </c>
      <c r="S469" s="200">
        <v>10</v>
      </c>
      <c r="T469" s="200">
        <v>10</v>
      </c>
      <c r="V469" s="201"/>
      <c r="W469" s="201">
        <v>0.02</v>
      </c>
      <c r="X469" s="201"/>
      <c r="Y469" s="201"/>
      <c r="Z469" s="201"/>
      <c r="AA469" s="201"/>
      <c r="AB469" s="200">
        <v>40</v>
      </c>
      <c r="AC469" s="201"/>
      <c r="AD469" s="201"/>
      <c r="AH469" s="201">
        <v>0.05</v>
      </c>
    </row>
    <row r="470" spans="1:55" s="200" customFormat="1">
      <c r="A470" s="202" t="s">
        <v>895</v>
      </c>
      <c r="G470" s="200">
        <v>26</v>
      </c>
      <c r="H470" s="200">
        <v>24</v>
      </c>
      <c r="I470" s="200">
        <v>10</v>
      </c>
      <c r="J470" s="200">
        <v>43</v>
      </c>
      <c r="L470" s="200">
        <v>11</v>
      </c>
      <c r="M470" s="200">
        <v>26</v>
      </c>
      <c r="N470" s="200">
        <v>35</v>
      </c>
      <c r="O470" s="200">
        <v>35</v>
      </c>
      <c r="Q470" s="200">
        <v>10</v>
      </c>
      <c r="R470" s="200">
        <v>10</v>
      </c>
      <c r="S470" s="200">
        <v>10</v>
      </c>
      <c r="T470" s="200">
        <v>10</v>
      </c>
      <c r="V470" s="201"/>
      <c r="W470" s="201">
        <v>0.06</v>
      </c>
      <c r="X470" s="201"/>
      <c r="Y470" s="201"/>
      <c r="Z470" s="201"/>
      <c r="AA470" s="201"/>
      <c r="AB470" s="200">
        <v>40</v>
      </c>
      <c r="AC470" s="201"/>
      <c r="AD470" s="201"/>
      <c r="AH470" s="201"/>
      <c r="AL470" s="201"/>
    </row>
    <row r="471" spans="1:55" s="200" customFormat="1">
      <c r="A471" s="202" t="s">
        <v>902</v>
      </c>
      <c r="G471" s="200">
        <v>26</v>
      </c>
      <c r="H471" s="200">
        <v>24</v>
      </c>
      <c r="I471" s="200">
        <v>10</v>
      </c>
      <c r="J471" s="200">
        <v>43</v>
      </c>
      <c r="L471" s="200">
        <v>11</v>
      </c>
      <c r="M471" s="200">
        <v>26</v>
      </c>
      <c r="N471" s="200">
        <v>35</v>
      </c>
      <c r="O471" s="200">
        <v>35</v>
      </c>
      <c r="Q471" s="200">
        <v>10</v>
      </c>
      <c r="R471" s="200">
        <v>10</v>
      </c>
      <c r="S471" s="200">
        <v>10</v>
      </c>
      <c r="T471" s="200">
        <v>10</v>
      </c>
      <c r="V471" s="201"/>
      <c r="W471" s="201">
        <v>0.02</v>
      </c>
      <c r="X471" s="201"/>
      <c r="Y471" s="201"/>
      <c r="Z471" s="201"/>
      <c r="AA471" s="201"/>
      <c r="AB471" s="200">
        <v>40</v>
      </c>
      <c r="AC471" s="201"/>
      <c r="AD471" s="201"/>
      <c r="AH471" s="201">
        <v>0.05</v>
      </c>
    </row>
    <row r="472" spans="1:55" s="200" customFormat="1">
      <c r="A472" s="202" t="s">
        <v>873</v>
      </c>
      <c r="G472" s="200">
        <v>26</v>
      </c>
      <c r="H472" s="200">
        <v>34</v>
      </c>
      <c r="I472" s="200">
        <v>10</v>
      </c>
      <c r="J472" s="200">
        <v>43</v>
      </c>
      <c r="L472" s="200">
        <v>11</v>
      </c>
      <c r="M472" s="200">
        <v>26</v>
      </c>
      <c r="N472" s="200">
        <v>35</v>
      </c>
      <c r="O472" s="200">
        <v>35</v>
      </c>
      <c r="Q472" s="200">
        <v>10</v>
      </c>
      <c r="R472" s="200">
        <v>10</v>
      </c>
      <c r="S472" s="200">
        <v>10</v>
      </c>
      <c r="T472" s="200">
        <v>10</v>
      </c>
      <c r="V472" s="201"/>
      <c r="W472" s="201">
        <v>0.02</v>
      </c>
      <c r="X472" s="201"/>
      <c r="Y472" s="201"/>
      <c r="Z472" s="201"/>
      <c r="AA472" s="201"/>
      <c r="AB472" s="200">
        <v>40</v>
      </c>
      <c r="AC472" s="201"/>
      <c r="AD472" s="201"/>
      <c r="AH472" s="201">
        <v>0.09</v>
      </c>
    </row>
    <row r="473" spans="1:55" s="200" customFormat="1">
      <c r="A473" s="202" t="s">
        <v>770</v>
      </c>
      <c r="G473" s="200">
        <v>25</v>
      </c>
      <c r="H473" s="200">
        <v>28</v>
      </c>
      <c r="I473" s="200">
        <v>20</v>
      </c>
      <c r="J473" s="200">
        <v>31</v>
      </c>
      <c r="L473" s="200">
        <v>3</v>
      </c>
      <c r="M473" s="200">
        <v>25</v>
      </c>
      <c r="N473" s="200">
        <v>36</v>
      </c>
      <c r="O473" s="200">
        <v>24</v>
      </c>
      <c r="V473" s="201"/>
      <c r="W473" s="201"/>
      <c r="X473" s="201"/>
      <c r="Y473" s="201"/>
      <c r="Z473" s="201"/>
      <c r="AA473" s="201">
        <v>7.0000000000000007E-2</v>
      </c>
      <c r="AB473" s="203">
        <v>30</v>
      </c>
      <c r="AC473" s="201"/>
      <c r="AD473" s="201"/>
      <c r="AF473" s="203"/>
      <c r="AG473" s="203"/>
      <c r="AH473" s="201"/>
      <c r="AI473" s="203"/>
      <c r="AJ473" s="203"/>
      <c r="AK473" s="203"/>
      <c r="AL473" s="203"/>
      <c r="AM473" s="203"/>
    </row>
    <row r="474" spans="1:55" s="200" customFormat="1">
      <c r="A474" s="202" t="s">
        <v>822</v>
      </c>
      <c r="G474" s="200">
        <v>28</v>
      </c>
      <c r="H474" s="200">
        <v>31</v>
      </c>
      <c r="I474" s="200">
        <v>23</v>
      </c>
      <c r="J474" s="200">
        <v>34</v>
      </c>
      <c r="L474" s="200">
        <v>3</v>
      </c>
      <c r="M474" s="200">
        <v>28</v>
      </c>
      <c r="N474" s="200">
        <v>42</v>
      </c>
      <c r="O474" s="200">
        <v>24</v>
      </c>
      <c r="V474" s="201"/>
      <c r="W474" s="201"/>
      <c r="X474" s="201"/>
      <c r="Y474" s="201"/>
      <c r="Z474" s="201"/>
      <c r="AA474" s="201">
        <v>0.08</v>
      </c>
      <c r="AB474" s="203">
        <v>30</v>
      </c>
      <c r="AC474" s="201"/>
      <c r="AD474" s="201"/>
      <c r="AF474" s="203"/>
      <c r="AG474" s="203"/>
      <c r="AH474" s="201"/>
      <c r="AI474" s="203"/>
      <c r="AJ474" s="203"/>
      <c r="AK474" s="203"/>
      <c r="AL474" s="203"/>
      <c r="AM474" s="203"/>
    </row>
    <row r="475" spans="1:55" s="200" customFormat="1">
      <c r="A475" s="200" t="s">
        <v>808</v>
      </c>
      <c r="G475" s="200">
        <v>20</v>
      </c>
      <c r="H475" s="200">
        <v>39</v>
      </c>
      <c r="I475" s="200">
        <v>21</v>
      </c>
      <c r="J475" s="200">
        <v>39</v>
      </c>
      <c r="L475" s="200">
        <v>14</v>
      </c>
      <c r="M475" s="200">
        <v>26</v>
      </c>
      <c r="N475" s="200">
        <v>38</v>
      </c>
      <c r="Q475" s="200">
        <v>33</v>
      </c>
      <c r="V475" s="201"/>
      <c r="W475" s="201">
        <v>0.03</v>
      </c>
      <c r="X475" s="201"/>
      <c r="Y475" s="201"/>
      <c r="Z475" s="201"/>
      <c r="AA475" s="201"/>
      <c r="AB475" s="203">
        <v>30</v>
      </c>
      <c r="AC475" s="201">
        <v>0.03</v>
      </c>
      <c r="AD475" s="201"/>
      <c r="AF475" s="203"/>
      <c r="AG475" s="203"/>
      <c r="AH475" s="201"/>
      <c r="AI475" s="203"/>
      <c r="AJ475" s="203"/>
      <c r="AK475" s="203"/>
      <c r="AL475" s="203"/>
      <c r="AM475" s="203"/>
    </row>
    <row r="476" spans="1:55" s="200" customFormat="1">
      <c r="A476" s="200" t="s">
        <v>807</v>
      </c>
      <c r="G476" s="200">
        <v>20</v>
      </c>
      <c r="H476" s="200">
        <v>44</v>
      </c>
      <c r="I476" s="200">
        <v>21</v>
      </c>
      <c r="J476" s="200">
        <v>44</v>
      </c>
      <c r="L476" s="200">
        <v>14</v>
      </c>
      <c r="M476" s="200">
        <v>26</v>
      </c>
      <c r="N476" s="200">
        <v>48</v>
      </c>
      <c r="Q476" s="200">
        <v>43</v>
      </c>
      <c r="V476" s="201"/>
      <c r="W476" s="201">
        <v>0.04</v>
      </c>
      <c r="X476" s="201"/>
      <c r="Y476" s="201"/>
      <c r="Z476" s="201"/>
      <c r="AA476" s="201"/>
      <c r="AB476" s="203">
        <v>30</v>
      </c>
      <c r="AC476" s="201">
        <v>0.05</v>
      </c>
      <c r="AD476" s="201"/>
      <c r="AF476" s="203"/>
      <c r="AG476" s="203"/>
      <c r="AH476" s="201"/>
      <c r="AI476" s="203"/>
      <c r="AJ476" s="203"/>
      <c r="AK476" s="203"/>
      <c r="AL476" s="203"/>
      <c r="AM476" s="203"/>
    </row>
    <row r="477" spans="1:55" s="200" customFormat="1">
      <c r="A477" s="200" t="s">
        <v>883</v>
      </c>
      <c r="G477" s="200">
        <v>6</v>
      </c>
      <c r="H477" s="200">
        <v>40</v>
      </c>
      <c r="I477" s="200">
        <v>12</v>
      </c>
      <c r="J477" s="200">
        <v>49</v>
      </c>
      <c r="L477" s="200">
        <v>15</v>
      </c>
      <c r="M477" s="200">
        <v>40</v>
      </c>
      <c r="N477" s="200">
        <v>50</v>
      </c>
      <c r="Q477" s="200">
        <v>50</v>
      </c>
      <c r="S477" s="200">
        <v>50</v>
      </c>
      <c r="V477" s="201"/>
      <c r="W477" s="201"/>
      <c r="X477" s="201"/>
      <c r="Y477" s="201"/>
      <c r="Z477" s="201"/>
      <c r="AA477" s="201"/>
      <c r="AB477" s="203">
        <v>30</v>
      </c>
      <c r="AC477" s="201"/>
      <c r="AD477" s="201"/>
      <c r="AE477" s="200">
        <v>9</v>
      </c>
      <c r="AF477" s="203"/>
      <c r="AG477" s="203"/>
      <c r="AH477" s="201"/>
      <c r="AI477" s="203"/>
      <c r="AJ477" s="203"/>
      <c r="AK477" s="203"/>
      <c r="AL477" s="203"/>
      <c r="AM477" s="203"/>
      <c r="BC477" s="200">
        <v>0.02</v>
      </c>
    </row>
    <row r="478" spans="1:55">
      <c r="A478" s="31" t="s">
        <v>582</v>
      </c>
      <c r="G478" s="35">
        <v>12</v>
      </c>
      <c r="H478" s="31">
        <v>13</v>
      </c>
      <c r="I478">
        <v>11</v>
      </c>
      <c r="J478" s="31">
        <v>25</v>
      </c>
      <c r="L478">
        <v>8</v>
      </c>
      <c r="M478" s="31">
        <v>18</v>
      </c>
      <c r="N478" s="31">
        <v>12</v>
      </c>
      <c r="O478" s="31">
        <v>12</v>
      </c>
      <c r="V478" s="2"/>
      <c r="W478" s="2"/>
      <c r="X478" s="2"/>
      <c r="Y478" s="2"/>
      <c r="Z478" s="2"/>
      <c r="AA478" s="2"/>
      <c r="AB478" s="50">
        <v>40</v>
      </c>
      <c r="AC478" s="2"/>
      <c r="AD478" s="2"/>
      <c r="AE478" s="35"/>
      <c r="AF478" s="2"/>
      <c r="AG478" s="2"/>
      <c r="AH478" s="2"/>
      <c r="AL478" s="2"/>
    </row>
    <row r="479" spans="1:55">
      <c r="A479" s="31" t="s">
        <v>583</v>
      </c>
      <c r="G479" s="35">
        <v>18</v>
      </c>
      <c r="H479" s="31">
        <v>19</v>
      </c>
      <c r="I479">
        <v>15</v>
      </c>
      <c r="J479" s="31">
        <v>38</v>
      </c>
      <c r="L479">
        <v>12</v>
      </c>
      <c r="M479" s="31">
        <v>29</v>
      </c>
      <c r="N479" s="31">
        <v>15</v>
      </c>
      <c r="O479" s="31">
        <v>15</v>
      </c>
      <c r="V479" s="2"/>
      <c r="W479" s="2"/>
      <c r="X479" s="2"/>
      <c r="Y479" s="2"/>
      <c r="Z479" s="2"/>
      <c r="AA479" s="2"/>
      <c r="AB479" s="50">
        <v>40</v>
      </c>
      <c r="AC479" s="2"/>
      <c r="AD479" s="2"/>
      <c r="AE479" s="35"/>
      <c r="AF479" s="2"/>
      <c r="AG479" s="2"/>
      <c r="AH479" s="2"/>
      <c r="AL479" s="2"/>
    </row>
    <row r="480" spans="1:55" s="200" customFormat="1">
      <c r="A480" s="202" t="s">
        <v>831</v>
      </c>
      <c r="G480" s="203">
        <v>23</v>
      </c>
      <c r="H480" s="202">
        <v>24</v>
      </c>
      <c r="I480" s="200">
        <v>20</v>
      </c>
      <c r="J480" s="103">
        <v>43</v>
      </c>
      <c r="K480" s="103"/>
      <c r="L480" s="103">
        <v>17</v>
      </c>
      <c r="M480" s="103">
        <v>34</v>
      </c>
      <c r="N480" s="103">
        <v>33</v>
      </c>
      <c r="O480" s="103">
        <v>61</v>
      </c>
      <c r="S480" s="200">
        <v>26</v>
      </c>
      <c r="V480" s="201"/>
      <c r="W480" s="201"/>
      <c r="X480" s="201"/>
      <c r="Y480" s="201"/>
      <c r="Z480" s="201"/>
      <c r="AA480" s="201"/>
      <c r="AB480" s="191">
        <v>40</v>
      </c>
      <c r="AC480" s="201"/>
      <c r="AD480" s="201"/>
      <c r="AE480" s="203"/>
      <c r="AF480" s="201"/>
      <c r="AG480" s="201"/>
      <c r="AH480" s="201"/>
      <c r="AI480" s="203"/>
      <c r="AJ480" s="203"/>
      <c r="AK480" s="203"/>
      <c r="AL480" s="201"/>
      <c r="AM480" s="203"/>
    </row>
    <row r="481" spans="1:40" s="200" customFormat="1">
      <c r="A481" s="202" t="s">
        <v>832</v>
      </c>
      <c r="G481" s="203">
        <v>28</v>
      </c>
      <c r="H481" s="202">
        <v>29</v>
      </c>
      <c r="I481" s="200">
        <v>25</v>
      </c>
      <c r="J481" s="103">
        <v>48</v>
      </c>
      <c r="K481" s="103"/>
      <c r="L481" s="103">
        <v>22</v>
      </c>
      <c r="M481" s="103">
        <v>39</v>
      </c>
      <c r="N481" s="103">
        <v>43</v>
      </c>
      <c r="O481" s="103">
        <v>76</v>
      </c>
      <c r="S481" s="200">
        <v>36</v>
      </c>
      <c r="V481" s="201"/>
      <c r="W481" s="201"/>
      <c r="X481" s="201"/>
      <c r="Y481" s="201"/>
      <c r="Z481" s="201"/>
      <c r="AA481" s="201"/>
      <c r="AB481" s="191">
        <v>40</v>
      </c>
      <c r="AC481" s="201"/>
      <c r="AD481" s="201"/>
      <c r="AE481" s="203"/>
      <c r="AF481" s="201"/>
      <c r="AG481" s="201"/>
      <c r="AH481" s="201"/>
      <c r="AI481" s="203"/>
      <c r="AJ481" s="203"/>
      <c r="AK481" s="203"/>
      <c r="AL481" s="201"/>
      <c r="AM481" s="203"/>
    </row>
    <row r="482" spans="1:40" s="200" customFormat="1">
      <c r="A482" s="202" t="s">
        <v>821</v>
      </c>
      <c r="G482" s="203">
        <v>16</v>
      </c>
      <c r="H482" s="202">
        <v>37</v>
      </c>
      <c r="I482" s="200">
        <v>10</v>
      </c>
      <c r="J482" s="103">
        <v>57</v>
      </c>
      <c r="L482" s="200">
        <v>11</v>
      </c>
      <c r="M482" s="103">
        <v>29</v>
      </c>
      <c r="N482" s="103">
        <v>42</v>
      </c>
      <c r="O482" s="202"/>
      <c r="Q482" s="200">
        <v>42</v>
      </c>
      <c r="S482" s="200">
        <v>42</v>
      </c>
      <c r="V482" s="201"/>
      <c r="W482" s="201"/>
      <c r="X482" s="201"/>
      <c r="Y482" s="201"/>
      <c r="Z482" s="201"/>
      <c r="AA482" s="201"/>
      <c r="AB482" s="191">
        <v>41</v>
      </c>
      <c r="AC482" s="201">
        <v>0.05</v>
      </c>
      <c r="AD482" s="201"/>
      <c r="AE482" s="203"/>
      <c r="AF482" s="201"/>
      <c r="AG482" s="201"/>
      <c r="AH482" s="201"/>
      <c r="AI482" s="203"/>
      <c r="AJ482" s="203"/>
      <c r="AK482" s="203"/>
      <c r="AL482" s="201"/>
      <c r="AM482" s="203"/>
    </row>
    <row r="483" spans="1:40" s="31" customFormat="1">
      <c r="A483" s="31" t="s">
        <v>515</v>
      </c>
      <c r="G483" s="31">
        <v>11</v>
      </c>
      <c r="H483" s="31">
        <v>12</v>
      </c>
      <c r="I483" s="31">
        <v>9</v>
      </c>
      <c r="J483" s="31">
        <v>27</v>
      </c>
      <c r="L483" s="31">
        <v>10</v>
      </c>
      <c r="M483" s="31">
        <v>23</v>
      </c>
      <c r="O483" s="31">
        <v>5</v>
      </c>
      <c r="V483" s="12"/>
      <c r="AB483" s="31">
        <v>40</v>
      </c>
      <c r="AE483" s="31">
        <v>7</v>
      </c>
    </row>
    <row r="484" spans="1:40" s="31" customFormat="1">
      <c r="A484" s="31" t="s">
        <v>576</v>
      </c>
      <c r="G484" s="31">
        <v>12</v>
      </c>
      <c r="H484" s="31">
        <v>13</v>
      </c>
      <c r="I484" s="31">
        <v>9</v>
      </c>
      <c r="J484" s="31">
        <v>32</v>
      </c>
      <c r="L484" s="31">
        <v>10</v>
      </c>
      <c r="M484" s="31">
        <v>27</v>
      </c>
      <c r="O484" s="31">
        <v>5</v>
      </c>
      <c r="V484" s="12"/>
      <c r="AB484" s="31">
        <v>51</v>
      </c>
      <c r="AE484" s="31">
        <v>7</v>
      </c>
    </row>
    <row r="485" spans="1:40" s="200" customFormat="1">
      <c r="A485" s="202" t="s">
        <v>906</v>
      </c>
      <c r="G485" s="200">
        <v>29</v>
      </c>
      <c r="H485" s="200">
        <v>38</v>
      </c>
      <c r="I485" s="200">
        <v>12</v>
      </c>
      <c r="J485" s="200">
        <v>34</v>
      </c>
      <c r="L485" s="200">
        <v>16</v>
      </c>
      <c r="M485" s="200">
        <v>28</v>
      </c>
      <c r="N485" s="200">
        <v>41</v>
      </c>
      <c r="O485" s="200">
        <v>20</v>
      </c>
      <c r="V485" s="201"/>
      <c r="W485" s="201"/>
      <c r="X485" s="201"/>
      <c r="Y485" s="201"/>
      <c r="Z485" s="201"/>
      <c r="AA485" s="201"/>
      <c r="AB485" s="200">
        <v>41</v>
      </c>
      <c r="AC485" s="201"/>
      <c r="AD485" s="201"/>
      <c r="AF485" s="201"/>
      <c r="AH485" s="201"/>
      <c r="AL485" s="201"/>
    </row>
    <row r="486" spans="1:40" s="200" customFormat="1">
      <c r="A486" s="202" t="s">
        <v>825</v>
      </c>
      <c r="G486" s="200">
        <v>39</v>
      </c>
      <c r="H486" s="200">
        <v>31</v>
      </c>
      <c r="I486" s="200">
        <v>11</v>
      </c>
      <c r="J486" s="200">
        <v>38</v>
      </c>
      <c r="L486" s="200">
        <v>5</v>
      </c>
      <c r="M486" s="200">
        <v>19</v>
      </c>
      <c r="N486" s="200">
        <v>20</v>
      </c>
      <c r="O486" s="200">
        <v>32</v>
      </c>
      <c r="R486" s="200">
        <v>32</v>
      </c>
      <c r="V486" s="201"/>
      <c r="W486" s="201"/>
      <c r="X486" s="201"/>
      <c r="Y486" s="201"/>
      <c r="Z486" s="201">
        <v>0.05</v>
      </c>
      <c r="AA486" s="201"/>
      <c r="AB486" s="200">
        <v>31</v>
      </c>
      <c r="AC486" s="201"/>
      <c r="AD486" s="201"/>
      <c r="AF486" s="201"/>
      <c r="AH486" s="201"/>
      <c r="AL486" s="201"/>
    </row>
    <row r="487" spans="1:40" s="200" customFormat="1">
      <c r="A487" s="202" t="s">
        <v>829</v>
      </c>
      <c r="G487" s="200">
        <v>39</v>
      </c>
      <c r="H487" s="200">
        <v>19</v>
      </c>
      <c r="I487" s="200">
        <v>11</v>
      </c>
      <c r="J487" s="200">
        <v>38</v>
      </c>
      <c r="L487" s="200">
        <v>5</v>
      </c>
      <c r="M487" s="200">
        <v>19</v>
      </c>
      <c r="O487" s="200">
        <v>57</v>
      </c>
      <c r="R487" s="200">
        <v>32</v>
      </c>
      <c r="V487" s="201"/>
      <c r="W487" s="201"/>
      <c r="X487" s="201"/>
      <c r="Y487" s="201"/>
      <c r="Z487" s="201">
        <v>0.05</v>
      </c>
      <c r="AA487" s="201"/>
      <c r="AB487" s="200">
        <v>31</v>
      </c>
      <c r="AC487" s="201">
        <v>0.04</v>
      </c>
      <c r="AD487" s="201"/>
      <c r="AF487" s="201"/>
      <c r="AG487" s="201"/>
      <c r="AH487" s="201"/>
      <c r="AN487" s="201"/>
    </row>
    <row r="488" spans="1:40" s="31" customFormat="1">
      <c r="A488" s="31" t="s">
        <v>681</v>
      </c>
      <c r="G488" s="31">
        <v>25</v>
      </c>
      <c r="H488" s="31">
        <v>34</v>
      </c>
      <c r="I488" s="31">
        <v>2</v>
      </c>
      <c r="J488" s="31">
        <v>37</v>
      </c>
      <c r="K488" s="31">
        <v>7</v>
      </c>
      <c r="L488" s="31">
        <v>18</v>
      </c>
      <c r="M488" s="31">
        <v>30</v>
      </c>
      <c r="N488" s="31">
        <v>23</v>
      </c>
      <c r="V488" s="12"/>
      <c r="W488" s="12"/>
      <c r="X488" s="12"/>
      <c r="Y488" s="12"/>
      <c r="Z488" s="12"/>
      <c r="AA488" s="12">
        <v>0.03</v>
      </c>
      <c r="AB488" s="50">
        <v>40</v>
      </c>
      <c r="AC488" s="12"/>
      <c r="AD488" s="12"/>
      <c r="AF488" s="50"/>
      <c r="AG488" s="12"/>
      <c r="AH488" s="12"/>
      <c r="AI488" s="50"/>
      <c r="AJ488" s="50"/>
      <c r="AK488" s="50"/>
      <c r="AL488" s="50"/>
      <c r="AM488" s="50"/>
    </row>
    <row r="489" spans="1:40" s="200" customFormat="1">
      <c r="A489" s="200" t="s">
        <v>904</v>
      </c>
      <c r="G489" s="200">
        <v>26</v>
      </c>
      <c r="H489" s="200">
        <v>29</v>
      </c>
      <c r="I489" s="200">
        <v>26</v>
      </c>
      <c r="J489" s="200">
        <v>42</v>
      </c>
      <c r="K489" s="200">
        <v>10</v>
      </c>
      <c r="L489" s="200">
        <v>15</v>
      </c>
      <c r="M489" s="200">
        <v>29</v>
      </c>
      <c r="N489" s="200">
        <v>60</v>
      </c>
      <c r="W489" s="201">
        <v>0.03</v>
      </c>
      <c r="Z489" s="201">
        <v>0.06</v>
      </c>
      <c r="AB489" s="200">
        <v>30</v>
      </c>
      <c r="AC489" s="201"/>
      <c r="AD489" s="201"/>
      <c r="AE489" s="200">
        <v>8</v>
      </c>
      <c r="AH489" s="201"/>
    </row>
    <row r="490" spans="1:40" s="31" customFormat="1">
      <c r="A490" s="31" t="s">
        <v>679</v>
      </c>
      <c r="G490" s="31">
        <v>10</v>
      </c>
      <c r="H490" s="31">
        <v>22</v>
      </c>
      <c r="I490" s="31">
        <v>10</v>
      </c>
      <c r="J490" s="31">
        <v>37</v>
      </c>
      <c r="L490" s="31">
        <v>10</v>
      </c>
      <c r="M490" s="31">
        <v>28</v>
      </c>
      <c r="N490" s="31">
        <v>27</v>
      </c>
      <c r="O490" s="31">
        <v>20</v>
      </c>
      <c r="Q490" s="31">
        <v>7</v>
      </c>
      <c r="S490" s="31">
        <v>7</v>
      </c>
      <c r="V490" s="12"/>
      <c r="W490" s="12"/>
      <c r="X490" s="12"/>
      <c r="Y490" s="12"/>
      <c r="Z490" s="12"/>
      <c r="AA490" s="12">
        <v>0.04</v>
      </c>
      <c r="AB490" s="50">
        <v>41</v>
      </c>
      <c r="AC490" s="12">
        <v>0.03</v>
      </c>
      <c r="AD490" s="12">
        <v>0.03</v>
      </c>
      <c r="AF490" s="50"/>
      <c r="AG490" s="12"/>
      <c r="AH490" s="12"/>
      <c r="AI490" s="50"/>
      <c r="AJ490" s="50"/>
      <c r="AK490" s="50"/>
      <c r="AL490" s="50"/>
      <c r="AM490" s="50"/>
    </row>
    <row r="491" spans="1:40">
      <c r="A491" t="s">
        <v>680</v>
      </c>
      <c r="G491">
        <v>17</v>
      </c>
      <c r="H491">
        <v>29</v>
      </c>
      <c r="I491">
        <v>10</v>
      </c>
      <c r="J491">
        <v>37</v>
      </c>
      <c r="L491">
        <v>10</v>
      </c>
      <c r="M491">
        <v>28</v>
      </c>
      <c r="N491">
        <v>27</v>
      </c>
      <c r="O491">
        <v>20</v>
      </c>
      <c r="Q491">
        <v>7</v>
      </c>
      <c r="S491">
        <v>7</v>
      </c>
      <c r="W491" s="201">
        <v>0.02</v>
      </c>
      <c r="AA491" s="201">
        <v>0.04</v>
      </c>
      <c r="AB491">
        <v>41</v>
      </c>
    </row>
    <row r="492" spans="1:40">
      <c r="A492" t="s">
        <v>697</v>
      </c>
      <c r="G492">
        <v>10</v>
      </c>
      <c r="H492">
        <v>22</v>
      </c>
      <c r="I492">
        <v>10</v>
      </c>
      <c r="J492">
        <v>37</v>
      </c>
      <c r="L492">
        <v>10</v>
      </c>
      <c r="M492">
        <v>28</v>
      </c>
      <c r="N492">
        <v>27</v>
      </c>
      <c r="O492">
        <v>20</v>
      </c>
      <c r="Q492">
        <v>7</v>
      </c>
      <c r="S492">
        <v>7</v>
      </c>
      <c r="AA492" s="201">
        <v>0.09</v>
      </c>
      <c r="AB492">
        <v>41</v>
      </c>
    </row>
    <row r="493" spans="1:40">
      <c r="AC493" s="2"/>
      <c r="AD493" s="2"/>
      <c r="AH493" s="2"/>
    </row>
    <row r="498" spans="29:34">
      <c r="AC498" s="2"/>
      <c r="AD498" s="2"/>
      <c r="AH498" s="2"/>
    </row>
  </sheetData>
  <sortState ref="A103:BM117">
    <sortCondition ref="A103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indexed="46"/>
  </sheetPr>
  <dimension ref="A1:AA163"/>
  <sheetViews>
    <sheetView workbookViewId="0"/>
  </sheetViews>
  <sheetFormatPr defaultRowHeight="12.75"/>
  <cols>
    <col min="1" max="1" width="22" customWidth="1"/>
    <col min="2" max="2" width="15.5703125" customWidth="1"/>
    <col min="3" max="3" width="11.7109375" customWidth="1"/>
    <col min="4" max="4" width="12.42578125" customWidth="1"/>
    <col min="5" max="5" width="11.7109375" customWidth="1"/>
    <col min="6" max="6" width="11.85546875" customWidth="1"/>
    <col min="7" max="7" width="12.28515625" customWidth="1"/>
    <col min="9" max="9" width="9.5703125" customWidth="1"/>
    <col min="10" max="10" width="12.5703125" customWidth="1"/>
    <col min="11" max="11" width="12.7109375" customWidth="1"/>
  </cols>
  <sheetData>
    <row r="1" spans="1:13">
      <c r="A1" s="9" t="s">
        <v>78</v>
      </c>
      <c r="B1" t="s">
        <v>3</v>
      </c>
      <c r="C1" t="s">
        <v>4</v>
      </c>
      <c r="D1" t="s">
        <v>42</v>
      </c>
      <c r="E1" t="s">
        <v>208</v>
      </c>
      <c r="F1" t="s">
        <v>13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</row>
    <row r="2" spans="1:13">
      <c r="A2" t="s">
        <v>54</v>
      </c>
      <c r="G2" s="2"/>
      <c r="J2" s="2"/>
    </row>
    <row r="3" spans="1:13">
      <c r="A3" t="s">
        <v>94</v>
      </c>
      <c r="G3" s="2">
        <v>0.2</v>
      </c>
      <c r="H3">
        <v>50</v>
      </c>
      <c r="J3" s="2">
        <v>0.1</v>
      </c>
      <c r="K3">
        <v>48</v>
      </c>
    </row>
    <row r="4" spans="1:13">
      <c r="A4" t="s">
        <v>95</v>
      </c>
      <c r="G4" s="2">
        <v>0.21</v>
      </c>
      <c r="H4">
        <v>55</v>
      </c>
      <c r="J4" s="2">
        <v>0.11</v>
      </c>
      <c r="K4">
        <v>52</v>
      </c>
    </row>
    <row r="5" spans="1:13">
      <c r="A5" t="s">
        <v>92</v>
      </c>
      <c r="G5" s="2"/>
      <c r="J5" s="2">
        <v>0.13</v>
      </c>
      <c r="K5">
        <v>62</v>
      </c>
    </row>
    <row r="6" spans="1:13">
      <c r="A6" t="s">
        <v>90</v>
      </c>
      <c r="B6">
        <v>5</v>
      </c>
      <c r="C6">
        <v>6</v>
      </c>
      <c r="G6" s="2"/>
      <c r="J6" s="2">
        <v>0.15</v>
      </c>
      <c r="K6">
        <v>72</v>
      </c>
    </row>
    <row r="7" spans="1:13">
      <c r="A7" t="s">
        <v>96</v>
      </c>
      <c r="C7">
        <v>6</v>
      </c>
      <c r="D7">
        <v>5</v>
      </c>
      <c r="G7" s="2"/>
      <c r="J7" s="2">
        <v>0.15</v>
      </c>
      <c r="K7">
        <v>72</v>
      </c>
    </row>
    <row r="8" spans="1:13">
      <c r="A8" t="s">
        <v>91</v>
      </c>
      <c r="C8">
        <v>6</v>
      </c>
      <c r="G8" s="2"/>
      <c r="J8" s="2">
        <v>0.16</v>
      </c>
      <c r="K8">
        <v>76</v>
      </c>
    </row>
    <row r="9" spans="1:13" s="200" customFormat="1">
      <c r="A9" s="202" t="s">
        <v>745</v>
      </c>
      <c r="B9" s="200">
        <v>6</v>
      </c>
      <c r="C9" s="200">
        <v>7</v>
      </c>
      <c r="G9" s="201"/>
      <c r="J9" s="201">
        <v>0.1</v>
      </c>
      <c r="K9" s="200">
        <v>100</v>
      </c>
    </row>
    <row r="10" spans="1:13" s="200" customFormat="1">
      <c r="A10" s="202" t="s">
        <v>907</v>
      </c>
      <c r="B10" s="200">
        <v>7</v>
      </c>
      <c r="C10" s="200">
        <v>8</v>
      </c>
      <c r="G10" s="201"/>
      <c r="J10" s="201">
        <v>0.11</v>
      </c>
      <c r="K10" s="200">
        <v>105</v>
      </c>
    </row>
    <row r="11" spans="1:13">
      <c r="A11" t="s">
        <v>89</v>
      </c>
      <c r="B11">
        <v>6</v>
      </c>
      <c r="E11">
        <v>-3</v>
      </c>
      <c r="G11" s="2">
        <v>0.18</v>
      </c>
      <c r="H11">
        <v>90</v>
      </c>
      <c r="J11" s="2"/>
    </row>
    <row r="12" spans="1:13">
      <c r="A12" t="s">
        <v>588</v>
      </c>
      <c r="B12" s="31">
        <v>8</v>
      </c>
      <c r="C12" s="31"/>
      <c r="D12" s="31"/>
      <c r="F12" s="31"/>
      <c r="G12" s="12">
        <v>0.23</v>
      </c>
      <c r="H12" s="31">
        <v>180</v>
      </c>
      <c r="M12" s="2"/>
    </row>
    <row r="13" spans="1:13">
      <c r="A13" t="s">
        <v>589</v>
      </c>
      <c r="B13" s="31">
        <v>7</v>
      </c>
      <c r="C13" s="31"/>
      <c r="D13" s="31"/>
      <c r="F13" s="31">
        <v>-10</v>
      </c>
      <c r="G13" s="12">
        <v>0.17</v>
      </c>
      <c r="H13" s="31">
        <v>110</v>
      </c>
      <c r="M13" s="2"/>
    </row>
    <row r="14" spans="1:13">
      <c r="A14" t="s">
        <v>590</v>
      </c>
      <c r="B14" s="31">
        <v>8</v>
      </c>
      <c r="C14" s="31"/>
      <c r="D14" s="31"/>
      <c r="F14" s="31"/>
      <c r="G14" s="12">
        <v>0.23499999999999999</v>
      </c>
      <c r="H14" s="31">
        <v>175</v>
      </c>
      <c r="M14" s="2"/>
    </row>
    <row r="15" spans="1:13">
      <c r="A15" t="s">
        <v>145</v>
      </c>
      <c r="B15">
        <v>4</v>
      </c>
      <c r="E15">
        <v>-3</v>
      </c>
      <c r="F15">
        <v>6</v>
      </c>
      <c r="G15" s="2">
        <v>0.18</v>
      </c>
      <c r="H15">
        <v>65</v>
      </c>
      <c r="J15" s="2"/>
    </row>
    <row r="16" spans="1:13">
      <c r="A16" t="s">
        <v>459</v>
      </c>
      <c r="B16">
        <v>5</v>
      </c>
      <c r="E16">
        <v>-7</v>
      </c>
      <c r="F16">
        <v>5</v>
      </c>
      <c r="G16" s="2">
        <v>0.22500000000000001</v>
      </c>
      <c r="H16">
        <v>120</v>
      </c>
      <c r="J16" s="2"/>
    </row>
    <row r="17" spans="1:17">
      <c r="A17" t="s">
        <v>85</v>
      </c>
      <c r="B17">
        <v>5</v>
      </c>
      <c r="E17">
        <v>-2</v>
      </c>
      <c r="G17" s="2">
        <v>0.22</v>
      </c>
      <c r="H17">
        <v>60</v>
      </c>
      <c r="J17" s="2"/>
    </row>
    <row r="18" spans="1:17">
      <c r="A18" t="s">
        <v>86</v>
      </c>
      <c r="B18">
        <v>5</v>
      </c>
      <c r="E18">
        <v>-2</v>
      </c>
      <c r="G18" s="2">
        <v>0.22</v>
      </c>
      <c r="H18">
        <v>65</v>
      </c>
      <c r="J18" s="2"/>
    </row>
    <row r="19" spans="1:17">
      <c r="A19" t="s">
        <v>88</v>
      </c>
      <c r="B19">
        <v>5</v>
      </c>
      <c r="E19">
        <v>-2</v>
      </c>
      <c r="G19" s="2">
        <v>0.2</v>
      </c>
      <c r="H19">
        <v>75</v>
      </c>
      <c r="J19" s="2"/>
    </row>
    <row r="20" spans="1:17">
      <c r="A20" t="s">
        <v>87</v>
      </c>
      <c r="B20">
        <v>5</v>
      </c>
      <c r="E20">
        <v>-2</v>
      </c>
      <c r="G20" s="2">
        <v>0.22</v>
      </c>
      <c r="H20">
        <v>80</v>
      </c>
      <c r="J20" s="2"/>
    </row>
    <row r="21" spans="1:17">
      <c r="A21" t="s">
        <v>93</v>
      </c>
      <c r="B21">
        <v>5</v>
      </c>
      <c r="E21">
        <v>-4</v>
      </c>
      <c r="G21" s="2">
        <v>0.23</v>
      </c>
      <c r="H21">
        <v>75</v>
      </c>
      <c r="J21" s="2"/>
    </row>
    <row r="22" spans="1:17">
      <c r="A22" t="s">
        <v>104</v>
      </c>
      <c r="B22">
        <v>5</v>
      </c>
      <c r="E22">
        <v>-4</v>
      </c>
      <c r="G22" s="2">
        <v>0.2</v>
      </c>
      <c r="H22">
        <v>85</v>
      </c>
      <c r="J22" s="2"/>
    </row>
    <row r="23" spans="1:17">
      <c r="A23" t="s">
        <v>105</v>
      </c>
      <c r="B23">
        <v>5</v>
      </c>
      <c r="E23">
        <v>-4</v>
      </c>
      <c r="G23" s="2">
        <v>0.23</v>
      </c>
      <c r="H23">
        <v>90</v>
      </c>
      <c r="J23" s="2"/>
    </row>
    <row r="24" spans="1:17">
      <c r="A24" t="s">
        <v>103</v>
      </c>
      <c r="B24">
        <v>7</v>
      </c>
      <c r="E24">
        <v>-2</v>
      </c>
      <c r="G24" s="2">
        <v>0.247</v>
      </c>
      <c r="H24">
        <v>150</v>
      </c>
      <c r="J24" s="2"/>
    </row>
    <row r="27" spans="1:17">
      <c r="A27" s="14" t="s">
        <v>340</v>
      </c>
      <c r="B27" s="14" t="s">
        <v>136</v>
      </c>
      <c r="C27" s="14" t="s">
        <v>366</v>
      </c>
      <c r="D27" s="14" t="s">
        <v>367</v>
      </c>
      <c r="E27" s="14" t="s">
        <v>368</v>
      </c>
      <c r="F27" s="14" t="s">
        <v>369</v>
      </c>
      <c r="G27" s="14" t="s">
        <v>370</v>
      </c>
      <c r="H27" s="21" t="s">
        <v>371</v>
      </c>
      <c r="I27" s="14" t="s">
        <v>372</v>
      </c>
      <c r="J27" s="14" t="s">
        <v>373</v>
      </c>
      <c r="K27" s="25" t="s">
        <v>374</v>
      </c>
      <c r="L27" s="14" t="s">
        <v>264</v>
      </c>
      <c r="M27" s="14" t="s">
        <v>378</v>
      </c>
      <c r="N27" s="14" t="s">
        <v>379</v>
      </c>
      <c r="O27" s="25" t="s">
        <v>375</v>
      </c>
      <c r="P27" s="25" t="s">
        <v>376</v>
      </c>
      <c r="Q27" s="25" t="s">
        <v>377</v>
      </c>
    </row>
    <row r="28" spans="1:17">
      <c r="A28" s="31" t="s">
        <v>599</v>
      </c>
      <c r="B28" s="44">
        <v>1</v>
      </c>
      <c r="C28">
        <v>0</v>
      </c>
      <c r="D28" s="31" t="s">
        <v>3</v>
      </c>
      <c r="E28" s="2">
        <v>0.6</v>
      </c>
      <c r="F28" s="29" t="s">
        <v>4</v>
      </c>
      <c r="G28" s="43">
        <v>0.6</v>
      </c>
      <c r="H28" s="47">
        <v>1</v>
      </c>
      <c r="I28" s="19">
        <v>1</v>
      </c>
      <c r="J28" s="19">
        <v>1</v>
      </c>
      <c r="K28" s="35">
        <v>0</v>
      </c>
      <c r="L28" s="89">
        <v>0</v>
      </c>
      <c r="M28" s="2">
        <v>0</v>
      </c>
      <c r="N28" s="2">
        <v>0</v>
      </c>
      <c r="O28" s="2">
        <v>0.35</v>
      </c>
      <c r="P28" s="2">
        <v>0.15</v>
      </c>
      <c r="Q28" s="2">
        <v>0.15</v>
      </c>
    </row>
    <row r="29" spans="1:17">
      <c r="A29" s="31" t="s">
        <v>600</v>
      </c>
      <c r="B29" s="44">
        <v>1</v>
      </c>
      <c r="C29">
        <v>1</v>
      </c>
      <c r="D29" s="31" t="s">
        <v>3</v>
      </c>
      <c r="E29" s="2">
        <v>0.2</v>
      </c>
      <c r="F29" s="29" t="s">
        <v>4</v>
      </c>
      <c r="G29" s="43">
        <v>0.6</v>
      </c>
      <c r="H29" s="47">
        <v>1</v>
      </c>
      <c r="I29" s="19">
        <v>1</v>
      </c>
      <c r="J29" s="19">
        <v>1</v>
      </c>
      <c r="K29" s="35">
        <v>0</v>
      </c>
      <c r="L29" s="89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</row>
    <row r="30" spans="1:17">
      <c r="A30" t="s">
        <v>125</v>
      </c>
      <c r="B30" s="44">
        <v>1</v>
      </c>
      <c r="C30" s="44">
        <v>2</v>
      </c>
      <c r="D30" s="44" t="s">
        <v>3</v>
      </c>
      <c r="E30" s="43">
        <v>0.3</v>
      </c>
      <c r="F30" s="44" t="s">
        <v>4</v>
      </c>
      <c r="G30" s="43">
        <v>0.3</v>
      </c>
      <c r="H30" s="19">
        <v>1.375</v>
      </c>
      <c r="I30" s="19">
        <v>1.375</v>
      </c>
      <c r="J30" s="19">
        <v>1.375</v>
      </c>
      <c r="K30" s="49">
        <v>1</v>
      </c>
      <c r="L30" s="97">
        <v>0</v>
      </c>
      <c r="M30" s="2">
        <v>0</v>
      </c>
      <c r="N30" s="2">
        <v>0</v>
      </c>
      <c r="O30" s="2">
        <v>0.1</v>
      </c>
      <c r="P30" s="2">
        <v>0.1</v>
      </c>
      <c r="Q30" s="2">
        <v>0.15</v>
      </c>
    </row>
    <row r="31" spans="1:17">
      <c r="A31" s="31" t="s">
        <v>601</v>
      </c>
      <c r="B31" s="44">
        <v>1</v>
      </c>
      <c r="C31" s="24">
        <v>0</v>
      </c>
      <c r="D31" s="119" t="s">
        <v>3</v>
      </c>
      <c r="E31" s="2">
        <v>0.3</v>
      </c>
      <c r="F31" s="119" t="s">
        <v>4</v>
      </c>
      <c r="G31" s="43">
        <v>0.3</v>
      </c>
      <c r="H31" s="47">
        <v>4.5</v>
      </c>
      <c r="I31" s="19">
        <v>11.5</v>
      </c>
      <c r="J31" s="19">
        <v>15.5</v>
      </c>
      <c r="K31" s="35">
        <v>0</v>
      </c>
      <c r="L31" s="89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</row>
    <row r="32" spans="1:17">
      <c r="A32" s="31" t="s">
        <v>602</v>
      </c>
      <c r="B32" s="44">
        <v>1</v>
      </c>
      <c r="C32">
        <v>4</v>
      </c>
      <c r="D32" s="119" t="s">
        <v>3</v>
      </c>
      <c r="E32" s="2">
        <v>0.3</v>
      </c>
      <c r="F32" s="119" t="s">
        <v>4</v>
      </c>
      <c r="G32" s="43">
        <v>0.3</v>
      </c>
      <c r="H32" s="47">
        <v>1.25</v>
      </c>
      <c r="I32" s="19">
        <v>1.25</v>
      </c>
      <c r="J32" s="19">
        <v>1.25</v>
      </c>
      <c r="K32" s="35">
        <v>1</v>
      </c>
      <c r="L32" s="89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</row>
    <row r="33" spans="1:17">
      <c r="A33" t="s">
        <v>453</v>
      </c>
      <c r="B33" s="44">
        <v>1</v>
      </c>
      <c r="C33" s="44">
        <v>0</v>
      </c>
      <c r="D33" s="24" t="s">
        <v>3</v>
      </c>
      <c r="E33" s="43">
        <v>0.6</v>
      </c>
      <c r="F33" s="24" t="s">
        <v>208</v>
      </c>
      <c r="G33" s="43">
        <v>0.6</v>
      </c>
      <c r="H33" s="19">
        <v>1</v>
      </c>
      <c r="I33" s="19">
        <v>1</v>
      </c>
      <c r="J33" s="19">
        <v>1</v>
      </c>
      <c r="K33" s="49">
        <v>0</v>
      </c>
      <c r="L33" s="97">
        <v>1.25</v>
      </c>
      <c r="M33" s="97">
        <v>0</v>
      </c>
      <c r="N33" s="97">
        <v>0</v>
      </c>
      <c r="O33" s="97">
        <v>0</v>
      </c>
      <c r="P33" s="97">
        <v>0</v>
      </c>
      <c r="Q33" s="97">
        <v>0</v>
      </c>
    </row>
    <row r="34" spans="1:17">
      <c r="A34" t="s">
        <v>359</v>
      </c>
      <c r="B34" s="44">
        <v>1</v>
      </c>
      <c r="C34" s="44">
        <v>0</v>
      </c>
      <c r="D34" s="24" t="s">
        <v>4</v>
      </c>
      <c r="E34" s="43">
        <v>0.8</v>
      </c>
      <c r="F34" s="24" t="s">
        <v>347</v>
      </c>
      <c r="G34" s="43">
        <v>0</v>
      </c>
      <c r="H34" s="47">
        <v>5</v>
      </c>
      <c r="I34" s="47">
        <v>5</v>
      </c>
      <c r="J34" s="3">
        <v>5</v>
      </c>
      <c r="K34" s="35">
        <v>0</v>
      </c>
      <c r="L34" s="89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</row>
    <row r="35" spans="1:17">
      <c r="A35" t="s">
        <v>126</v>
      </c>
      <c r="B35">
        <v>1</v>
      </c>
      <c r="C35">
        <v>0</v>
      </c>
      <c r="D35" t="s">
        <v>42</v>
      </c>
      <c r="E35" s="2">
        <v>0.8</v>
      </c>
      <c r="F35" s="44" t="s">
        <v>347</v>
      </c>
      <c r="G35" s="43">
        <v>0</v>
      </c>
      <c r="H35" s="47">
        <v>5</v>
      </c>
      <c r="I35" s="19">
        <v>5</v>
      </c>
      <c r="J35" s="19">
        <v>5</v>
      </c>
      <c r="K35" s="49">
        <v>0</v>
      </c>
      <c r="L35" s="2">
        <v>0</v>
      </c>
      <c r="M35" s="2">
        <v>0</v>
      </c>
      <c r="N35" s="2">
        <v>0</v>
      </c>
      <c r="O35" s="43">
        <v>0.15</v>
      </c>
      <c r="P35" s="2">
        <v>0.05</v>
      </c>
      <c r="Q35" s="2">
        <v>0.05</v>
      </c>
    </row>
    <row r="36" spans="1:17">
      <c r="A36" t="s">
        <v>338</v>
      </c>
      <c r="B36" s="24">
        <v>1</v>
      </c>
      <c r="C36" s="24">
        <v>4</v>
      </c>
      <c r="D36" s="24" t="s">
        <v>4</v>
      </c>
      <c r="E36" s="95">
        <v>0.85</v>
      </c>
      <c r="F36" s="24" t="s">
        <v>347</v>
      </c>
      <c r="G36" s="96">
        <v>0</v>
      </c>
      <c r="H36" s="47">
        <v>1</v>
      </c>
      <c r="I36" s="47">
        <v>1</v>
      </c>
      <c r="J36" s="47">
        <v>1</v>
      </c>
      <c r="K36" s="49">
        <v>1</v>
      </c>
      <c r="L36" s="97">
        <v>0</v>
      </c>
      <c r="M36" s="97">
        <v>1</v>
      </c>
      <c r="N36" s="97">
        <v>2</v>
      </c>
      <c r="O36" s="2">
        <v>0</v>
      </c>
      <c r="P36" s="2">
        <v>0</v>
      </c>
      <c r="Q36" s="2">
        <v>0</v>
      </c>
    </row>
    <row r="37" spans="1:17">
      <c r="A37" s="44"/>
      <c r="B37" s="44"/>
      <c r="C37" s="43"/>
      <c r="D37" s="44"/>
    </row>
    <row r="38" spans="1:17">
      <c r="C38" s="2"/>
    </row>
    <row r="40" spans="1:17">
      <c r="A40" s="14" t="s">
        <v>154</v>
      </c>
    </row>
    <row r="41" spans="1:17">
      <c r="A41">
        <v>0</v>
      </c>
    </row>
    <row r="42" spans="1:17">
      <c r="A42">
        <v>1</v>
      </c>
    </row>
    <row r="46" spans="1:17">
      <c r="A46" s="14" t="s">
        <v>107</v>
      </c>
      <c r="B46" s="14" t="s">
        <v>3</v>
      </c>
      <c r="C46" s="14" t="s">
        <v>4</v>
      </c>
      <c r="D46" s="14" t="s">
        <v>42</v>
      </c>
      <c r="E46" s="14" t="s">
        <v>208</v>
      </c>
      <c r="F46" s="14" t="s">
        <v>9</v>
      </c>
      <c r="G46" s="14" t="s">
        <v>10</v>
      </c>
      <c r="H46" s="14" t="s">
        <v>12</v>
      </c>
      <c r="I46" s="14" t="s">
        <v>152</v>
      </c>
      <c r="J46" s="14" t="s">
        <v>106</v>
      </c>
      <c r="K46" s="14" t="s">
        <v>108</v>
      </c>
      <c r="L46" s="14" t="s">
        <v>11</v>
      </c>
      <c r="M46" s="14" t="s">
        <v>13</v>
      </c>
      <c r="N46" s="14" t="s">
        <v>289</v>
      </c>
      <c r="O46" s="14" t="s">
        <v>116</v>
      </c>
    </row>
    <row r="47" spans="1:17">
      <c r="A47" t="s">
        <v>54</v>
      </c>
    </row>
    <row r="48" spans="1:17">
      <c r="A48" t="s">
        <v>165</v>
      </c>
      <c r="F48">
        <v>50</v>
      </c>
      <c r="I48" s="2">
        <v>0.1</v>
      </c>
    </row>
    <row r="49" spans="1:15">
      <c r="A49" t="s">
        <v>178</v>
      </c>
      <c r="I49" s="2">
        <v>0.15</v>
      </c>
    </row>
    <row r="50" spans="1:15">
      <c r="A50" t="s">
        <v>161</v>
      </c>
      <c r="D50">
        <v>10</v>
      </c>
      <c r="I50" s="2"/>
      <c r="J50" s="2">
        <v>0.2</v>
      </c>
    </row>
    <row r="51" spans="1:15">
      <c r="A51" t="s">
        <v>115</v>
      </c>
      <c r="F51">
        <v>30</v>
      </c>
      <c r="H51" s="2">
        <v>0.05</v>
      </c>
      <c r="I51" s="2"/>
      <c r="J51" s="2"/>
      <c r="K51" s="2"/>
    </row>
    <row r="52" spans="1:15">
      <c r="A52" t="s">
        <v>112</v>
      </c>
      <c r="D52">
        <v>50</v>
      </c>
      <c r="H52" s="2"/>
      <c r="I52" s="2"/>
      <c r="J52" s="2">
        <v>0.2</v>
      </c>
      <c r="K52" s="2"/>
    </row>
    <row r="53" spans="1:15">
      <c r="A53" t="s">
        <v>110</v>
      </c>
      <c r="B53">
        <v>40</v>
      </c>
      <c r="H53" s="2">
        <v>0.05</v>
      </c>
      <c r="I53" s="2"/>
      <c r="J53" s="2"/>
      <c r="K53" s="2"/>
    </row>
    <row r="54" spans="1:15">
      <c r="A54" t="s">
        <v>454</v>
      </c>
      <c r="E54">
        <v>50</v>
      </c>
      <c r="H54" s="2"/>
      <c r="I54" s="2"/>
      <c r="J54" s="2"/>
      <c r="K54" s="2"/>
    </row>
    <row r="55" spans="1:15">
      <c r="A55" t="s">
        <v>113</v>
      </c>
      <c r="C55">
        <v>50</v>
      </c>
      <c r="H55" s="2"/>
      <c r="I55" s="2"/>
      <c r="J55" s="2">
        <v>0.3</v>
      </c>
      <c r="K55" s="2">
        <v>0.3</v>
      </c>
    </row>
    <row r="56" spans="1:15">
      <c r="A56" t="s">
        <v>114</v>
      </c>
      <c r="H56" s="2"/>
      <c r="I56" s="2"/>
      <c r="J56" s="2"/>
      <c r="K56" s="2">
        <v>0.3</v>
      </c>
    </row>
    <row r="57" spans="1:15">
      <c r="A57" t="s">
        <v>164</v>
      </c>
      <c r="H57" s="2"/>
      <c r="I57" s="2"/>
      <c r="J57" s="2">
        <v>0.1</v>
      </c>
      <c r="K57" s="2"/>
      <c r="M57">
        <v>20</v>
      </c>
    </row>
    <row r="58" spans="1:15">
      <c r="A58" t="s">
        <v>288</v>
      </c>
      <c r="H58" s="2"/>
      <c r="I58" s="2"/>
      <c r="J58" s="2"/>
      <c r="K58" s="2"/>
      <c r="N58">
        <v>1000</v>
      </c>
    </row>
    <row r="59" spans="1:15">
      <c r="A59" t="s">
        <v>109</v>
      </c>
      <c r="B59">
        <v>40</v>
      </c>
      <c r="F59">
        <v>50</v>
      </c>
      <c r="H59" s="2"/>
      <c r="I59" s="2"/>
      <c r="J59" s="2"/>
      <c r="K59" s="2"/>
    </row>
    <row r="60" spans="1:15">
      <c r="A60" t="s">
        <v>111</v>
      </c>
      <c r="B60">
        <v>50</v>
      </c>
      <c r="H60" s="2">
        <v>0.05</v>
      </c>
      <c r="I60" s="2"/>
      <c r="J60" s="2"/>
      <c r="K60" s="2"/>
      <c r="O60">
        <v>20</v>
      </c>
    </row>
    <row r="64" spans="1:15">
      <c r="A64" s="14" t="s">
        <v>199</v>
      </c>
      <c r="B64" s="14" t="s">
        <v>32</v>
      </c>
      <c r="C64" s="14" t="s">
        <v>471</v>
      </c>
      <c r="D64" s="14" t="s">
        <v>33</v>
      </c>
      <c r="E64" s="14" t="s">
        <v>34</v>
      </c>
      <c r="F64" s="14" t="s">
        <v>42</v>
      </c>
      <c r="G64" s="14" t="s">
        <v>5</v>
      </c>
      <c r="H64" s="26" t="s">
        <v>208</v>
      </c>
      <c r="I64" s="14" t="s">
        <v>424</v>
      </c>
      <c r="J64" s="14" t="s">
        <v>425</v>
      </c>
    </row>
    <row r="65" spans="1:10">
      <c r="A65" s="31" t="s">
        <v>578</v>
      </c>
      <c r="B65">
        <v>84</v>
      </c>
      <c r="C65" t="s">
        <v>472</v>
      </c>
      <c r="D65">
        <v>360</v>
      </c>
      <c r="E65">
        <v>351</v>
      </c>
      <c r="F65">
        <v>74</v>
      </c>
      <c r="G65">
        <v>75</v>
      </c>
      <c r="H65">
        <v>75</v>
      </c>
      <c r="I65" s="2">
        <v>0</v>
      </c>
      <c r="J65" s="2">
        <v>0</v>
      </c>
    </row>
    <row r="66" spans="1:10">
      <c r="A66" s="31" t="s">
        <v>579</v>
      </c>
      <c r="B66">
        <v>96</v>
      </c>
      <c r="C66" t="s">
        <v>472</v>
      </c>
      <c r="D66">
        <v>435</v>
      </c>
      <c r="E66">
        <v>405</v>
      </c>
      <c r="F66">
        <v>98</v>
      </c>
      <c r="G66">
        <v>95</v>
      </c>
      <c r="H66">
        <v>95</v>
      </c>
      <c r="I66" s="2">
        <v>0</v>
      </c>
      <c r="J66" s="2">
        <v>0</v>
      </c>
    </row>
    <row r="67" spans="1:10">
      <c r="A67" t="s">
        <v>426</v>
      </c>
      <c r="B67">
        <v>99</v>
      </c>
      <c r="C67" t="s">
        <v>472</v>
      </c>
      <c r="D67">
        <v>516</v>
      </c>
      <c r="E67">
        <v>411</v>
      </c>
      <c r="F67">
        <v>77</v>
      </c>
      <c r="G67">
        <v>118</v>
      </c>
      <c r="H67">
        <v>118</v>
      </c>
      <c r="I67" s="2">
        <v>0.14000000000000001</v>
      </c>
      <c r="J67" s="2">
        <v>0</v>
      </c>
    </row>
    <row r="68" spans="1:10">
      <c r="A68" t="s">
        <v>475</v>
      </c>
      <c r="B68">
        <v>100</v>
      </c>
      <c r="C68" t="s">
        <v>474</v>
      </c>
      <c r="D68">
        <v>498</v>
      </c>
      <c r="E68">
        <v>468</v>
      </c>
      <c r="F68">
        <v>106</v>
      </c>
      <c r="G68">
        <v>110</v>
      </c>
      <c r="H68">
        <v>110</v>
      </c>
      <c r="I68" s="2">
        <v>0</v>
      </c>
      <c r="J68" s="2">
        <v>0</v>
      </c>
    </row>
    <row r="69" spans="1:10">
      <c r="A69" t="s">
        <v>473</v>
      </c>
      <c r="B69">
        <v>102</v>
      </c>
      <c r="C69" t="s">
        <v>474</v>
      </c>
      <c r="D69">
        <v>534</v>
      </c>
      <c r="E69">
        <v>505</v>
      </c>
      <c r="F69">
        <v>108</v>
      </c>
      <c r="G69">
        <v>112</v>
      </c>
      <c r="H69">
        <v>112</v>
      </c>
      <c r="I69" s="2">
        <v>0</v>
      </c>
      <c r="J69" s="2">
        <v>0</v>
      </c>
    </row>
    <row r="70" spans="1:10">
      <c r="A70" t="s">
        <v>492</v>
      </c>
      <c r="B70">
        <v>107</v>
      </c>
      <c r="C70" t="s">
        <v>474</v>
      </c>
      <c r="D70">
        <v>610</v>
      </c>
      <c r="E70">
        <v>590</v>
      </c>
      <c r="F70">
        <v>136</v>
      </c>
      <c r="G70">
        <v>136</v>
      </c>
      <c r="H70">
        <v>136</v>
      </c>
      <c r="I70" s="2">
        <v>0</v>
      </c>
      <c r="J70" s="2">
        <v>0</v>
      </c>
    </row>
    <row r="71" spans="1:10">
      <c r="A71" t="s">
        <v>350</v>
      </c>
      <c r="B71">
        <v>110</v>
      </c>
      <c r="C71" t="s">
        <v>472</v>
      </c>
      <c r="D71">
        <v>560</v>
      </c>
      <c r="E71">
        <v>485</v>
      </c>
      <c r="F71">
        <v>120</v>
      </c>
      <c r="G71">
        <v>120</v>
      </c>
      <c r="H71">
        <v>120</v>
      </c>
      <c r="I71" s="2">
        <v>0</v>
      </c>
      <c r="J71" s="2">
        <v>0</v>
      </c>
    </row>
    <row r="72" spans="1:10">
      <c r="A72" t="s">
        <v>603</v>
      </c>
      <c r="B72">
        <v>113</v>
      </c>
      <c r="C72" t="s">
        <v>474</v>
      </c>
      <c r="D72">
        <v>753</v>
      </c>
      <c r="E72">
        <v>713</v>
      </c>
      <c r="F72">
        <v>127</v>
      </c>
      <c r="G72">
        <v>138</v>
      </c>
      <c r="H72">
        <v>123</v>
      </c>
      <c r="I72" s="2">
        <v>0</v>
      </c>
      <c r="J72" s="2">
        <v>0</v>
      </c>
    </row>
    <row r="73" spans="1:10">
      <c r="A73" t="s">
        <v>427</v>
      </c>
      <c r="B73">
        <v>120</v>
      </c>
      <c r="C73" t="s">
        <v>472</v>
      </c>
      <c r="D73">
        <v>750</v>
      </c>
      <c r="E73">
        <v>540</v>
      </c>
      <c r="F73">
        <v>110</v>
      </c>
      <c r="G73">
        <v>123</v>
      </c>
      <c r="H73">
        <v>123</v>
      </c>
      <c r="I73" s="2">
        <v>0</v>
      </c>
      <c r="J73" s="2">
        <v>0</v>
      </c>
    </row>
    <row r="74" spans="1:10">
      <c r="A74" s="31" t="s">
        <v>514</v>
      </c>
      <c r="B74">
        <v>130</v>
      </c>
      <c r="C74" t="s">
        <v>474</v>
      </c>
      <c r="D74">
        <v>1900</v>
      </c>
      <c r="E74">
        <v>870</v>
      </c>
      <c r="F74">
        <v>200</v>
      </c>
      <c r="G74">
        <v>200</v>
      </c>
      <c r="H74">
        <v>200</v>
      </c>
      <c r="I74" s="2">
        <v>0</v>
      </c>
      <c r="J74" s="2">
        <v>0</v>
      </c>
    </row>
    <row r="75" spans="1:10">
      <c r="A75" s="31" t="s">
        <v>580</v>
      </c>
      <c r="B75">
        <v>126</v>
      </c>
      <c r="C75" s="31" t="s">
        <v>474</v>
      </c>
      <c r="D75">
        <v>1090</v>
      </c>
      <c r="E75">
        <v>1068</v>
      </c>
      <c r="F75">
        <v>235</v>
      </c>
      <c r="G75">
        <v>228</v>
      </c>
      <c r="H75">
        <v>215</v>
      </c>
      <c r="I75" s="2">
        <v>0</v>
      </c>
      <c r="J75" s="2">
        <v>0</v>
      </c>
    </row>
    <row r="76" spans="1:10" s="200" customFormat="1">
      <c r="A76" s="202" t="s">
        <v>801</v>
      </c>
      <c r="B76" s="200">
        <v>127</v>
      </c>
      <c r="C76" s="202" t="s">
        <v>474</v>
      </c>
      <c r="D76" s="200">
        <v>1130</v>
      </c>
      <c r="E76" s="200">
        <v>989</v>
      </c>
      <c r="F76" s="200">
        <v>230</v>
      </c>
      <c r="G76" s="200">
        <v>230</v>
      </c>
      <c r="H76" s="200">
        <v>220</v>
      </c>
      <c r="I76" s="201">
        <v>0</v>
      </c>
      <c r="J76" s="201">
        <v>0</v>
      </c>
    </row>
    <row r="77" spans="1:10" s="200" customFormat="1">
      <c r="A77" s="202" t="s">
        <v>802</v>
      </c>
      <c r="B77" s="200">
        <v>131</v>
      </c>
      <c r="C77" s="202" t="s">
        <v>474</v>
      </c>
      <c r="D77" s="200">
        <v>1286</v>
      </c>
      <c r="E77" s="200">
        <v>1103</v>
      </c>
      <c r="F77" s="200">
        <v>242</v>
      </c>
      <c r="G77" s="200">
        <v>242</v>
      </c>
      <c r="H77" s="200">
        <v>232</v>
      </c>
      <c r="I77" s="201">
        <v>0</v>
      </c>
      <c r="J77" s="201">
        <v>0</v>
      </c>
    </row>
    <row r="78" spans="1:10" s="200" customFormat="1">
      <c r="A78" s="202" t="s">
        <v>810</v>
      </c>
      <c r="B78" s="200">
        <v>136</v>
      </c>
      <c r="C78" s="202" t="s">
        <v>474</v>
      </c>
      <c r="D78" s="200">
        <v>1439</v>
      </c>
      <c r="E78" s="200">
        <v>1254</v>
      </c>
      <c r="F78" s="200">
        <v>290</v>
      </c>
      <c r="G78" s="200">
        <v>281</v>
      </c>
      <c r="H78" s="200">
        <v>244</v>
      </c>
      <c r="I78" s="201">
        <v>0</v>
      </c>
      <c r="J78" s="201">
        <v>0</v>
      </c>
    </row>
    <row r="79" spans="1:10" s="200" customFormat="1">
      <c r="A79" s="202" t="s">
        <v>803</v>
      </c>
      <c r="B79" s="200">
        <v>139</v>
      </c>
      <c r="C79" s="202" t="s">
        <v>474</v>
      </c>
      <c r="D79" s="200">
        <v>1525</v>
      </c>
      <c r="E79" s="200">
        <v>1319</v>
      </c>
      <c r="F79" s="200">
        <v>301</v>
      </c>
      <c r="G79" s="200">
        <v>295</v>
      </c>
      <c r="H79" s="200">
        <v>260</v>
      </c>
      <c r="I79" s="201">
        <v>0</v>
      </c>
      <c r="J79" s="201">
        <v>0</v>
      </c>
    </row>
    <row r="80" spans="1:10" s="200" customFormat="1">
      <c r="A80" s="202" t="s">
        <v>804</v>
      </c>
      <c r="B80" s="200">
        <v>140</v>
      </c>
      <c r="C80" s="202" t="s">
        <v>474</v>
      </c>
      <c r="D80" s="200">
        <v>1800</v>
      </c>
      <c r="E80" s="200">
        <v>1500</v>
      </c>
      <c r="F80" s="200">
        <v>325</v>
      </c>
      <c r="G80" s="200">
        <v>325</v>
      </c>
      <c r="H80" s="200">
        <v>325</v>
      </c>
      <c r="I80" s="201">
        <v>0</v>
      </c>
      <c r="J80" s="201">
        <v>0</v>
      </c>
    </row>
    <row r="81" spans="1:10" s="200" customFormat="1">
      <c r="A81" s="202" t="s">
        <v>859</v>
      </c>
      <c r="B81" s="200">
        <v>150</v>
      </c>
      <c r="C81" s="202" t="s">
        <v>474</v>
      </c>
      <c r="D81" s="200">
        <v>2100</v>
      </c>
      <c r="E81" s="200">
        <v>1720</v>
      </c>
      <c r="F81" s="200">
        <v>390</v>
      </c>
      <c r="G81" s="200">
        <v>390</v>
      </c>
      <c r="H81" s="200">
        <v>390</v>
      </c>
      <c r="I81" s="201">
        <v>0</v>
      </c>
      <c r="J81" s="201">
        <v>0</v>
      </c>
    </row>
    <row r="83" spans="1:10">
      <c r="A83" s="14" t="s">
        <v>200</v>
      </c>
    </row>
    <row r="84" spans="1:10">
      <c r="A84" t="s">
        <v>173</v>
      </c>
    </row>
    <row r="85" spans="1:10">
      <c r="A85" t="s">
        <v>202</v>
      </c>
    </row>
    <row r="87" spans="1:10">
      <c r="A87" s="14" t="s">
        <v>203</v>
      </c>
    </row>
    <row r="88" spans="1:10">
      <c r="A88" t="s">
        <v>1</v>
      </c>
    </row>
    <row r="89" spans="1:10">
      <c r="A89" t="s">
        <v>204</v>
      </c>
    </row>
    <row r="90" spans="1:10">
      <c r="A90" t="s">
        <v>205</v>
      </c>
    </row>
    <row r="91" spans="1:10">
      <c r="A91" t="s">
        <v>206</v>
      </c>
    </row>
    <row r="92" spans="1:10">
      <c r="A92" t="s">
        <v>169</v>
      </c>
    </row>
    <row r="93" spans="1:10">
      <c r="A93" s="44"/>
      <c r="B93" s="44"/>
      <c r="C93" s="44"/>
      <c r="D93" s="44"/>
      <c r="E93" s="44"/>
      <c r="F93" s="44"/>
      <c r="G93" s="44"/>
      <c r="H93" s="44"/>
      <c r="I93" s="44"/>
    </row>
    <row r="94" spans="1:10">
      <c r="A94" s="122" t="s">
        <v>521</v>
      </c>
      <c r="B94" s="44"/>
      <c r="C94" s="44"/>
      <c r="D94" s="44"/>
      <c r="E94" s="44"/>
      <c r="F94" s="44"/>
      <c r="G94" s="44"/>
      <c r="H94" s="44"/>
      <c r="I94" s="44"/>
    </row>
    <row r="95" spans="1:10">
      <c r="A95" s="119" t="s">
        <v>519</v>
      </c>
      <c r="B95" s="44"/>
      <c r="C95" s="44"/>
      <c r="D95" s="44"/>
      <c r="E95" s="44"/>
      <c r="F95" s="44"/>
      <c r="G95" s="44"/>
      <c r="H95" s="44"/>
      <c r="I95" s="44"/>
    </row>
    <row r="96" spans="1:10">
      <c r="A96" s="119" t="s">
        <v>517</v>
      </c>
      <c r="B96" s="44"/>
      <c r="C96" s="44"/>
      <c r="D96" s="44"/>
      <c r="E96" s="44"/>
      <c r="F96" s="44"/>
      <c r="G96" s="44"/>
      <c r="H96" s="44"/>
      <c r="I96" s="44"/>
    </row>
    <row r="97" spans="1:14">
      <c r="A97" s="119"/>
      <c r="B97" s="44"/>
      <c r="C97" s="44"/>
      <c r="D97" s="44"/>
      <c r="E97" s="44"/>
      <c r="F97" s="44"/>
      <c r="G97" s="44"/>
      <c r="H97" s="44"/>
      <c r="I97" s="44"/>
    </row>
    <row r="98" spans="1:14">
      <c r="A98" s="122" t="s">
        <v>650</v>
      </c>
      <c r="B98" s="44"/>
      <c r="C98" s="44"/>
      <c r="D98" s="44"/>
      <c r="E98" s="44"/>
      <c r="F98" s="44"/>
      <c r="G98" s="44"/>
      <c r="H98" s="44"/>
      <c r="I98" s="44"/>
    </row>
    <row r="99" spans="1:14">
      <c r="A99" s="119" t="s">
        <v>15</v>
      </c>
      <c r="B99" s="44"/>
      <c r="C99" s="44"/>
      <c r="D99" s="44"/>
      <c r="E99" s="44"/>
      <c r="F99" s="44"/>
      <c r="G99" s="44"/>
      <c r="H99" s="44"/>
      <c r="I99" s="44"/>
    </row>
    <row r="100" spans="1:14">
      <c r="A100" s="119" t="s">
        <v>654</v>
      </c>
      <c r="B100" s="44"/>
      <c r="C100" s="44"/>
      <c r="D100" s="44"/>
      <c r="E100" s="44"/>
      <c r="F100" s="44"/>
      <c r="G100" s="44"/>
      <c r="H100" s="44"/>
      <c r="I100" s="44"/>
    </row>
    <row r="101" spans="1:14">
      <c r="A101" s="44"/>
      <c r="B101" s="44"/>
      <c r="C101" s="44"/>
      <c r="D101" s="44"/>
      <c r="E101" s="44"/>
      <c r="F101" s="44"/>
      <c r="G101" s="44"/>
      <c r="H101" s="44"/>
      <c r="I101" s="44"/>
    </row>
    <row r="102" spans="1:14">
      <c r="A102" s="26" t="s">
        <v>516</v>
      </c>
      <c r="C102" s="44"/>
      <c r="D102" s="44"/>
      <c r="E102" s="44"/>
      <c r="F102" s="44"/>
      <c r="G102" s="44"/>
      <c r="H102" s="44"/>
      <c r="I102" s="44"/>
    </row>
    <row r="103" spans="1:14">
      <c r="A103" t="s">
        <v>517</v>
      </c>
      <c r="B103" t="s">
        <v>518</v>
      </c>
      <c r="C103" s="44">
        <f>230+Setup!B16</f>
        <v>246</v>
      </c>
      <c r="D103" s="44"/>
      <c r="E103" s="44"/>
      <c r="F103" s="44"/>
      <c r="G103" s="44"/>
      <c r="H103" s="44"/>
      <c r="I103" s="44"/>
    </row>
    <row r="104" spans="1:14">
      <c r="A104" s="31" t="s">
        <v>519</v>
      </c>
      <c r="B104" s="31" t="s">
        <v>30</v>
      </c>
      <c r="C104" s="44">
        <f>276+Setup!B15</f>
        <v>292</v>
      </c>
      <c r="D104" s="44"/>
      <c r="E104" s="44"/>
      <c r="F104" s="44"/>
      <c r="G104" s="44"/>
      <c r="H104" s="44"/>
      <c r="I104" s="44"/>
    </row>
    <row r="105" spans="1:14">
      <c r="A105" s="31" t="s">
        <v>651</v>
      </c>
      <c r="B105" s="31" t="s">
        <v>652</v>
      </c>
      <c r="C105" s="44">
        <f>276+Setup!B17</f>
        <v>292</v>
      </c>
      <c r="D105" s="44"/>
      <c r="E105" s="44"/>
      <c r="F105" s="44"/>
      <c r="G105" s="44"/>
      <c r="H105" s="44"/>
      <c r="I105" s="44"/>
    </row>
    <row r="108" spans="1:14">
      <c r="A108" s="111"/>
      <c r="B108" s="111"/>
      <c r="C108" s="111"/>
      <c r="D108" s="111" t="s">
        <v>463</v>
      </c>
      <c r="E108" s="111"/>
      <c r="F108" s="111"/>
      <c r="G108" s="111"/>
      <c r="H108" s="111"/>
      <c r="I108" s="111" t="s">
        <v>464</v>
      </c>
      <c r="J108" s="111"/>
      <c r="K108" s="22"/>
      <c r="L108" s="22"/>
    </row>
    <row r="109" spans="1:14">
      <c r="A109" s="113" t="s">
        <v>14</v>
      </c>
      <c r="B109" s="113" t="s">
        <v>477</v>
      </c>
      <c r="C109" s="113" t="s">
        <v>465</v>
      </c>
      <c r="D109" s="113">
        <v>0</v>
      </c>
      <c r="E109" s="113">
        <v>1</v>
      </c>
      <c r="F109" s="113">
        <v>2</v>
      </c>
      <c r="G109" s="113">
        <v>3</v>
      </c>
      <c r="H109" s="113">
        <v>4</v>
      </c>
      <c r="I109" s="113">
        <v>5</v>
      </c>
      <c r="J109" s="14">
        <v>6</v>
      </c>
      <c r="K109" s="113" t="s">
        <v>466</v>
      </c>
      <c r="L109" s="113" t="s">
        <v>467</v>
      </c>
      <c r="M109" s="113" t="s">
        <v>468</v>
      </c>
      <c r="N109" s="113" t="s">
        <v>469</v>
      </c>
    </row>
    <row r="110" spans="1:14" s="200" customFormat="1">
      <c r="A110" s="29" t="s">
        <v>704</v>
      </c>
      <c r="B110" s="29"/>
      <c r="C110" s="29" t="s">
        <v>119</v>
      </c>
      <c r="D110" s="111">
        <v>0</v>
      </c>
      <c r="E110" s="111">
        <v>0</v>
      </c>
      <c r="F110" s="217">
        <v>0.04</v>
      </c>
      <c r="G110" s="218">
        <v>0.06</v>
      </c>
      <c r="H110" s="218">
        <v>0.08</v>
      </c>
      <c r="I110" s="218">
        <v>0.1</v>
      </c>
      <c r="J110" s="201">
        <v>0.1</v>
      </c>
      <c r="K110" s="22">
        <f t="shared" ref="K110:N129" ca="1" si="0">HLOOKUP((COUNTIF(INDIRECT(K$109), $A110) + IF(ISBLANK($B110)=FALSE, COUNTIF(INDIRECT(K$109), $B110), 0)) * IF(COUNTIF(INDIRECT(K$109), $A110)&gt;0, 1, 0) * IF(ISBLANK($B110)=FALSE, IF(COUNTIF(INDIRECT(K$109), $B110)&gt;0, 1, 0), 1), SetBonusLookup, ROW()-ROW(SetBonusLookup)+1, FALSE)</f>
        <v>0</v>
      </c>
      <c r="L110" s="22">
        <f t="shared" ca="1" si="0"/>
        <v>0</v>
      </c>
      <c r="M110" s="22">
        <f t="shared" ca="1" si="0"/>
        <v>0</v>
      </c>
      <c r="N110" s="22">
        <f t="shared" ca="1" si="0"/>
        <v>0</v>
      </c>
    </row>
    <row r="111" spans="1:14" s="200" customFormat="1">
      <c r="A111" s="29" t="s">
        <v>704</v>
      </c>
      <c r="B111" s="29" t="s">
        <v>705</v>
      </c>
      <c r="C111" s="29" t="s">
        <v>119</v>
      </c>
      <c r="D111" s="111">
        <v>0</v>
      </c>
      <c r="E111" s="111">
        <v>0</v>
      </c>
      <c r="F111" s="217">
        <v>0.04</v>
      </c>
      <c r="G111" s="218">
        <v>0.06</v>
      </c>
      <c r="H111" s="218">
        <v>0.08</v>
      </c>
      <c r="I111" s="218">
        <v>0.1</v>
      </c>
      <c r="J111" s="218">
        <v>0.1</v>
      </c>
      <c r="K111" s="22">
        <f t="shared" ca="1" si="0"/>
        <v>0</v>
      </c>
      <c r="L111" s="22">
        <f t="shared" ca="1" si="0"/>
        <v>0</v>
      </c>
      <c r="M111" s="22">
        <f t="shared" ca="1" si="0"/>
        <v>0</v>
      </c>
      <c r="N111" s="22">
        <f t="shared" ca="1" si="0"/>
        <v>0</v>
      </c>
    </row>
    <row r="112" spans="1:14" s="200" customFormat="1">
      <c r="A112" s="29" t="s">
        <v>704</v>
      </c>
      <c r="B112" s="29" t="s">
        <v>720</v>
      </c>
      <c r="C112" s="29" t="s">
        <v>119</v>
      </c>
      <c r="D112" s="111">
        <v>0</v>
      </c>
      <c r="E112" s="111">
        <v>0</v>
      </c>
      <c r="F112" s="217">
        <v>0.04</v>
      </c>
      <c r="G112" s="218">
        <v>0.06</v>
      </c>
      <c r="H112" s="218">
        <v>0.08</v>
      </c>
      <c r="I112" s="218">
        <v>0.1</v>
      </c>
      <c r="J112" s="218">
        <v>0.1</v>
      </c>
      <c r="K112" s="22">
        <f t="shared" ca="1" si="0"/>
        <v>0</v>
      </c>
      <c r="L112" s="22">
        <f t="shared" ca="1" si="0"/>
        <v>0</v>
      </c>
      <c r="M112" s="22">
        <f t="shared" ca="1" si="0"/>
        <v>0</v>
      </c>
      <c r="N112" s="22">
        <f t="shared" ca="1" si="0"/>
        <v>0</v>
      </c>
    </row>
    <row r="113" spans="1:14" s="200" customFormat="1">
      <c r="A113" s="29" t="s">
        <v>705</v>
      </c>
      <c r="B113" s="29"/>
      <c r="C113" s="29" t="s">
        <v>119</v>
      </c>
      <c r="D113" s="111">
        <v>0</v>
      </c>
      <c r="E113" s="111">
        <v>0</v>
      </c>
      <c r="F113" s="217">
        <v>0.04</v>
      </c>
      <c r="G113" s="218">
        <v>0.06</v>
      </c>
      <c r="H113" s="218">
        <v>0.08</v>
      </c>
      <c r="I113" s="218">
        <v>0.1</v>
      </c>
      <c r="J113" s="218">
        <v>0.1</v>
      </c>
      <c r="K113" s="22">
        <f t="shared" ca="1" si="0"/>
        <v>0.04</v>
      </c>
      <c r="L113" s="22">
        <f t="shared" ca="1" si="0"/>
        <v>0.04</v>
      </c>
      <c r="M113" s="22">
        <f t="shared" ca="1" si="0"/>
        <v>0</v>
      </c>
      <c r="N113" s="22">
        <f t="shared" ca="1" si="0"/>
        <v>0</v>
      </c>
    </row>
    <row r="114" spans="1:14" s="200" customFormat="1">
      <c r="A114" s="134" t="s">
        <v>705</v>
      </c>
      <c r="B114" s="134" t="s">
        <v>720</v>
      </c>
      <c r="C114" s="134" t="s">
        <v>119</v>
      </c>
      <c r="D114" s="134">
        <v>0</v>
      </c>
      <c r="E114" s="134">
        <v>0</v>
      </c>
      <c r="F114" s="217">
        <v>0.04</v>
      </c>
      <c r="G114" s="218">
        <v>0.06</v>
      </c>
      <c r="H114" s="218">
        <v>0.08</v>
      </c>
      <c r="I114" s="218">
        <v>0.1</v>
      </c>
      <c r="J114" s="218">
        <v>0.1</v>
      </c>
      <c r="K114" s="22">
        <f t="shared" ca="1" si="0"/>
        <v>0</v>
      </c>
      <c r="L114" s="22">
        <f t="shared" ca="1" si="0"/>
        <v>0</v>
      </c>
      <c r="M114" s="22">
        <f t="shared" ca="1" si="0"/>
        <v>0</v>
      </c>
      <c r="N114" s="22">
        <f t="shared" ca="1" si="0"/>
        <v>0</v>
      </c>
    </row>
    <row r="115" spans="1:14" s="200" customFormat="1">
      <c r="A115" s="134" t="s">
        <v>720</v>
      </c>
      <c r="B115" s="134"/>
      <c r="C115" s="29" t="s">
        <v>119</v>
      </c>
      <c r="D115" s="111">
        <v>0</v>
      </c>
      <c r="E115" s="111">
        <v>0</v>
      </c>
      <c r="F115" s="217">
        <v>0.04</v>
      </c>
      <c r="G115" s="218">
        <v>0.06</v>
      </c>
      <c r="H115" s="218">
        <v>0.08</v>
      </c>
      <c r="I115" s="218">
        <v>0.1</v>
      </c>
      <c r="J115" s="218">
        <v>0.1</v>
      </c>
      <c r="K115" s="22">
        <f t="shared" ca="1" si="0"/>
        <v>0</v>
      </c>
      <c r="L115" s="22">
        <f t="shared" ca="1" si="0"/>
        <v>0</v>
      </c>
      <c r="M115" s="22">
        <f t="shared" ca="1" si="0"/>
        <v>0</v>
      </c>
      <c r="N115" s="22">
        <f t="shared" ca="1" si="0"/>
        <v>0</v>
      </c>
    </row>
    <row r="116" spans="1:14">
      <c r="A116" s="22" t="s">
        <v>490</v>
      </c>
      <c r="B116" s="22" t="s">
        <v>491</v>
      </c>
      <c r="C116" s="22" t="s">
        <v>12</v>
      </c>
      <c r="D116" s="22">
        <v>0</v>
      </c>
      <c r="E116" s="22">
        <v>0</v>
      </c>
      <c r="F116" s="117">
        <v>7.0000000000000007E-2</v>
      </c>
      <c r="G116" s="22">
        <v>0</v>
      </c>
      <c r="H116" s="22">
        <v>0</v>
      </c>
      <c r="I116" s="22">
        <v>0</v>
      </c>
      <c r="J116" s="225">
        <v>0</v>
      </c>
      <c r="K116" s="22">
        <f t="shared" ca="1" si="0"/>
        <v>0</v>
      </c>
      <c r="L116" s="22">
        <f t="shared" ca="1" si="0"/>
        <v>0</v>
      </c>
      <c r="M116" s="22">
        <f t="shared" ca="1" si="0"/>
        <v>0</v>
      </c>
      <c r="N116" s="22">
        <f t="shared" ca="1" si="0"/>
        <v>0</v>
      </c>
    </row>
    <row r="117" spans="1:14">
      <c r="A117" s="22" t="s">
        <v>488</v>
      </c>
      <c r="B117" s="22" t="s">
        <v>489</v>
      </c>
      <c r="C117" s="22" t="s">
        <v>122</v>
      </c>
      <c r="D117" s="22">
        <v>0</v>
      </c>
      <c r="E117" s="22">
        <v>0</v>
      </c>
      <c r="F117" s="117">
        <v>7.0000000000000007E-2</v>
      </c>
      <c r="G117" s="22">
        <v>0</v>
      </c>
      <c r="H117" s="22">
        <v>0</v>
      </c>
      <c r="I117" s="22">
        <v>0</v>
      </c>
      <c r="J117" s="225">
        <v>0</v>
      </c>
      <c r="K117" s="22">
        <f t="shared" ca="1" si="0"/>
        <v>0</v>
      </c>
      <c r="L117" s="22">
        <f t="shared" ca="1" si="0"/>
        <v>0</v>
      </c>
      <c r="M117" s="22">
        <f t="shared" ca="1" si="0"/>
        <v>0</v>
      </c>
      <c r="N117" s="22">
        <f t="shared" ca="1" si="0"/>
        <v>0</v>
      </c>
    </row>
    <row r="118" spans="1:14">
      <c r="A118" s="22" t="s">
        <v>73</v>
      </c>
      <c r="B118" s="22"/>
      <c r="C118" s="22" t="s">
        <v>10</v>
      </c>
      <c r="D118" s="22">
        <v>0</v>
      </c>
      <c r="E118" s="22">
        <v>0</v>
      </c>
      <c r="F118" s="22">
        <v>0</v>
      </c>
      <c r="G118" s="22">
        <v>0</v>
      </c>
      <c r="H118" s="22">
        <v>0</v>
      </c>
      <c r="I118" s="22">
        <v>20</v>
      </c>
      <c r="J118" s="225">
        <v>20</v>
      </c>
      <c r="K118" s="22">
        <f t="shared" ca="1" si="0"/>
        <v>0</v>
      </c>
      <c r="L118" s="22">
        <f t="shared" ca="1" si="0"/>
        <v>0</v>
      </c>
      <c r="M118" s="22">
        <f t="shared" ca="1" si="0"/>
        <v>0</v>
      </c>
      <c r="N118" s="22">
        <f t="shared" ca="1" si="0"/>
        <v>0</v>
      </c>
    </row>
    <row r="119" spans="1:14" s="200" customFormat="1">
      <c r="A119" s="202" t="s">
        <v>790</v>
      </c>
      <c r="B119" s="202" t="s">
        <v>838</v>
      </c>
      <c r="C119" s="202" t="s">
        <v>10</v>
      </c>
      <c r="D119" s="202">
        <v>0</v>
      </c>
      <c r="E119" s="202">
        <v>0</v>
      </c>
      <c r="F119" s="39">
        <v>15</v>
      </c>
      <c r="G119" s="39">
        <v>30</v>
      </c>
      <c r="H119" s="39">
        <v>45</v>
      </c>
      <c r="I119" s="39">
        <v>60</v>
      </c>
      <c r="J119" s="225">
        <v>60</v>
      </c>
      <c r="K119" s="22">
        <f t="shared" ca="1" si="0"/>
        <v>0</v>
      </c>
      <c r="L119" s="22">
        <f t="shared" ca="1" si="0"/>
        <v>0</v>
      </c>
      <c r="M119" s="22">
        <f t="shared" ca="1" si="0"/>
        <v>15</v>
      </c>
      <c r="N119" s="22">
        <f t="shared" ca="1" si="0"/>
        <v>15</v>
      </c>
    </row>
    <row r="120" spans="1:14" s="200" customFormat="1">
      <c r="A120" s="202" t="s">
        <v>790</v>
      </c>
      <c r="B120" s="202" t="s">
        <v>838</v>
      </c>
      <c r="C120" s="202" t="s">
        <v>836</v>
      </c>
      <c r="D120" s="202">
        <v>0</v>
      </c>
      <c r="E120" s="202">
        <v>0</v>
      </c>
      <c r="F120" s="39">
        <v>15</v>
      </c>
      <c r="G120" s="39">
        <v>30</v>
      </c>
      <c r="H120" s="39">
        <v>45</v>
      </c>
      <c r="I120" s="39">
        <v>60</v>
      </c>
      <c r="J120" s="225">
        <v>60</v>
      </c>
      <c r="K120" s="22">
        <f t="shared" ca="1" si="0"/>
        <v>0</v>
      </c>
      <c r="L120" s="22">
        <f t="shared" ca="1" si="0"/>
        <v>0</v>
      </c>
      <c r="M120" s="22">
        <f t="shared" ca="1" si="0"/>
        <v>15</v>
      </c>
      <c r="N120" s="22">
        <f t="shared" ca="1" si="0"/>
        <v>15</v>
      </c>
    </row>
    <row r="121" spans="1:14" s="200" customFormat="1">
      <c r="A121" s="202" t="s">
        <v>790</v>
      </c>
      <c r="B121" s="202" t="s">
        <v>838</v>
      </c>
      <c r="C121" s="202" t="s">
        <v>837</v>
      </c>
      <c r="D121" s="202">
        <v>0</v>
      </c>
      <c r="E121" s="202">
        <v>0</v>
      </c>
      <c r="F121" s="39">
        <v>15</v>
      </c>
      <c r="G121" s="39">
        <v>30</v>
      </c>
      <c r="H121" s="39">
        <v>45</v>
      </c>
      <c r="I121" s="39">
        <v>60</v>
      </c>
      <c r="J121" s="225">
        <v>60</v>
      </c>
      <c r="K121" s="22">
        <f t="shared" ca="1" si="0"/>
        <v>0</v>
      </c>
      <c r="L121" s="22">
        <f t="shared" ca="1" si="0"/>
        <v>0</v>
      </c>
      <c r="M121" s="22">
        <f t="shared" ca="1" si="0"/>
        <v>15</v>
      </c>
      <c r="N121" s="22">
        <f t="shared" ca="1" si="0"/>
        <v>15</v>
      </c>
    </row>
    <row r="122" spans="1:14" s="200" customFormat="1">
      <c r="A122" s="202" t="s">
        <v>821</v>
      </c>
      <c r="B122" s="22"/>
      <c r="C122" s="202" t="s">
        <v>4</v>
      </c>
      <c r="D122" s="202">
        <v>0</v>
      </c>
      <c r="E122" s="202">
        <v>0</v>
      </c>
      <c r="F122" s="202">
        <v>8</v>
      </c>
      <c r="G122" s="202">
        <v>16</v>
      </c>
      <c r="H122" s="202">
        <v>24</v>
      </c>
      <c r="I122" s="202">
        <v>32</v>
      </c>
      <c r="J122" s="225">
        <v>32</v>
      </c>
      <c r="K122" s="22">
        <f t="shared" ca="1" si="0"/>
        <v>0</v>
      </c>
      <c r="L122" s="22">
        <f t="shared" ca="1" si="0"/>
        <v>0</v>
      </c>
      <c r="M122" s="22">
        <f t="shared" ca="1" si="0"/>
        <v>0</v>
      </c>
      <c r="N122" s="22">
        <f t="shared" ca="1" si="0"/>
        <v>0</v>
      </c>
    </row>
    <row r="123" spans="1:14" s="200" customFormat="1">
      <c r="A123" s="202" t="s">
        <v>821</v>
      </c>
      <c r="B123" s="22"/>
      <c r="C123" s="202" t="s">
        <v>42</v>
      </c>
      <c r="D123" s="202">
        <v>0</v>
      </c>
      <c r="E123" s="202">
        <v>0</v>
      </c>
      <c r="F123" s="202">
        <v>8</v>
      </c>
      <c r="G123" s="202">
        <v>16</v>
      </c>
      <c r="H123" s="202">
        <v>24</v>
      </c>
      <c r="I123" s="202">
        <v>32</v>
      </c>
      <c r="J123" s="225">
        <v>32</v>
      </c>
      <c r="K123" s="22">
        <f t="shared" ca="1" si="0"/>
        <v>0</v>
      </c>
      <c r="L123" s="22">
        <f t="shared" ca="1" si="0"/>
        <v>0</v>
      </c>
      <c r="M123" s="22">
        <f t="shared" ca="1" si="0"/>
        <v>0</v>
      </c>
      <c r="N123" s="22">
        <f t="shared" ca="1" si="0"/>
        <v>0</v>
      </c>
    </row>
    <row r="124" spans="1:14" s="200" customFormat="1">
      <c r="A124" s="202" t="s">
        <v>821</v>
      </c>
      <c r="B124" s="22"/>
      <c r="C124" s="202" t="s">
        <v>210</v>
      </c>
      <c r="D124" s="202">
        <v>0</v>
      </c>
      <c r="E124" s="202">
        <v>0</v>
      </c>
      <c r="F124" s="202">
        <v>8</v>
      </c>
      <c r="G124" s="202">
        <v>16</v>
      </c>
      <c r="H124" s="202">
        <v>24</v>
      </c>
      <c r="I124" s="202">
        <v>32</v>
      </c>
      <c r="J124" s="225">
        <v>32</v>
      </c>
      <c r="K124" s="22">
        <f t="shared" ca="1" si="0"/>
        <v>0</v>
      </c>
      <c r="L124" s="22">
        <f t="shared" ca="1" si="0"/>
        <v>0</v>
      </c>
      <c r="M124" s="22">
        <f t="shared" ca="1" si="0"/>
        <v>0</v>
      </c>
      <c r="N124" s="22">
        <f t="shared" ca="1" si="0"/>
        <v>0</v>
      </c>
    </row>
    <row r="125" spans="1:14">
      <c r="A125" s="22" t="s">
        <v>297</v>
      </c>
      <c r="B125" s="22"/>
      <c r="C125" s="22" t="s">
        <v>152</v>
      </c>
      <c r="D125" s="22">
        <v>0</v>
      </c>
      <c r="E125" s="22">
        <v>0</v>
      </c>
      <c r="F125" s="117">
        <v>0.03</v>
      </c>
      <c r="G125" s="22">
        <v>0</v>
      </c>
      <c r="H125" s="22">
        <v>0</v>
      </c>
      <c r="I125" s="22">
        <v>0</v>
      </c>
      <c r="J125" s="225">
        <v>0</v>
      </c>
      <c r="K125" s="22">
        <f t="shared" ca="1" si="0"/>
        <v>0</v>
      </c>
      <c r="L125" s="22">
        <f t="shared" ca="1" si="0"/>
        <v>0</v>
      </c>
      <c r="M125" s="22">
        <f t="shared" ca="1" si="0"/>
        <v>0</v>
      </c>
      <c r="N125" s="22">
        <f t="shared" ca="1" si="0"/>
        <v>0</v>
      </c>
    </row>
    <row r="126" spans="1:14">
      <c r="A126" s="22" t="s">
        <v>298</v>
      </c>
      <c r="B126" s="22"/>
      <c r="C126" s="22" t="s">
        <v>152</v>
      </c>
      <c r="D126" s="22">
        <v>0</v>
      </c>
      <c r="E126" s="22">
        <v>0</v>
      </c>
      <c r="F126" s="117">
        <v>0.03</v>
      </c>
      <c r="G126" s="22">
        <v>0</v>
      </c>
      <c r="H126" s="22">
        <v>0</v>
      </c>
      <c r="I126" s="22">
        <v>0</v>
      </c>
      <c r="J126" s="225">
        <v>0</v>
      </c>
      <c r="K126" s="22">
        <f t="shared" ca="1" si="0"/>
        <v>0</v>
      </c>
      <c r="L126" s="22">
        <f t="shared" ca="1" si="0"/>
        <v>0</v>
      </c>
      <c r="M126" s="22">
        <f t="shared" ca="1" si="0"/>
        <v>0</v>
      </c>
      <c r="N126" s="22">
        <f t="shared" ca="1" si="0"/>
        <v>0</v>
      </c>
    </row>
    <row r="127" spans="1:14">
      <c r="A127" s="22" t="s">
        <v>298</v>
      </c>
      <c r="B127" s="22" t="s">
        <v>297</v>
      </c>
      <c r="C127" s="22" t="s">
        <v>152</v>
      </c>
      <c r="D127" s="22">
        <v>0</v>
      </c>
      <c r="E127" s="22">
        <v>0</v>
      </c>
      <c r="F127" s="117">
        <v>0.03</v>
      </c>
      <c r="G127" s="22">
        <v>0</v>
      </c>
      <c r="H127" s="22">
        <v>0</v>
      </c>
      <c r="I127" s="22">
        <v>0</v>
      </c>
      <c r="J127" s="225">
        <v>0</v>
      </c>
      <c r="K127" s="22">
        <f t="shared" ca="1" si="0"/>
        <v>0</v>
      </c>
      <c r="L127" s="22">
        <f t="shared" ca="1" si="0"/>
        <v>0</v>
      </c>
      <c r="M127" s="22">
        <f t="shared" ca="1" si="0"/>
        <v>0</v>
      </c>
      <c r="N127" s="22">
        <f t="shared" ca="1" si="0"/>
        <v>0</v>
      </c>
    </row>
    <row r="128" spans="1:14">
      <c r="A128" s="22" t="s">
        <v>69</v>
      </c>
      <c r="B128" s="22"/>
      <c r="C128" s="22" t="s">
        <v>11</v>
      </c>
      <c r="D128" s="116">
        <v>0</v>
      </c>
      <c r="E128" s="116">
        <v>0</v>
      </c>
      <c r="F128" s="22">
        <v>0</v>
      </c>
      <c r="G128" s="22">
        <v>0</v>
      </c>
      <c r="H128" s="22">
        <v>0</v>
      </c>
      <c r="I128" s="22">
        <v>50</v>
      </c>
      <c r="J128" s="225">
        <v>50</v>
      </c>
      <c r="K128" s="22">
        <f t="shared" ca="1" si="0"/>
        <v>0</v>
      </c>
      <c r="L128" s="22">
        <f t="shared" ca="1" si="0"/>
        <v>0</v>
      </c>
      <c r="M128" s="22">
        <f t="shared" ca="1" si="0"/>
        <v>0</v>
      </c>
      <c r="N128" s="22">
        <f t="shared" ca="1" si="0"/>
        <v>0</v>
      </c>
    </row>
    <row r="129" spans="1:14">
      <c r="A129" s="22" t="s">
        <v>461</v>
      </c>
      <c r="B129" s="22"/>
      <c r="C129" s="22" t="s">
        <v>11</v>
      </c>
      <c r="D129" s="22">
        <v>0</v>
      </c>
      <c r="E129" s="22">
        <v>0</v>
      </c>
      <c r="F129" s="116">
        <v>30</v>
      </c>
      <c r="G129" s="22">
        <v>51</v>
      </c>
      <c r="H129" s="22">
        <v>71</v>
      </c>
      <c r="I129" s="22">
        <v>91</v>
      </c>
      <c r="J129" s="225">
        <v>91</v>
      </c>
      <c r="K129" s="22">
        <f t="shared" ca="1" si="0"/>
        <v>0</v>
      </c>
      <c r="L129" s="22">
        <f t="shared" ca="1" si="0"/>
        <v>0</v>
      </c>
      <c r="M129" s="22">
        <f t="shared" ca="1" si="0"/>
        <v>0</v>
      </c>
      <c r="N129" s="22">
        <f t="shared" ca="1" si="0"/>
        <v>0</v>
      </c>
    </row>
    <row r="130" spans="1:14">
      <c r="A130" s="44"/>
      <c r="B130" s="44"/>
      <c r="C130" s="44"/>
      <c r="D130" s="44"/>
      <c r="E130" s="44"/>
      <c r="F130" s="44"/>
      <c r="G130" s="44"/>
      <c r="H130" s="44"/>
      <c r="I130" s="44"/>
    </row>
    <row r="131" spans="1:14">
      <c r="A131" s="44"/>
      <c r="B131" s="44"/>
      <c r="C131" s="44"/>
      <c r="D131" s="44"/>
      <c r="E131" s="44"/>
      <c r="F131" s="44"/>
      <c r="G131" s="44"/>
      <c r="H131" s="44"/>
      <c r="I131" s="44"/>
    </row>
    <row r="132" spans="1:14">
      <c r="A132" s="44"/>
      <c r="B132" s="44"/>
      <c r="C132" s="44"/>
      <c r="D132" s="44"/>
      <c r="E132" s="44"/>
      <c r="F132" s="44"/>
      <c r="G132" s="44"/>
      <c r="H132" s="44"/>
      <c r="I132" s="44"/>
    </row>
    <row r="133" spans="1:14">
      <c r="A133" s="26" t="s">
        <v>530</v>
      </c>
      <c r="C133" s="44"/>
      <c r="D133" s="44"/>
      <c r="E133" s="44"/>
      <c r="F133" s="44"/>
      <c r="G133" s="44"/>
      <c r="H133" s="44"/>
      <c r="I133" s="44"/>
    </row>
    <row r="134" spans="1:14">
      <c r="A134" s="134" t="s">
        <v>9</v>
      </c>
      <c r="B134">
        <v>20</v>
      </c>
      <c r="C134" s="44"/>
      <c r="D134" s="44"/>
      <c r="E134" s="44"/>
      <c r="F134" s="44"/>
      <c r="G134" s="44"/>
      <c r="H134" s="44"/>
      <c r="I134" s="44"/>
    </row>
    <row r="135" spans="1:14">
      <c r="A135" s="134" t="s">
        <v>10</v>
      </c>
      <c r="B135">
        <v>20</v>
      </c>
      <c r="C135" s="44"/>
      <c r="D135" s="44"/>
      <c r="E135" s="44"/>
      <c r="F135" s="44"/>
      <c r="G135" s="44"/>
      <c r="H135" s="44"/>
      <c r="I135" s="44"/>
    </row>
    <row r="136" spans="1:14">
      <c r="A136" s="134" t="s">
        <v>11</v>
      </c>
      <c r="B136">
        <v>12</v>
      </c>
      <c r="C136" s="44"/>
      <c r="D136" s="44"/>
      <c r="E136" s="44"/>
      <c r="F136" s="44"/>
      <c r="G136" s="44"/>
      <c r="H136" s="44"/>
      <c r="I136" s="44"/>
    </row>
    <row r="137" spans="1:14">
      <c r="A137" s="134" t="s">
        <v>433</v>
      </c>
      <c r="B137">
        <v>100</v>
      </c>
      <c r="C137" s="44"/>
      <c r="D137" s="44"/>
      <c r="E137" s="44"/>
      <c r="F137" s="44"/>
      <c r="G137" s="44"/>
      <c r="H137" s="44"/>
      <c r="I137" s="44"/>
    </row>
    <row r="138" spans="1:14">
      <c r="A138" s="134" t="s">
        <v>119</v>
      </c>
      <c r="B138" s="2">
        <v>0.02</v>
      </c>
      <c r="C138" s="44"/>
      <c r="D138" s="44"/>
      <c r="E138" s="44"/>
      <c r="F138" s="44"/>
      <c r="G138" s="44"/>
      <c r="H138" s="44"/>
      <c r="I138" s="44"/>
    </row>
    <row r="139" spans="1:14">
      <c r="A139" s="44"/>
      <c r="B139" s="44"/>
      <c r="C139" s="44"/>
      <c r="D139" s="44"/>
      <c r="E139" s="44"/>
      <c r="F139" s="44"/>
      <c r="G139" s="44"/>
      <c r="H139" s="44"/>
      <c r="I139" s="44"/>
    </row>
    <row r="140" spans="1:14">
      <c r="A140" s="44"/>
      <c r="B140" s="44"/>
      <c r="C140" s="44"/>
      <c r="D140" s="44"/>
      <c r="E140" s="44"/>
      <c r="F140" s="44"/>
      <c r="G140" s="44"/>
      <c r="H140" s="44"/>
      <c r="I140" s="44"/>
    </row>
    <row r="141" spans="1:14">
      <c r="A141" s="26" t="s">
        <v>604</v>
      </c>
      <c r="B141" s="44"/>
      <c r="C141" s="44"/>
      <c r="D141" s="44"/>
      <c r="E141" s="44"/>
      <c r="F141" s="44"/>
      <c r="G141" s="44"/>
      <c r="H141" s="44"/>
      <c r="I141" s="44"/>
    </row>
    <row r="142" spans="1:14">
      <c r="A142" s="31" t="s">
        <v>11</v>
      </c>
      <c r="B142" s="44"/>
      <c r="C142" s="44"/>
      <c r="D142" s="44"/>
      <c r="E142" s="44"/>
      <c r="F142" s="44"/>
      <c r="G142" s="44"/>
      <c r="H142" s="44"/>
      <c r="I142" s="44"/>
    </row>
    <row r="143" spans="1:14">
      <c r="A143" s="31" t="s">
        <v>605</v>
      </c>
      <c r="B143" s="44"/>
      <c r="C143" s="44"/>
      <c r="D143" s="44"/>
      <c r="E143" s="44"/>
      <c r="F143" s="44"/>
      <c r="G143" s="44"/>
      <c r="H143" s="44"/>
      <c r="I143" s="44"/>
    </row>
    <row r="144" spans="1:14">
      <c r="B144" s="44"/>
      <c r="C144" s="44"/>
      <c r="D144" s="44"/>
      <c r="E144" s="44"/>
      <c r="F144" s="44"/>
      <c r="G144" s="44"/>
      <c r="H144" s="44"/>
      <c r="I144" s="44"/>
    </row>
    <row r="145" spans="1:27">
      <c r="A145" s="26" t="s">
        <v>606</v>
      </c>
      <c r="B145" s="44"/>
      <c r="C145" s="44"/>
      <c r="D145" s="44"/>
      <c r="E145" s="44"/>
      <c r="F145" s="44"/>
      <c r="G145" s="44"/>
      <c r="H145" s="44"/>
      <c r="I145" s="44"/>
    </row>
    <row r="146" spans="1:27">
      <c r="A146" s="31" t="s">
        <v>399</v>
      </c>
      <c r="B146" s="44"/>
      <c r="C146" s="44"/>
      <c r="D146" s="44"/>
      <c r="E146" s="44"/>
      <c r="F146" s="44"/>
      <c r="G146" s="44"/>
      <c r="H146" s="44"/>
      <c r="I146" s="44"/>
    </row>
    <row r="147" spans="1:27">
      <c r="A147" s="31" t="s">
        <v>400</v>
      </c>
      <c r="B147" s="44"/>
      <c r="C147" s="44"/>
      <c r="D147" s="44"/>
      <c r="E147" s="44"/>
      <c r="F147" s="44"/>
      <c r="G147" s="44"/>
      <c r="H147" s="44"/>
      <c r="I147" s="44"/>
    </row>
    <row r="148" spans="1:27">
      <c r="A148" s="44"/>
      <c r="B148" s="44"/>
      <c r="C148" s="44"/>
      <c r="D148" s="44"/>
      <c r="E148" s="44"/>
      <c r="F148" s="44"/>
      <c r="G148" s="44"/>
      <c r="H148" s="44"/>
      <c r="I148" s="44"/>
    </row>
    <row r="149" spans="1:27">
      <c r="A149" s="27" t="s">
        <v>781</v>
      </c>
      <c r="B149" s="27">
        <v>10</v>
      </c>
      <c r="C149" s="27">
        <v>30</v>
      </c>
      <c r="D149" s="27">
        <v>45</v>
      </c>
      <c r="E149" s="27">
        <v>80</v>
      </c>
      <c r="F149" s="27">
        <v>125</v>
      </c>
      <c r="G149" s="27">
        <v>150</v>
      </c>
      <c r="H149" s="27">
        <v>210</v>
      </c>
      <c r="I149" s="27">
        <v>280</v>
      </c>
      <c r="J149" s="27">
        <v>320</v>
      </c>
      <c r="K149" s="27">
        <v>405</v>
      </c>
      <c r="L149" s="27">
        <v>450</v>
      </c>
      <c r="M149" s="27">
        <v>500</v>
      </c>
      <c r="N149" s="27">
        <v>660</v>
      </c>
      <c r="O149" s="27">
        <v>780</v>
      </c>
      <c r="P149" s="27">
        <v>845</v>
      </c>
      <c r="Q149" s="27">
        <v>980</v>
      </c>
      <c r="R149" s="27">
        <v>1050</v>
      </c>
      <c r="S149" s="27">
        <v>1125</v>
      </c>
      <c r="T149" s="27">
        <v>1200</v>
      </c>
      <c r="U149" s="27">
        <v>1360</v>
      </c>
      <c r="V149" s="27">
        <v>1530</v>
      </c>
      <c r="W149" s="27">
        <v>1620</v>
      </c>
      <c r="X149" s="27">
        <v>1805</v>
      </c>
      <c r="Y149" s="27">
        <v>1900</v>
      </c>
      <c r="Z149" s="27">
        <v>2000</v>
      </c>
      <c r="AA149" s="27" t="s">
        <v>787</v>
      </c>
    </row>
    <row r="150" spans="1:27">
      <c r="A150" s="29" t="s">
        <v>774</v>
      </c>
      <c r="B150">
        <v>10</v>
      </c>
      <c r="F150" s="200"/>
      <c r="H150">
        <v>15</v>
      </c>
      <c r="N150">
        <v>20</v>
      </c>
      <c r="U150">
        <v>25</v>
      </c>
      <c r="Z150" s="215"/>
      <c r="AA150">
        <f>SUM(B150:Z150)</f>
        <v>70</v>
      </c>
    </row>
    <row r="151" spans="1:27">
      <c r="A151" s="29" t="s">
        <v>775</v>
      </c>
      <c r="C151">
        <v>8</v>
      </c>
      <c r="F151" s="200"/>
      <c r="I151">
        <v>12</v>
      </c>
      <c r="O151">
        <v>16</v>
      </c>
      <c r="V151">
        <v>20</v>
      </c>
      <c r="Z151" s="214"/>
      <c r="AA151" s="200">
        <f t="shared" ref="AA151:AA156" si="1">SUM(B151:Z151)</f>
        <v>56</v>
      </c>
    </row>
    <row r="152" spans="1:27">
      <c r="A152" s="29" t="s">
        <v>776</v>
      </c>
      <c r="D152">
        <v>4</v>
      </c>
      <c r="F152" s="200"/>
      <c r="J152">
        <v>6</v>
      </c>
      <c r="P152">
        <v>8</v>
      </c>
      <c r="W152">
        <v>10</v>
      </c>
      <c r="Z152" s="214"/>
      <c r="AA152" s="200">
        <f t="shared" si="1"/>
        <v>28</v>
      </c>
    </row>
    <row r="153" spans="1:27">
      <c r="A153" s="29" t="s">
        <v>780</v>
      </c>
      <c r="B153" s="200"/>
      <c r="C153" s="200"/>
      <c r="D153" s="200"/>
      <c r="E153" s="200">
        <v>7</v>
      </c>
      <c r="F153" s="200"/>
      <c r="G153" s="200"/>
      <c r="H153" s="200"/>
      <c r="I153" s="200"/>
      <c r="J153" s="200"/>
      <c r="K153" s="200">
        <v>11</v>
      </c>
      <c r="L153" s="200"/>
      <c r="M153" s="200"/>
      <c r="N153" s="200"/>
      <c r="O153" s="200"/>
      <c r="P153" s="200"/>
      <c r="Q153" s="200">
        <v>14</v>
      </c>
      <c r="R153" s="200"/>
      <c r="S153" s="200"/>
      <c r="T153" s="200"/>
      <c r="U153" s="200"/>
      <c r="V153" s="200"/>
      <c r="W153" s="200"/>
      <c r="X153" s="200">
        <v>18</v>
      </c>
      <c r="Y153" s="200"/>
      <c r="Z153" s="214"/>
      <c r="AA153" s="200">
        <f t="shared" si="1"/>
        <v>50</v>
      </c>
    </row>
    <row r="154" spans="1:27">
      <c r="A154" s="29" t="s">
        <v>777</v>
      </c>
      <c r="F154" s="200">
        <v>5</v>
      </c>
      <c r="L154">
        <v>8</v>
      </c>
      <c r="R154">
        <v>10</v>
      </c>
      <c r="Y154">
        <v>13</v>
      </c>
      <c r="Z154" s="214"/>
      <c r="AA154" s="200">
        <f t="shared" si="1"/>
        <v>36</v>
      </c>
    </row>
    <row r="155" spans="1:27">
      <c r="A155" s="29" t="s">
        <v>778</v>
      </c>
      <c r="F155" s="200"/>
      <c r="G155" s="201">
        <v>0.02</v>
      </c>
      <c r="M155" s="201">
        <v>0.03</v>
      </c>
      <c r="S155" s="201">
        <v>0.04</v>
      </c>
      <c r="Z155" s="15">
        <v>0.05</v>
      </c>
      <c r="AA155" s="89">
        <f t="shared" si="1"/>
        <v>0.14000000000000001</v>
      </c>
    </row>
    <row r="156" spans="1:27">
      <c r="A156" s="29" t="s">
        <v>779</v>
      </c>
      <c r="F156" s="200"/>
      <c r="T156" s="201">
        <v>0.05</v>
      </c>
      <c r="Z156" s="214"/>
      <c r="AA156" s="89">
        <f t="shared" si="1"/>
        <v>0.05</v>
      </c>
    </row>
    <row r="158" spans="1:27">
      <c r="A158" s="26" t="s">
        <v>783</v>
      </c>
      <c r="B158" s="202" t="s">
        <v>784</v>
      </c>
    </row>
    <row r="159" spans="1:27">
      <c r="A159" s="29">
        <v>0</v>
      </c>
      <c r="B159" s="200">
        <v>0</v>
      </c>
    </row>
    <row r="160" spans="1:27">
      <c r="A160">
        <v>1</v>
      </c>
      <c r="B160" s="5">
        <f>104/1024</f>
        <v>0.1015625</v>
      </c>
    </row>
    <row r="161" spans="1:2">
      <c r="A161">
        <v>2</v>
      </c>
      <c r="B161" s="5">
        <f>156/1024</f>
        <v>0.15234375</v>
      </c>
    </row>
    <row r="162" spans="1:2">
      <c r="A162">
        <v>3</v>
      </c>
      <c r="B162" s="5">
        <f>208/1024</f>
        <v>0.203125</v>
      </c>
    </row>
    <row r="163" spans="1:2">
      <c r="A163">
        <v>4</v>
      </c>
      <c r="B163" s="5">
        <f>236/1024</f>
        <v>0.23046875</v>
      </c>
    </row>
  </sheetData>
  <sortState ref="A96:Q98">
    <sortCondition ref="A96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indexed="46"/>
  </sheetPr>
  <dimension ref="A1:J76"/>
  <sheetViews>
    <sheetView workbookViewId="0"/>
  </sheetViews>
  <sheetFormatPr defaultRowHeight="12.75"/>
  <cols>
    <col min="1" max="1" width="12.7109375" customWidth="1"/>
    <col min="2" max="10" width="10.7109375" customWidth="1"/>
  </cols>
  <sheetData>
    <row r="1" spans="1:9">
      <c r="A1" t="s">
        <v>32</v>
      </c>
      <c r="B1">
        <f>Setup!B5</f>
        <v>99</v>
      </c>
      <c r="C1">
        <f>FLOOR(B1/2,1)</f>
        <v>49</v>
      </c>
    </row>
    <row r="2" spans="1:9">
      <c r="B2" s="14" t="s">
        <v>207</v>
      </c>
      <c r="C2" s="14" t="s">
        <v>3</v>
      </c>
      <c r="D2" s="14" t="s">
        <v>4</v>
      </c>
      <c r="E2" s="14" t="s">
        <v>5</v>
      </c>
      <c r="F2" s="14" t="s">
        <v>42</v>
      </c>
      <c r="G2" s="14" t="s">
        <v>208</v>
      </c>
      <c r="H2" s="14" t="s">
        <v>209</v>
      </c>
      <c r="I2" s="14" t="s">
        <v>210</v>
      </c>
    </row>
    <row r="3" spans="1:9">
      <c r="A3" t="s">
        <v>225</v>
      </c>
      <c r="B3">
        <f>B53+B63+B73+B76</f>
        <v>1378</v>
      </c>
      <c r="C3">
        <f>FLOOR(C53+C63+C73+C76, 1)</f>
        <v>92</v>
      </c>
      <c r="D3">
        <f t="shared" ref="D3:I3" si="0">FLOOR(D53+D63+D73+D76, 1)</f>
        <v>91</v>
      </c>
      <c r="E3">
        <f t="shared" si="0"/>
        <v>87</v>
      </c>
      <c r="F3">
        <f t="shared" si="0"/>
        <v>91</v>
      </c>
      <c r="G3">
        <f t="shared" si="0"/>
        <v>82</v>
      </c>
      <c r="H3">
        <f t="shared" si="0"/>
        <v>73</v>
      </c>
      <c r="I3">
        <f t="shared" si="0"/>
        <v>77</v>
      </c>
    </row>
    <row r="6" spans="1:9">
      <c r="A6" s="9" t="s">
        <v>227</v>
      </c>
    </row>
    <row r="8" spans="1:9">
      <c r="A8" s="9" t="s">
        <v>249</v>
      </c>
      <c r="B8" s="14" t="s">
        <v>207</v>
      </c>
      <c r="C8" s="14" t="s">
        <v>3</v>
      </c>
      <c r="D8" s="14" t="s">
        <v>4</v>
      </c>
      <c r="E8" s="14" t="s">
        <v>5</v>
      </c>
      <c r="F8" s="14" t="s">
        <v>42</v>
      </c>
      <c r="G8" s="14" t="s">
        <v>208</v>
      </c>
      <c r="H8" s="14" t="s">
        <v>209</v>
      </c>
      <c r="I8" s="14" t="s">
        <v>210</v>
      </c>
    </row>
    <row r="9" spans="1:9">
      <c r="A9" t="s">
        <v>1</v>
      </c>
      <c r="B9" t="s">
        <v>139</v>
      </c>
      <c r="C9" t="s">
        <v>139</v>
      </c>
      <c r="D9" t="s">
        <v>139</v>
      </c>
      <c r="E9" t="s">
        <v>139</v>
      </c>
      <c r="F9" t="s">
        <v>139</v>
      </c>
      <c r="G9" t="s">
        <v>139</v>
      </c>
      <c r="H9" t="s">
        <v>139</v>
      </c>
      <c r="I9" t="s">
        <v>139</v>
      </c>
    </row>
    <row r="10" spans="1:9">
      <c r="A10" t="s">
        <v>206</v>
      </c>
      <c r="B10" t="s">
        <v>212</v>
      </c>
      <c r="C10" t="s">
        <v>211</v>
      </c>
      <c r="D10" t="s">
        <v>213</v>
      </c>
      <c r="E10" t="s">
        <v>212</v>
      </c>
      <c r="F10" t="s">
        <v>214</v>
      </c>
      <c r="G10" t="s">
        <v>214</v>
      </c>
      <c r="H10" t="s">
        <v>211</v>
      </c>
      <c r="I10" t="s">
        <v>139</v>
      </c>
    </row>
    <row r="11" spans="1:9">
      <c r="A11" t="s">
        <v>169</v>
      </c>
      <c r="B11" t="s">
        <v>215</v>
      </c>
      <c r="C11" t="s">
        <v>214</v>
      </c>
      <c r="D11" t="s">
        <v>139</v>
      </c>
      <c r="E11" t="s">
        <v>213</v>
      </c>
      <c r="F11" t="s">
        <v>212</v>
      </c>
      <c r="G11" t="s">
        <v>216</v>
      </c>
      <c r="H11" t="s">
        <v>213</v>
      </c>
      <c r="I11" t="s">
        <v>139</v>
      </c>
    </row>
    <row r="12" spans="1:9">
      <c r="A12" t="s">
        <v>204</v>
      </c>
      <c r="B12" t="s">
        <v>139</v>
      </c>
      <c r="C12" t="s">
        <v>213</v>
      </c>
      <c r="D12" t="s">
        <v>216</v>
      </c>
      <c r="E12" t="s">
        <v>213</v>
      </c>
      <c r="F12" t="s">
        <v>211</v>
      </c>
      <c r="G12" t="s">
        <v>139</v>
      </c>
      <c r="H12" t="s">
        <v>213</v>
      </c>
      <c r="I12" t="s">
        <v>214</v>
      </c>
    </row>
    <row r="13" spans="1:9">
      <c r="A13" t="s">
        <v>205</v>
      </c>
      <c r="B13" t="s">
        <v>216</v>
      </c>
      <c r="C13" t="s">
        <v>212</v>
      </c>
      <c r="D13" t="s">
        <v>139</v>
      </c>
      <c r="E13" t="s">
        <v>216</v>
      </c>
      <c r="F13" t="s">
        <v>213</v>
      </c>
      <c r="G13" t="s">
        <v>213</v>
      </c>
      <c r="H13" t="s">
        <v>139</v>
      </c>
      <c r="I13" t="s">
        <v>214</v>
      </c>
    </row>
    <row r="14" spans="1:9">
      <c r="A14" t="s">
        <v>229</v>
      </c>
      <c r="B14" t="s">
        <v>139</v>
      </c>
      <c r="C14" t="s">
        <v>139</v>
      </c>
      <c r="D14" t="s">
        <v>139</v>
      </c>
      <c r="E14" t="s">
        <v>139</v>
      </c>
      <c r="F14" t="s">
        <v>214</v>
      </c>
      <c r="G14" t="s">
        <v>139</v>
      </c>
      <c r="H14" t="s">
        <v>139</v>
      </c>
      <c r="I14" t="s">
        <v>211</v>
      </c>
    </row>
    <row r="15" spans="1:9">
      <c r="A15" t="s">
        <v>230</v>
      </c>
      <c r="B15" t="s">
        <v>212</v>
      </c>
      <c r="C15" t="s">
        <v>139</v>
      </c>
      <c r="D15" t="s">
        <v>212</v>
      </c>
      <c r="E15" t="s">
        <v>139</v>
      </c>
      <c r="F15" t="s">
        <v>214</v>
      </c>
      <c r="G15" t="s">
        <v>213</v>
      </c>
      <c r="H15" t="s">
        <v>213</v>
      </c>
      <c r="I15" t="s">
        <v>216</v>
      </c>
    </row>
    <row r="16" spans="1:9">
      <c r="A16" t="s">
        <v>231</v>
      </c>
      <c r="B16" t="s">
        <v>214</v>
      </c>
      <c r="C16" t="s">
        <v>214</v>
      </c>
      <c r="D16" t="s">
        <v>212</v>
      </c>
      <c r="E16" t="s">
        <v>214</v>
      </c>
      <c r="F16" t="s">
        <v>212</v>
      </c>
      <c r="G16" t="s">
        <v>216</v>
      </c>
      <c r="H16" t="s">
        <v>213</v>
      </c>
      <c r="I16" t="s">
        <v>139</v>
      </c>
    </row>
    <row r="17" spans="1:9">
      <c r="A17" t="s">
        <v>232</v>
      </c>
      <c r="B17" t="s">
        <v>139</v>
      </c>
      <c r="C17" t="s">
        <v>213</v>
      </c>
      <c r="D17" t="s">
        <v>213</v>
      </c>
      <c r="E17" t="s">
        <v>213</v>
      </c>
      <c r="F17" t="s">
        <v>213</v>
      </c>
      <c r="G17" t="s">
        <v>213</v>
      </c>
      <c r="H17" t="s">
        <v>213</v>
      </c>
      <c r="I17" t="s">
        <v>213</v>
      </c>
    </row>
    <row r="18" spans="1:9">
      <c r="A18" t="s">
        <v>233</v>
      </c>
      <c r="B18" t="s">
        <v>139</v>
      </c>
      <c r="C18" t="s">
        <v>213</v>
      </c>
      <c r="D18" t="s">
        <v>212</v>
      </c>
      <c r="E18" t="s">
        <v>213</v>
      </c>
      <c r="F18" t="s">
        <v>211</v>
      </c>
      <c r="G18" t="s">
        <v>212</v>
      </c>
      <c r="H18" t="s">
        <v>213</v>
      </c>
      <c r="I18" t="s">
        <v>213</v>
      </c>
    </row>
    <row r="19" spans="1:9">
      <c r="A19" t="s">
        <v>234</v>
      </c>
      <c r="B19" t="s">
        <v>139</v>
      </c>
      <c r="C19" t="s">
        <v>139</v>
      </c>
      <c r="D19" t="s">
        <v>212</v>
      </c>
      <c r="E19" t="s">
        <v>213</v>
      </c>
      <c r="F19" t="s">
        <v>211</v>
      </c>
      <c r="G19" t="s">
        <v>214</v>
      </c>
      <c r="H19" t="s">
        <v>214</v>
      </c>
      <c r="I19" t="s">
        <v>211</v>
      </c>
    </row>
    <row r="20" spans="1:9">
      <c r="A20" t="s">
        <v>235</v>
      </c>
      <c r="B20" t="s">
        <v>212</v>
      </c>
      <c r="C20" t="s">
        <v>216</v>
      </c>
      <c r="D20" t="s">
        <v>212</v>
      </c>
      <c r="E20" t="s">
        <v>212</v>
      </c>
      <c r="F20" t="s">
        <v>139</v>
      </c>
      <c r="G20" t="s">
        <v>212</v>
      </c>
      <c r="H20" t="s">
        <v>215</v>
      </c>
      <c r="I20" t="s">
        <v>215</v>
      </c>
    </row>
    <row r="21" spans="1:9">
      <c r="A21" t="s">
        <v>236</v>
      </c>
      <c r="B21" t="s">
        <v>212</v>
      </c>
      <c r="C21" t="s">
        <v>211</v>
      </c>
      <c r="D21" t="s">
        <v>139</v>
      </c>
      <c r="E21" t="s">
        <v>212</v>
      </c>
      <c r="F21" t="s">
        <v>139</v>
      </c>
      <c r="G21" t="s">
        <v>214</v>
      </c>
      <c r="H21" t="s">
        <v>213</v>
      </c>
      <c r="I21" t="s">
        <v>212</v>
      </c>
    </row>
    <row r="22" spans="1:9">
      <c r="A22" t="s">
        <v>237</v>
      </c>
      <c r="B22" t="s">
        <v>216</v>
      </c>
      <c r="C22" t="s">
        <v>212</v>
      </c>
      <c r="D22" t="s">
        <v>211</v>
      </c>
      <c r="E22" t="s">
        <v>216</v>
      </c>
      <c r="F22" t="s">
        <v>214</v>
      </c>
      <c r="G22" t="s">
        <v>215</v>
      </c>
      <c r="H22" t="s">
        <v>139</v>
      </c>
      <c r="I22" t="s">
        <v>213</v>
      </c>
    </row>
    <row r="23" spans="1:9">
      <c r="A23" t="s">
        <v>238</v>
      </c>
      <c r="B23" t="s">
        <v>139</v>
      </c>
      <c r="C23" t="s">
        <v>212</v>
      </c>
      <c r="D23" t="s">
        <v>211</v>
      </c>
      <c r="E23" t="s">
        <v>212</v>
      </c>
      <c r="F23" t="s">
        <v>211</v>
      </c>
      <c r="G23" t="s">
        <v>139</v>
      </c>
      <c r="H23" t="s">
        <v>215</v>
      </c>
      <c r="I23" t="s">
        <v>214</v>
      </c>
    </row>
    <row r="24" spans="1:9">
      <c r="A24" t="s">
        <v>239</v>
      </c>
      <c r="B24" t="s">
        <v>212</v>
      </c>
      <c r="C24" t="s">
        <v>211</v>
      </c>
      <c r="D24" t="s">
        <v>213</v>
      </c>
      <c r="E24" t="s">
        <v>216</v>
      </c>
      <c r="F24" t="s">
        <v>215</v>
      </c>
      <c r="G24" t="s">
        <v>215</v>
      </c>
      <c r="H24" t="s">
        <v>212</v>
      </c>
      <c r="I24" t="s">
        <v>212</v>
      </c>
    </row>
    <row r="25" spans="1:9">
      <c r="A25" t="s">
        <v>240</v>
      </c>
      <c r="B25" t="s">
        <v>139</v>
      </c>
      <c r="C25" t="s">
        <v>213</v>
      </c>
      <c r="D25" t="s">
        <v>211</v>
      </c>
      <c r="E25" t="s">
        <v>139</v>
      </c>
      <c r="F25" t="s">
        <v>212</v>
      </c>
      <c r="G25" t="s">
        <v>213</v>
      </c>
      <c r="H25" t="s">
        <v>214</v>
      </c>
      <c r="I25" t="s">
        <v>212</v>
      </c>
    </row>
    <row r="26" spans="1:9">
      <c r="A26" t="s">
        <v>241</v>
      </c>
      <c r="B26" t="s">
        <v>213</v>
      </c>
      <c r="C26" t="s">
        <v>213</v>
      </c>
      <c r="D26" t="s">
        <v>139</v>
      </c>
      <c r="E26" t="s">
        <v>139</v>
      </c>
      <c r="F26" t="s">
        <v>216</v>
      </c>
      <c r="G26" t="s">
        <v>213</v>
      </c>
      <c r="H26" t="s">
        <v>139</v>
      </c>
      <c r="I26" t="s">
        <v>213</v>
      </c>
    </row>
    <row r="27" spans="1:9">
      <c r="A27" t="s">
        <v>242</v>
      </c>
      <c r="B27" t="s">
        <v>139</v>
      </c>
      <c r="C27" t="s">
        <v>139</v>
      </c>
      <c r="D27" t="s">
        <v>139</v>
      </c>
      <c r="E27" t="s">
        <v>213</v>
      </c>
      <c r="F27" t="s">
        <v>213</v>
      </c>
      <c r="G27" t="s">
        <v>212</v>
      </c>
      <c r="H27" t="s">
        <v>212</v>
      </c>
      <c r="I27" t="s">
        <v>139</v>
      </c>
    </row>
    <row r="28" spans="1:9">
      <c r="A28" t="s">
        <v>243</v>
      </c>
      <c r="B28" t="s">
        <v>211</v>
      </c>
      <c r="C28" t="s">
        <v>212</v>
      </c>
      <c r="D28" t="s">
        <v>212</v>
      </c>
      <c r="E28" t="s">
        <v>212</v>
      </c>
      <c r="F28" t="s">
        <v>139</v>
      </c>
      <c r="G28" t="s">
        <v>213</v>
      </c>
      <c r="H28" t="s">
        <v>213</v>
      </c>
      <c r="I28" t="s">
        <v>139</v>
      </c>
    </row>
    <row r="29" spans="1:9">
      <c r="A29" t="s">
        <v>244</v>
      </c>
      <c r="B29" t="s">
        <v>213</v>
      </c>
      <c r="C29" t="s">
        <v>214</v>
      </c>
      <c r="D29" t="s">
        <v>139</v>
      </c>
      <c r="E29" t="s">
        <v>213</v>
      </c>
      <c r="F29" t="s">
        <v>139</v>
      </c>
      <c r="G29" t="s">
        <v>211</v>
      </c>
      <c r="H29" t="s">
        <v>139</v>
      </c>
      <c r="I29" t="s">
        <v>212</v>
      </c>
    </row>
    <row r="30" spans="1:9">
      <c r="A30" t="s">
        <v>245</v>
      </c>
      <c r="B30" t="s">
        <v>215</v>
      </c>
      <c r="C30" t="s">
        <v>214</v>
      </c>
      <c r="D30" t="s">
        <v>213</v>
      </c>
      <c r="E30" t="s">
        <v>214</v>
      </c>
      <c r="F30" t="s">
        <v>139</v>
      </c>
      <c r="G30" t="s">
        <v>211</v>
      </c>
      <c r="H30" t="s">
        <v>211</v>
      </c>
      <c r="I30" t="s">
        <v>211</v>
      </c>
    </row>
    <row r="31" spans="1:9">
      <c r="A31" t="s">
        <v>246</v>
      </c>
      <c r="B31" t="s">
        <v>139</v>
      </c>
      <c r="C31" t="s">
        <v>139</v>
      </c>
      <c r="D31" t="s">
        <v>216</v>
      </c>
      <c r="E31" t="s">
        <v>139</v>
      </c>
      <c r="F31" t="s">
        <v>211</v>
      </c>
      <c r="G31" t="s">
        <v>212</v>
      </c>
      <c r="H31" t="s">
        <v>215</v>
      </c>
      <c r="I31" t="s">
        <v>215</v>
      </c>
    </row>
    <row r="32" spans="1:9">
      <c r="A32" t="s">
        <v>247</v>
      </c>
      <c r="B32" t="s">
        <v>211</v>
      </c>
      <c r="C32" t="s">
        <v>216</v>
      </c>
      <c r="D32" t="s">
        <v>212</v>
      </c>
      <c r="E32" t="s">
        <v>139</v>
      </c>
      <c r="F32" t="s">
        <v>212</v>
      </c>
      <c r="G32" t="s">
        <v>214</v>
      </c>
      <c r="H32" t="s">
        <v>214</v>
      </c>
      <c r="I32" t="s">
        <v>213</v>
      </c>
    </row>
    <row r="33" spans="1:10">
      <c r="A33" t="s">
        <v>248</v>
      </c>
      <c r="B33" t="s">
        <v>213</v>
      </c>
      <c r="C33" t="s">
        <v>139</v>
      </c>
      <c r="D33" t="s">
        <v>214</v>
      </c>
      <c r="E33" t="s">
        <v>139</v>
      </c>
      <c r="F33" t="s">
        <v>213</v>
      </c>
      <c r="G33" t="s">
        <v>213</v>
      </c>
      <c r="H33" t="s">
        <v>216</v>
      </c>
      <c r="I33" t="s">
        <v>212</v>
      </c>
    </row>
    <row r="36" spans="1:10">
      <c r="A36" s="9" t="s">
        <v>250</v>
      </c>
      <c r="B36" t="s">
        <v>217</v>
      </c>
      <c r="C36" t="s">
        <v>218</v>
      </c>
      <c r="D36" t="s">
        <v>226</v>
      </c>
      <c r="E36" t="s">
        <v>219</v>
      </c>
      <c r="F36" t="s">
        <v>220</v>
      </c>
      <c r="G36" t="s">
        <v>221</v>
      </c>
      <c r="H36" t="s">
        <v>222</v>
      </c>
      <c r="I36" t="s">
        <v>224</v>
      </c>
      <c r="J36" t="s">
        <v>223</v>
      </c>
    </row>
    <row r="37" spans="1:10">
      <c r="A37" t="s">
        <v>216</v>
      </c>
      <c r="B37">
        <v>19</v>
      </c>
      <c r="C37">
        <v>9</v>
      </c>
      <c r="D37">
        <v>1</v>
      </c>
      <c r="E37">
        <v>3</v>
      </c>
      <c r="F37">
        <v>3</v>
      </c>
      <c r="G37">
        <v>5</v>
      </c>
      <c r="H37" s="4">
        <v>0.5</v>
      </c>
      <c r="I37" s="4">
        <f>110/1024</f>
        <v>0.107421875</v>
      </c>
      <c r="J37" s="4">
        <f t="shared" ref="J37:J43" si="1">400/1024</f>
        <v>0.390625</v>
      </c>
    </row>
    <row r="38" spans="1:10">
      <c r="A38" t="s">
        <v>211</v>
      </c>
      <c r="B38">
        <v>17</v>
      </c>
      <c r="C38">
        <v>8</v>
      </c>
      <c r="D38">
        <v>1</v>
      </c>
      <c r="E38">
        <v>3</v>
      </c>
      <c r="F38">
        <v>3</v>
      </c>
      <c r="G38">
        <v>4</v>
      </c>
      <c r="H38" s="4">
        <v>0.45</v>
      </c>
      <c r="I38" s="4">
        <f>210/1024</f>
        <v>0.205078125</v>
      </c>
      <c r="J38" s="4">
        <f t="shared" si="1"/>
        <v>0.390625</v>
      </c>
    </row>
    <row r="39" spans="1:10">
      <c r="A39" t="s">
        <v>212</v>
      </c>
      <c r="B39">
        <v>16</v>
      </c>
      <c r="C39">
        <v>7</v>
      </c>
      <c r="D39">
        <v>1</v>
      </c>
      <c r="E39">
        <v>3</v>
      </c>
      <c r="F39">
        <v>3</v>
      </c>
      <c r="G39">
        <v>4</v>
      </c>
      <c r="H39" s="4">
        <v>0.4</v>
      </c>
      <c r="I39" s="4">
        <f>300/1024</f>
        <v>0.29296875</v>
      </c>
      <c r="J39" s="4">
        <f t="shared" si="1"/>
        <v>0.390625</v>
      </c>
    </row>
    <row r="40" spans="1:10">
      <c r="A40" t="s">
        <v>139</v>
      </c>
      <c r="B40">
        <v>14</v>
      </c>
      <c r="C40">
        <v>6</v>
      </c>
      <c r="D40">
        <v>0</v>
      </c>
      <c r="E40">
        <v>3</v>
      </c>
      <c r="F40">
        <v>3</v>
      </c>
      <c r="G40">
        <v>3</v>
      </c>
      <c r="H40" s="4">
        <v>0.35</v>
      </c>
      <c r="I40" s="4">
        <f>350/1024</f>
        <v>0.341796875</v>
      </c>
      <c r="J40" s="4">
        <f t="shared" si="1"/>
        <v>0.390625</v>
      </c>
    </row>
    <row r="41" spans="1:10">
      <c r="A41" t="s">
        <v>213</v>
      </c>
      <c r="B41">
        <v>13</v>
      </c>
      <c r="C41">
        <v>5</v>
      </c>
      <c r="D41">
        <v>0</v>
      </c>
      <c r="E41">
        <v>2</v>
      </c>
      <c r="F41">
        <v>2</v>
      </c>
      <c r="G41">
        <v>3</v>
      </c>
      <c r="H41" s="4">
        <v>0.3</v>
      </c>
      <c r="I41" s="4">
        <f>350/1024</f>
        <v>0.341796875</v>
      </c>
      <c r="J41" s="4">
        <f t="shared" si="1"/>
        <v>0.390625</v>
      </c>
    </row>
    <row r="42" spans="1:10">
      <c r="A42" t="s">
        <v>214</v>
      </c>
      <c r="B42">
        <v>11</v>
      </c>
      <c r="C42">
        <v>4</v>
      </c>
      <c r="D42">
        <v>0</v>
      </c>
      <c r="E42">
        <v>2</v>
      </c>
      <c r="F42">
        <v>2</v>
      </c>
      <c r="G42">
        <v>2</v>
      </c>
      <c r="H42" s="4">
        <v>0.25</v>
      </c>
      <c r="I42" s="4">
        <f>400/1024</f>
        <v>0.390625</v>
      </c>
      <c r="J42" s="4">
        <f t="shared" si="1"/>
        <v>0.390625</v>
      </c>
    </row>
    <row r="43" spans="1:10">
      <c r="A43" t="s">
        <v>215</v>
      </c>
      <c r="B43">
        <v>10</v>
      </c>
      <c r="C43">
        <v>3</v>
      </c>
      <c r="D43">
        <v>0</v>
      </c>
      <c r="E43">
        <v>2</v>
      </c>
      <c r="F43">
        <v>2</v>
      </c>
      <c r="G43">
        <v>2</v>
      </c>
      <c r="H43" s="4">
        <v>0.2</v>
      </c>
      <c r="I43" s="4">
        <f>430/1024</f>
        <v>0.419921875</v>
      </c>
      <c r="J43" s="4">
        <f t="shared" si="1"/>
        <v>0.390625</v>
      </c>
    </row>
    <row r="46" spans="1:10">
      <c r="A46" s="9" t="s">
        <v>2</v>
      </c>
      <c r="B46" s="14" t="s">
        <v>207</v>
      </c>
      <c r="C46" s="14" t="s">
        <v>3</v>
      </c>
      <c r="D46" s="14" t="s">
        <v>4</v>
      </c>
      <c r="E46" s="14" t="s">
        <v>5</v>
      </c>
      <c r="F46" s="14" t="s">
        <v>42</v>
      </c>
      <c r="G46" s="14" t="s">
        <v>208</v>
      </c>
      <c r="H46" s="14" t="s">
        <v>209</v>
      </c>
      <c r="I46" s="14" t="s">
        <v>210</v>
      </c>
    </row>
    <row r="47" spans="1:10">
      <c r="A47" t="str">
        <f>Data!C1</f>
        <v>Nin</v>
      </c>
      <c r="B47" t="str">
        <f t="shared" ref="B47:I47" si="2">VLOOKUP($A47, Grades, MATCH(B$46, Stats, 0), 0)</f>
        <v>D</v>
      </c>
      <c r="C47" t="str">
        <f t="shared" si="2"/>
        <v>C</v>
      </c>
      <c r="D47" t="str">
        <f t="shared" si="2"/>
        <v>B</v>
      </c>
      <c r="E47" t="str">
        <f t="shared" si="2"/>
        <v>C</v>
      </c>
      <c r="F47" t="str">
        <f t="shared" si="2"/>
        <v>B</v>
      </c>
      <c r="G47" t="str">
        <f t="shared" si="2"/>
        <v>D</v>
      </c>
      <c r="H47" t="str">
        <f t="shared" si="2"/>
        <v>G</v>
      </c>
      <c r="I47" t="str">
        <f t="shared" si="2"/>
        <v>F</v>
      </c>
    </row>
    <row r="48" spans="1:10">
      <c r="A48" t="s">
        <v>217</v>
      </c>
      <c r="B48">
        <f>VLOOKUP(B$47, GradeRates, MATCH($A48, RateTiers, 0), 0)</f>
        <v>14</v>
      </c>
      <c r="C48" s="4">
        <f t="shared" ref="C48:I51" si="3">VLOOKUP(C$47, GradeRates, MATCH($J48, RateTiers, 0), 0)</f>
        <v>4</v>
      </c>
      <c r="D48" s="4">
        <f t="shared" si="3"/>
        <v>4</v>
      </c>
      <c r="E48" s="4">
        <f t="shared" si="3"/>
        <v>4</v>
      </c>
      <c r="F48" s="4">
        <f t="shared" si="3"/>
        <v>4</v>
      </c>
      <c r="G48" s="4">
        <f t="shared" si="3"/>
        <v>3</v>
      </c>
      <c r="H48" s="4">
        <f t="shared" si="3"/>
        <v>2</v>
      </c>
      <c r="I48" s="4">
        <f t="shared" si="3"/>
        <v>2</v>
      </c>
      <c r="J48" t="s">
        <v>221</v>
      </c>
    </row>
    <row r="49" spans="1:10">
      <c r="A49" t="s">
        <v>218</v>
      </c>
      <c r="B49">
        <f>VLOOKUP(B$47, GradeRates, MATCH($A49, RateTiers, 0), 0)</f>
        <v>6</v>
      </c>
      <c r="C49" s="4">
        <f t="shared" si="3"/>
        <v>0.4</v>
      </c>
      <c r="D49" s="4">
        <f t="shared" si="3"/>
        <v>0.45</v>
      </c>
      <c r="E49" s="4">
        <f t="shared" si="3"/>
        <v>0.4</v>
      </c>
      <c r="F49" s="4">
        <f t="shared" si="3"/>
        <v>0.45</v>
      </c>
      <c r="G49" s="4">
        <f t="shared" si="3"/>
        <v>0.35</v>
      </c>
      <c r="H49" s="4">
        <f t="shared" si="3"/>
        <v>0.2</v>
      </c>
      <c r="I49" s="4">
        <f t="shared" si="3"/>
        <v>0.25</v>
      </c>
      <c r="J49" t="s">
        <v>222</v>
      </c>
    </row>
    <row r="50" spans="1:10">
      <c r="A50" t="s">
        <v>226</v>
      </c>
      <c r="B50">
        <f>VLOOKUP(B$47, GradeRates, MATCH($A50, RateTiers, 0), 0)</f>
        <v>0</v>
      </c>
      <c r="C50" s="4">
        <f t="shared" si="3"/>
        <v>0.29296875</v>
      </c>
      <c r="D50" s="4">
        <f t="shared" si="3"/>
        <v>0.205078125</v>
      </c>
      <c r="E50" s="4">
        <f t="shared" si="3"/>
        <v>0.29296875</v>
      </c>
      <c r="F50" s="4">
        <f t="shared" si="3"/>
        <v>0.205078125</v>
      </c>
      <c r="G50" s="4">
        <f t="shared" si="3"/>
        <v>0.341796875</v>
      </c>
      <c r="H50" s="4">
        <f t="shared" si="3"/>
        <v>0.419921875</v>
      </c>
      <c r="I50" s="4">
        <f t="shared" si="3"/>
        <v>0.390625</v>
      </c>
      <c r="J50" t="s">
        <v>224</v>
      </c>
    </row>
    <row r="51" spans="1:10">
      <c r="A51" t="s">
        <v>219</v>
      </c>
      <c r="B51">
        <f>VLOOKUP(B$47, GradeRates, MATCH($A51, RateTiers, 0), 0)</f>
        <v>3</v>
      </c>
      <c r="C51" s="4">
        <f t="shared" si="3"/>
        <v>0.390625</v>
      </c>
      <c r="D51" s="4">
        <f t="shared" si="3"/>
        <v>0.390625</v>
      </c>
      <c r="E51" s="4">
        <f t="shared" si="3"/>
        <v>0.390625</v>
      </c>
      <c r="F51" s="4">
        <f t="shared" si="3"/>
        <v>0.390625</v>
      </c>
      <c r="G51" s="4">
        <f t="shared" si="3"/>
        <v>0.390625</v>
      </c>
      <c r="H51" s="4">
        <f t="shared" si="3"/>
        <v>0.390625</v>
      </c>
      <c r="I51" s="4">
        <f t="shared" si="3"/>
        <v>0.390625</v>
      </c>
      <c r="J51" t="s">
        <v>223</v>
      </c>
    </row>
    <row r="52" spans="1:10">
      <c r="A52" t="s">
        <v>220</v>
      </c>
      <c r="B52">
        <f>VLOOKUP(B$47, GradeRates, MATCH($A52, RateTiers, 0), 0)</f>
        <v>3</v>
      </c>
    </row>
    <row r="53" spans="1:10">
      <c r="A53" t="s">
        <v>7</v>
      </c>
      <c r="B53">
        <f>B48+MIN(59,$B$1-1)*B49+MAX(0,$B$1-30)*B50+MIN(15,MAX(0,$B$1-60))*B51+MAX(0,$B$1-75)*B52</f>
        <v>485</v>
      </c>
      <c r="C53">
        <f>C48+FLOOR(MIN(59,$B$1-1)*C49,0.5)+FLOOR(MIN(15,MAX(0,$B$1-60))*C50,0.5)+FLOOR(MAX(0,$B$1-75)*C51,0.5)</f>
        <v>40.5</v>
      </c>
      <c r="D53">
        <f t="shared" ref="D53:I53" si="4">D48+FLOOR(MIN(59,$B$1-1)*D49,0.5)+FLOOR(MIN(15,MAX(0,$B$1-60))*D50,0.5)+FLOOR(MAX(0,$B$1-75)*D51,0.5)</f>
        <v>42.5</v>
      </c>
      <c r="E53">
        <f t="shared" si="4"/>
        <v>40.5</v>
      </c>
      <c r="F53">
        <f t="shared" si="4"/>
        <v>42.5</v>
      </c>
      <c r="G53">
        <f t="shared" si="4"/>
        <v>37.5</v>
      </c>
      <c r="H53">
        <f t="shared" si="4"/>
        <v>28.5</v>
      </c>
      <c r="I53">
        <f t="shared" si="4"/>
        <v>31</v>
      </c>
    </row>
    <row r="56" spans="1:10">
      <c r="A56" s="9" t="s">
        <v>172</v>
      </c>
      <c r="B56" s="14" t="s">
        <v>207</v>
      </c>
      <c r="C56" s="14" t="s">
        <v>3</v>
      </c>
      <c r="D56" s="14" t="s">
        <v>4</v>
      </c>
      <c r="E56" s="14" t="s">
        <v>5</v>
      </c>
      <c r="F56" s="14" t="s">
        <v>42</v>
      </c>
      <c r="G56" s="14" t="s">
        <v>208</v>
      </c>
      <c r="H56" s="14" t="s">
        <v>209</v>
      </c>
      <c r="I56" s="14" t="s">
        <v>210</v>
      </c>
    </row>
    <row r="57" spans="1:10">
      <c r="A57" t="str">
        <f>Setup!B6</f>
        <v>War</v>
      </c>
      <c r="B57" t="str">
        <f t="shared" ref="B57:I57" si="5">VLOOKUP($A57, Grades, MATCH(B$56, Stats, 0), 0)</f>
        <v>B</v>
      </c>
      <c r="C57" t="str">
        <f t="shared" si="5"/>
        <v>A</v>
      </c>
      <c r="D57" t="str">
        <f t="shared" si="5"/>
        <v>C</v>
      </c>
      <c r="E57" t="str">
        <f t="shared" si="5"/>
        <v>D</v>
      </c>
      <c r="F57" t="str">
        <f t="shared" si="5"/>
        <v>C</v>
      </c>
      <c r="G57" t="str">
        <f t="shared" si="5"/>
        <v>F</v>
      </c>
      <c r="H57" t="str">
        <f t="shared" si="5"/>
        <v>F</v>
      </c>
      <c r="I57" t="str">
        <f t="shared" si="5"/>
        <v>E</v>
      </c>
    </row>
    <row r="58" spans="1:10">
      <c r="A58" t="s">
        <v>217</v>
      </c>
      <c r="B58">
        <f>VLOOKUP(B$57, GradeRates, MATCH($A58, RateTiers, 0), 0)</f>
        <v>17</v>
      </c>
      <c r="C58" s="4">
        <f t="shared" ref="C58:I61" si="6">VLOOKUP(C$57, GradeRates, MATCH($J58, RateTiers, 0), 0)</f>
        <v>5</v>
      </c>
      <c r="D58" s="4">
        <f t="shared" si="6"/>
        <v>4</v>
      </c>
      <c r="E58" s="4">
        <f t="shared" si="6"/>
        <v>3</v>
      </c>
      <c r="F58" s="4">
        <f t="shared" si="6"/>
        <v>4</v>
      </c>
      <c r="G58" s="4">
        <f t="shared" si="6"/>
        <v>2</v>
      </c>
      <c r="H58" s="4">
        <f t="shared" si="6"/>
        <v>2</v>
      </c>
      <c r="I58" s="4">
        <f t="shared" si="6"/>
        <v>3</v>
      </c>
      <c r="J58" t="s">
        <v>221</v>
      </c>
    </row>
    <row r="59" spans="1:10">
      <c r="A59" t="s">
        <v>218</v>
      </c>
      <c r="B59">
        <f>VLOOKUP(B$57, GradeRates, MATCH($A59, RateTiers, 0), 0)</f>
        <v>8</v>
      </c>
      <c r="C59" s="4">
        <f t="shared" si="6"/>
        <v>0.5</v>
      </c>
      <c r="D59" s="4">
        <f t="shared" si="6"/>
        <v>0.4</v>
      </c>
      <c r="E59" s="4">
        <f t="shared" si="6"/>
        <v>0.35</v>
      </c>
      <c r="F59" s="4">
        <f t="shared" si="6"/>
        <v>0.4</v>
      </c>
      <c r="G59" s="4">
        <f t="shared" si="6"/>
        <v>0.25</v>
      </c>
      <c r="H59" s="4">
        <f t="shared" si="6"/>
        <v>0.25</v>
      </c>
      <c r="I59" s="4">
        <f t="shared" si="6"/>
        <v>0.3</v>
      </c>
      <c r="J59" t="s">
        <v>222</v>
      </c>
    </row>
    <row r="60" spans="1:10">
      <c r="A60" t="s">
        <v>226</v>
      </c>
      <c r="B60">
        <f>VLOOKUP(B$57, GradeRates, MATCH($A60, RateTiers, 0), 0)</f>
        <v>1</v>
      </c>
      <c r="C60" s="4">
        <f t="shared" si="6"/>
        <v>0.107421875</v>
      </c>
      <c r="D60" s="4">
        <f t="shared" si="6"/>
        <v>0.29296875</v>
      </c>
      <c r="E60" s="4">
        <f t="shared" si="6"/>
        <v>0.341796875</v>
      </c>
      <c r="F60" s="4">
        <f t="shared" si="6"/>
        <v>0.29296875</v>
      </c>
      <c r="G60" s="4">
        <f t="shared" si="6"/>
        <v>0.390625</v>
      </c>
      <c r="H60" s="4">
        <f t="shared" si="6"/>
        <v>0.390625</v>
      </c>
      <c r="I60" s="4">
        <f t="shared" si="6"/>
        <v>0.341796875</v>
      </c>
      <c r="J60" t="s">
        <v>224</v>
      </c>
    </row>
    <row r="61" spans="1:10">
      <c r="A61" t="s">
        <v>219</v>
      </c>
      <c r="B61">
        <f>VLOOKUP(B$57, GradeRates, MATCH($A61, RateTiers, 0), 0)</f>
        <v>3</v>
      </c>
      <c r="C61" s="4">
        <f t="shared" si="6"/>
        <v>0.390625</v>
      </c>
      <c r="D61" s="4">
        <f t="shared" si="6"/>
        <v>0.390625</v>
      </c>
      <c r="E61" s="4">
        <f t="shared" si="6"/>
        <v>0.390625</v>
      </c>
      <c r="F61" s="4">
        <f t="shared" si="6"/>
        <v>0.390625</v>
      </c>
      <c r="G61" s="4">
        <f t="shared" si="6"/>
        <v>0.390625</v>
      </c>
      <c r="H61" s="4">
        <f t="shared" si="6"/>
        <v>0.390625</v>
      </c>
      <c r="I61" s="4">
        <f t="shared" si="6"/>
        <v>0.390625</v>
      </c>
      <c r="J61" t="s">
        <v>223</v>
      </c>
    </row>
    <row r="62" spans="1:10">
      <c r="A62" t="s">
        <v>220</v>
      </c>
      <c r="B62">
        <f>VLOOKUP(B$57, GradeRates, MATCH($A62, RateTiers, 0), 0)</f>
        <v>3</v>
      </c>
    </row>
    <row r="63" spans="1:10">
      <c r="A63" t="s">
        <v>7</v>
      </c>
      <c r="B63">
        <f>FLOOR((B58+MIN(59,$C$1-1)*B59+MAX(0,$C$1-30)*B60+MIN(15,MAX(0,$C$1-60))*B61+MAX(0,$C$1-75)*B62)/2,1)</f>
        <v>210</v>
      </c>
      <c r="C63">
        <f>FLOOR((C58+FLOOR(MIN(59,$C$1-1)*C59,0.5)+FLOOR(MIN(15,MAX(0,$C$1-60))*C60,0.5)+FLOOR(MAX(0,$C$1-75)*C61,0.5))/2,0.5)</f>
        <v>14.5</v>
      </c>
      <c r="D63">
        <f t="shared" ref="D63:I63" si="7">FLOOR((D58+FLOOR(MIN(59,$C$1-1)*D59,0.5)+FLOOR(MIN(15,MAX(0,$C$1-60))*D60,0.5)+FLOOR(MAX(0,$C$1-75)*D61,0.5))/2,0.5)</f>
        <v>11.5</v>
      </c>
      <c r="E63">
        <f t="shared" si="7"/>
        <v>9.5</v>
      </c>
      <c r="F63">
        <f t="shared" si="7"/>
        <v>11.5</v>
      </c>
      <c r="G63">
        <f t="shared" si="7"/>
        <v>7</v>
      </c>
      <c r="H63">
        <f t="shared" si="7"/>
        <v>7</v>
      </c>
      <c r="I63">
        <f t="shared" si="7"/>
        <v>8.5</v>
      </c>
    </row>
    <row r="66" spans="1:10">
      <c r="A66" s="9" t="s">
        <v>0</v>
      </c>
      <c r="B66" s="14" t="s">
        <v>207</v>
      </c>
      <c r="C66" s="14" t="s">
        <v>3</v>
      </c>
      <c r="D66" s="14" t="s">
        <v>4</v>
      </c>
      <c r="E66" s="14" t="s">
        <v>5</v>
      </c>
      <c r="F66" s="14" t="s">
        <v>42</v>
      </c>
      <c r="G66" s="14" t="s">
        <v>208</v>
      </c>
      <c r="H66" s="14" t="s">
        <v>209</v>
      </c>
      <c r="I66" s="14" t="s">
        <v>210</v>
      </c>
    </row>
    <row r="67" spans="1:10">
      <c r="A67" t="str">
        <f>Setup!B4</f>
        <v>Hume</v>
      </c>
      <c r="B67" t="str">
        <f t="shared" ref="B67:I67" si="8">VLOOKUP($A67, Grades, MATCH(B$66, Stats, 0), 0)</f>
        <v>D</v>
      </c>
      <c r="C67" t="str">
        <f t="shared" si="8"/>
        <v>D</v>
      </c>
      <c r="D67" t="str">
        <f t="shared" si="8"/>
        <v>D</v>
      </c>
      <c r="E67" t="str">
        <f t="shared" si="8"/>
        <v>D</v>
      </c>
      <c r="F67" t="str">
        <f t="shared" si="8"/>
        <v>D</v>
      </c>
      <c r="G67" t="str">
        <f t="shared" si="8"/>
        <v>D</v>
      </c>
      <c r="H67" t="str">
        <f t="shared" si="8"/>
        <v>D</v>
      </c>
      <c r="I67" t="str">
        <f t="shared" si="8"/>
        <v>D</v>
      </c>
    </row>
    <row r="68" spans="1:10">
      <c r="A68" t="s">
        <v>217</v>
      </c>
      <c r="B68">
        <f>VLOOKUP(B$67, GradeRates, MATCH($A68, RateTiers, 0), 0)</f>
        <v>14</v>
      </c>
      <c r="C68" s="4">
        <f t="shared" ref="C68:I71" si="9">VLOOKUP(C$67, GradeRates, MATCH($J68, RateTiers, 0), 0)</f>
        <v>3</v>
      </c>
      <c r="D68" s="4">
        <f t="shared" si="9"/>
        <v>3</v>
      </c>
      <c r="E68" s="4">
        <f t="shared" si="9"/>
        <v>3</v>
      </c>
      <c r="F68" s="4">
        <f t="shared" si="9"/>
        <v>3</v>
      </c>
      <c r="G68" s="4">
        <f t="shared" si="9"/>
        <v>3</v>
      </c>
      <c r="H68" s="4">
        <f t="shared" si="9"/>
        <v>3</v>
      </c>
      <c r="I68" s="4">
        <f t="shared" si="9"/>
        <v>3</v>
      </c>
      <c r="J68" t="s">
        <v>221</v>
      </c>
    </row>
    <row r="69" spans="1:10">
      <c r="A69" t="s">
        <v>218</v>
      </c>
      <c r="B69">
        <f>VLOOKUP(B$67, GradeRates, MATCH($A69, RateTiers, 0), 0)</f>
        <v>6</v>
      </c>
      <c r="C69" s="4">
        <f t="shared" si="9"/>
        <v>0.35</v>
      </c>
      <c r="D69" s="4">
        <f t="shared" si="9"/>
        <v>0.35</v>
      </c>
      <c r="E69" s="4">
        <f t="shared" si="9"/>
        <v>0.35</v>
      </c>
      <c r="F69" s="4">
        <f t="shared" si="9"/>
        <v>0.35</v>
      </c>
      <c r="G69" s="4">
        <f t="shared" si="9"/>
        <v>0.35</v>
      </c>
      <c r="H69" s="4">
        <f t="shared" si="9"/>
        <v>0.35</v>
      </c>
      <c r="I69" s="4">
        <f t="shared" si="9"/>
        <v>0.35</v>
      </c>
      <c r="J69" t="s">
        <v>222</v>
      </c>
    </row>
    <row r="70" spans="1:10">
      <c r="A70" t="s">
        <v>226</v>
      </c>
      <c r="B70">
        <f>VLOOKUP(B$67, GradeRates, MATCH($A70, RateTiers, 0), 0)</f>
        <v>0</v>
      </c>
      <c r="C70" s="4">
        <f t="shared" si="9"/>
        <v>0.341796875</v>
      </c>
      <c r="D70" s="4">
        <f t="shared" si="9"/>
        <v>0.341796875</v>
      </c>
      <c r="E70" s="4">
        <f t="shared" si="9"/>
        <v>0.341796875</v>
      </c>
      <c r="F70" s="4">
        <f t="shared" si="9"/>
        <v>0.341796875</v>
      </c>
      <c r="G70" s="4">
        <f t="shared" si="9"/>
        <v>0.341796875</v>
      </c>
      <c r="H70" s="4">
        <f t="shared" si="9"/>
        <v>0.341796875</v>
      </c>
      <c r="I70" s="4">
        <f t="shared" si="9"/>
        <v>0.341796875</v>
      </c>
      <c r="J70" t="s">
        <v>224</v>
      </c>
    </row>
    <row r="71" spans="1:10">
      <c r="A71" t="s">
        <v>219</v>
      </c>
      <c r="B71">
        <f>VLOOKUP(B$67, GradeRates, MATCH($A71, RateTiers, 0), 0)</f>
        <v>3</v>
      </c>
      <c r="C71" s="4">
        <f t="shared" si="9"/>
        <v>0.390625</v>
      </c>
      <c r="D71" s="4">
        <f t="shared" si="9"/>
        <v>0.390625</v>
      </c>
      <c r="E71" s="4">
        <f t="shared" si="9"/>
        <v>0.390625</v>
      </c>
      <c r="F71" s="4">
        <f t="shared" si="9"/>
        <v>0.390625</v>
      </c>
      <c r="G71" s="4">
        <f t="shared" si="9"/>
        <v>0.390625</v>
      </c>
      <c r="H71" s="4">
        <f t="shared" si="9"/>
        <v>0.390625</v>
      </c>
      <c r="I71" s="4">
        <f t="shared" si="9"/>
        <v>0.390625</v>
      </c>
      <c r="J71" t="s">
        <v>223</v>
      </c>
    </row>
    <row r="72" spans="1:10">
      <c r="A72" t="s">
        <v>220</v>
      </c>
      <c r="B72">
        <f>VLOOKUP(B$67, GradeRates, MATCH($A72, RateTiers, 0), 0)</f>
        <v>3</v>
      </c>
    </row>
    <row r="73" spans="1:10">
      <c r="A73" t="s">
        <v>7</v>
      </c>
      <c r="B73">
        <f>B68+MIN(59,$B$1-1)*B69+MAX(0,$B$1-30)*B70+MIN(15,MAX(0,$B$1-60))*B71+MAX(0,$B$1-75)*B72</f>
        <v>485</v>
      </c>
      <c r="C73">
        <f t="shared" ref="C73:I73" si="10">C68+FLOOR(MIN(59,$B$1-1)*C69,0.5)+FLOOR(MIN(15,MAX(0,$B$1-60))*C70,0.5)+FLOOR(MAX(0,$B$1-75)*C71,0.5)</f>
        <v>37.5</v>
      </c>
      <c r="D73">
        <f t="shared" si="10"/>
        <v>37.5</v>
      </c>
      <c r="E73">
        <f t="shared" si="10"/>
        <v>37.5</v>
      </c>
      <c r="F73">
        <f t="shared" si="10"/>
        <v>37.5</v>
      </c>
      <c r="G73">
        <f t="shared" si="10"/>
        <v>37.5</v>
      </c>
      <c r="H73">
        <f t="shared" si="10"/>
        <v>37.5</v>
      </c>
      <c r="I73">
        <f t="shared" si="10"/>
        <v>37.5</v>
      </c>
    </row>
    <row r="75" spans="1:10">
      <c r="B75" s="14" t="s">
        <v>207</v>
      </c>
      <c r="C75" s="14" t="s">
        <v>3</v>
      </c>
      <c r="D75" s="14" t="s">
        <v>4</v>
      </c>
      <c r="E75" s="14" t="s">
        <v>5</v>
      </c>
      <c r="F75" s="14" t="s">
        <v>42</v>
      </c>
      <c r="G75" s="14" t="s">
        <v>208</v>
      </c>
      <c r="H75" s="14" t="s">
        <v>209</v>
      </c>
      <c r="I75" s="14" t="s">
        <v>210</v>
      </c>
    </row>
    <row r="76" spans="1:10">
      <c r="A76" t="s">
        <v>228</v>
      </c>
      <c r="B76">
        <f>MAX(0,$B$1-10)*2+MIN(10,MAX(0,$B$1-50))*2+IF(A47="Mnk",IF($B$1&gt;=15, 30,0)+IF($B$1&gt;=35, 30,0)+IF($B$1&gt;=55, 60,0)+IF($B$1&gt;=70, 60,0)+IF($B$1&gt;=90, 60,0))</f>
        <v>198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126</vt:i4>
      </vt:variant>
    </vt:vector>
  </HeadingPairs>
  <TitlesOfParts>
    <vt:vector size="135" baseType="lpstr">
      <vt:lpstr>Setup</vt:lpstr>
      <vt:lpstr>Gear</vt:lpstr>
      <vt:lpstr>Notes</vt:lpstr>
      <vt:lpstr>Data</vt:lpstr>
      <vt:lpstr>Weaponskill</vt:lpstr>
      <vt:lpstr>Melee</vt:lpstr>
      <vt:lpstr>Gear Lists</vt:lpstr>
      <vt:lpstr>Other Lists</vt:lpstr>
      <vt:lpstr>Stats</vt:lpstr>
      <vt:lpstr>AM2Table</vt:lpstr>
      <vt:lpstr>Ammo</vt:lpstr>
      <vt:lpstr>AmmoList</vt:lpstr>
      <vt:lpstr>AtmaHeader</vt:lpstr>
      <vt:lpstr>AtmaList</vt:lpstr>
      <vt:lpstr>Atmas</vt:lpstr>
      <vt:lpstr>AvgHitsPerHand1Set1</vt:lpstr>
      <vt:lpstr>AvgHitsPerHand1Set1Daken</vt:lpstr>
      <vt:lpstr>AvgHitsPerHand1Set2</vt:lpstr>
      <vt:lpstr>AvgHitsPerHand1Set2Daken</vt:lpstr>
      <vt:lpstr>AvgHitsPerHand2Set1</vt:lpstr>
      <vt:lpstr>AvgHitsPerHand2Set2</vt:lpstr>
      <vt:lpstr>AvgHitsPerRound1</vt:lpstr>
      <vt:lpstr>AvgHitsPerRound2</vt:lpstr>
      <vt:lpstr>AvgKatanaPerHand1Set1</vt:lpstr>
      <vt:lpstr>AvgKatanaPerHand1Set2</vt:lpstr>
      <vt:lpstr>AvgRoundsSet1</vt:lpstr>
      <vt:lpstr>AvgRoundsSet2</vt:lpstr>
      <vt:lpstr>Back</vt:lpstr>
      <vt:lpstr>BackList</vt:lpstr>
      <vt:lpstr>Body</vt:lpstr>
      <vt:lpstr>BodyList</vt:lpstr>
      <vt:lpstr>Boosts</vt:lpstr>
      <vt:lpstr>Dagger</vt:lpstr>
      <vt:lpstr>DaggerList</vt:lpstr>
      <vt:lpstr>dialist</vt:lpstr>
      <vt:lpstr>dias</vt:lpstr>
      <vt:lpstr>Earring</vt:lpstr>
      <vt:lpstr>EarringList</vt:lpstr>
      <vt:lpstr>Feet</vt:lpstr>
      <vt:lpstr>FeetList</vt:lpstr>
      <vt:lpstr>Food</vt:lpstr>
      <vt:lpstr>FoodHeader</vt:lpstr>
      <vt:lpstr>FoodList</vt:lpstr>
      <vt:lpstr>GradeRates</vt:lpstr>
      <vt:lpstr>Grades</vt:lpstr>
      <vt:lpstr>Hands</vt:lpstr>
      <vt:lpstr>HandsList</vt:lpstr>
      <vt:lpstr>Hastes</vt:lpstr>
      <vt:lpstr>Head</vt:lpstr>
      <vt:lpstr>HeadList</vt:lpstr>
      <vt:lpstr>Ionis</vt:lpstr>
      <vt:lpstr>Katana</vt:lpstr>
      <vt:lpstr>KatanaList</vt:lpstr>
      <vt:lpstr>Legs</vt:lpstr>
      <vt:lpstr>LegsList</vt:lpstr>
      <vt:lpstr>MobHeader</vt:lpstr>
      <vt:lpstr>MobNames</vt:lpstr>
      <vt:lpstr>Mobs</vt:lpstr>
      <vt:lpstr>Neck</vt:lpstr>
      <vt:lpstr>NeckList</vt:lpstr>
      <vt:lpstr>OffhandWeapon</vt:lpstr>
      <vt:lpstr>PlayerStats</vt:lpstr>
      <vt:lpstr>Races</vt:lpstr>
      <vt:lpstr>Ranged</vt:lpstr>
      <vt:lpstr>RangedList</vt:lpstr>
      <vt:lpstr>RateTiers</vt:lpstr>
      <vt:lpstr>Ring</vt:lpstr>
      <vt:lpstr>RingList</vt:lpstr>
      <vt:lpstr>Set1AM3</vt:lpstr>
      <vt:lpstr>Set1AM32</vt:lpstr>
      <vt:lpstr>Set1AM33</vt:lpstr>
      <vt:lpstr>Set1ConserveTP</vt:lpstr>
      <vt:lpstr>Set1DA</vt:lpstr>
      <vt:lpstr>Set1FTP</vt:lpstr>
      <vt:lpstr>Set1MeleeTP</vt:lpstr>
      <vt:lpstr>Set1MinTP</vt:lpstr>
      <vt:lpstr>Set1OverTP</vt:lpstr>
      <vt:lpstr>Set1QA</vt:lpstr>
      <vt:lpstr>Set1Regain</vt:lpstr>
      <vt:lpstr>Set1SaveTP</vt:lpstr>
      <vt:lpstr>Set1TA</vt:lpstr>
      <vt:lpstr>Set1TPBonus</vt:lpstr>
      <vt:lpstr>Set1WSAgi</vt:lpstr>
      <vt:lpstr>Set1WSDex</vt:lpstr>
      <vt:lpstr>Set1WSDmg</vt:lpstr>
      <vt:lpstr>Set1WSHitRate</vt:lpstr>
      <vt:lpstr>Set1WSInt</vt:lpstr>
      <vt:lpstr>Set1WSStoreTP</vt:lpstr>
      <vt:lpstr>Set1WSStr</vt:lpstr>
      <vt:lpstr>Set1WSTP</vt:lpstr>
      <vt:lpstr>Set2AM3</vt:lpstr>
      <vt:lpstr>Set2AM32</vt:lpstr>
      <vt:lpstr>Set2AM33</vt:lpstr>
      <vt:lpstr>Set2ConserveTP</vt:lpstr>
      <vt:lpstr>Set2DA</vt:lpstr>
      <vt:lpstr>Set2FTP</vt:lpstr>
      <vt:lpstr>Set2MeleeTP</vt:lpstr>
      <vt:lpstr>Set2MinTP</vt:lpstr>
      <vt:lpstr>Set2OverTP</vt:lpstr>
      <vt:lpstr>Set2QA</vt:lpstr>
      <vt:lpstr>Set2Regain</vt:lpstr>
      <vt:lpstr>Set2SaveTP</vt:lpstr>
      <vt:lpstr>Set2TA</vt:lpstr>
      <vt:lpstr>Set2TPBonus</vt:lpstr>
      <vt:lpstr>Set2WSAgi</vt:lpstr>
      <vt:lpstr>Set2WSDex</vt:lpstr>
      <vt:lpstr>Set2WSDmg</vt:lpstr>
      <vt:lpstr>Set2WSHitRate</vt:lpstr>
      <vt:lpstr>Set2WSInt</vt:lpstr>
      <vt:lpstr>Set2WSStoreTP</vt:lpstr>
      <vt:lpstr>Set2WSStr</vt:lpstr>
      <vt:lpstr>Set2WSTP</vt:lpstr>
      <vt:lpstr>SetBonusLookup</vt:lpstr>
      <vt:lpstr>Shuriken</vt:lpstr>
      <vt:lpstr>ShurikenList</vt:lpstr>
      <vt:lpstr>Skills</vt:lpstr>
      <vt:lpstr>Slots</vt:lpstr>
      <vt:lpstr>StatHeader</vt:lpstr>
      <vt:lpstr>Stats</vt:lpstr>
      <vt:lpstr>Subjobs</vt:lpstr>
      <vt:lpstr>ThrowingWeapon</vt:lpstr>
      <vt:lpstr>Toggle</vt:lpstr>
      <vt:lpstr>TPSet1</vt:lpstr>
      <vt:lpstr>TPSet1Gear</vt:lpstr>
      <vt:lpstr>TPSet2</vt:lpstr>
      <vt:lpstr>TPSet2Gear</vt:lpstr>
      <vt:lpstr>Waist</vt:lpstr>
      <vt:lpstr>WaistList</vt:lpstr>
      <vt:lpstr>WeaponskillData</vt:lpstr>
      <vt:lpstr>WeaponskillDataCols</vt:lpstr>
      <vt:lpstr>Weaponskills</vt:lpstr>
      <vt:lpstr>WSSet1</vt:lpstr>
      <vt:lpstr>WSSet1Gear</vt:lpstr>
      <vt:lpstr>WSSet2</vt:lpstr>
      <vt:lpstr>WSSet2Gear</vt:lpstr>
    </vt:vector>
  </TitlesOfParts>
  <Company>Wayward Gamers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 McCauley</dc:creator>
  <cp:lastModifiedBy>Justin McAreavy</cp:lastModifiedBy>
  <dcterms:created xsi:type="dcterms:W3CDTF">2010-08-09T19:31:43Z</dcterms:created>
  <dcterms:modified xsi:type="dcterms:W3CDTF">2020-09-21T18:19:52Z</dcterms:modified>
</cp:coreProperties>
</file>