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gunn/Bach/ExperimentalData/Induced EMF/"/>
    </mc:Choice>
  </mc:AlternateContent>
  <bookViews>
    <workbookView xWindow="0" yWindow="460" windowWidth="28800" windowHeight="17460" tabRatio="500" activeTab="2"/>
  </bookViews>
  <sheets>
    <sheet name="20x50 5-5" sheetId="2" r:id="rId1"/>
    <sheet name="60x50 5-10" sheetId="3" r:id="rId2"/>
    <sheet name="40x50 5-10" sheetId="4" r:id="rId3"/>
    <sheet name="Template" sheetId="1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6" i="4" l="1"/>
  <c r="D25" i="4"/>
  <c r="M26" i="4"/>
  <c r="N26" i="4"/>
  <c r="O26" i="4"/>
  <c r="D24" i="4"/>
  <c r="C28" i="4"/>
  <c r="C31" i="4"/>
  <c r="R26" i="4"/>
  <c r="P26" i="4"/>
  <c r="Q26" i="4"/>
  <c r="K26" i="4"/>
  <c r="L25" i="4"/>
  <c r="M25" i="4"/>
  <c r="N25" i="4"/>
  <c r="O25" i="4"/>
  <c r="R25" i="4"/>
  <c r="P25" i="4"/>
  <c r="Q25" i="4"/>
  <c r="K25" i="4"/>
  <c r="L24" i="4"/>
  <c r="M24" i="4"/>
  <c r="N24" i="4"/>
  <c r="O24" i="4"/>
  <c r="R24" i="4"/>
  <c r="P24" i="4"/>
  <c r="Q24" i="4"/>
  <c r="K24" i="4"/>
  <c r="L23" i="4"/>
  <c r="M23" i="4"/>
  <c r="N23" i="4"/>
  <c r="O23" i="4"/>
  <c r="R23" i="4"/>
  <c r="P23" i="4"/>
  <c r="Q23" i="4"/>
  <c r="K23" i="4"/>
  <c r="K22" i="4"/>
  <c r="L22" i="4"/>
  <c r="M22" i="4"/>
  <c r="N22" i="4"/>
  <c r="O22" i="4"/>
  <c r="P22" i="4"/>
  <c r="Q22" i="4"/>
  <c r="R22" i="4"/>
  <c r="C23" i="4"/>
  <c r="C21" i="4"/>
  <c r="C25" i="4"/>
  <c r="C24" i="4"/>
  <c r="L21" i="4"/>
  <c r="M21" i="4"/>
  <c r="N21" i="4"/>
  <c r="O21" i="4"/>
  <c r="R21" i="4"/>
  <c r="P21" i="4"/>
  <c r="Q21" i="4"/>
  <c r="K21" i="4"/>
  <c r="L20" i="4"/>
  <c r="M20" i="4"/>
  <c r="N20" i="4"/>
  <c r="O20" i="4"/>
  <c r="R20" i="4"/>
  <c r="P20" i="4"/>
  <c r="Q20" i="4"/>
  <c r="K20" i="4"/>
  <c r="L19" i="4"/>
  <c r="M19" i="4"/>
  <c r="N19" i="4"/>
  <c r="O19" i="4"/>
  <c r="R19" i="4"/>
  <c r="P19" i="4"/>
  <c r="Q19" i="4"/>
  <c r="K19" i="4"/>
  <c r="L18" i="4"/>
  <c r="M18" i="4"/>
  <c r="N18" i="4"/>
  <c r="O18" i="4"/>
  <c r="R18" i="4"/>
  <c r="P18" i="4"/>
  <c r="Q18" i="4"/>
  <c r="K18" i="4"/>
  <c r="L17" i="4"/>
  <c r="M17" i="4"/>
  <c r="N17" i="4"/>
  <c r="O17" i="4"/>
  <c r="R17" i="4"/>
  <c r="P17" i="4"/>
  <c r="Q17" i="4"/>
  <c r="K17" i="4"/>
  <c r="L16" i="4"/>
  <c r="M16" i="4"/>
  <c r="N16" i="4"/>
  <c r="O16" i="4"/>
  <c r="R16" i="4"/>
  <c r="P16" i="4"/>
  <c r="Q16" i="4"/>
  <c r="K16" i="4"/>
  <c r="L15" i="4"/>
  <c r="M15" i="4"/>
  <c r="N15" i="4"/>
  <c r="O15" i="4"/>
  <c r="R15" i="4"/>
  <c r="P15" i="4"/>
  <c r="Q15" i="4"/>
  <c r="K15" i="4"/>
  <c r="L14" i="4"/>
  <c r="M14" i="4"/>
  <c r="N14" i="4"/>
  <c r="O14" i="4"/>
  <c r="R14" i="4"/>
  <c r="P14" i="4"/>
  <c r="Q14" i="4"/>
  <c r="K14" i="4"/>
  <c r="L13" i="4"/>
  <c r="M13" i="4"/>
  <c r="N13" i="4"/>
  <c r="O13" i="4"/>
  <c r="R13" i="4"/>
  <c r="P13" i="4"/>
  <c r="Q13" i="4"/>
  <c r="K13" i="4"/>
  <c r="L12" i="4"/>
  <c r="M12" i="4"/>
  <c r="N12" i="4"/>
  <c r="O12" i="4"/>
  <c r="R12" i="4"/>
  <c r="P12" i="4"/>
  <c r="Q12" i="4"/>
  <c r="K12" i="4"/>
  <c r="L11" i="4"/>
  <c r="M11" i="4"/>
  <c r="N11" i="4"/>
  <c r="O11" i="4"/>
  <c r="R11" i="4"/>
  <c r="P11" i="4"/>
  <c r="Q11" i="4"/>
  <c r="K11" i="4"/>
  <c r="C23" i="3"/>
  <c r="D24" i="3"/>
  <c r="C28" i="3"/>
  <c r="C21" i="3"/>
  <c r="C31" i="3"/>
  <c r="C23" i="2"/>
  <c r="C28" i="2"/>
  <c r="C31" i="2"/>
  <c r="L19" i="2"/>
  <c r="M19" i="2"/>
  <c r="N19" i="2"/>
  <c r="O19" i="2"/>
  <c r="R19" i="2"/>
  <c r="L18" i="2"/>
  <c r="M18" i="2"/>
  <c r="N18" i="2"/>
  <c r="O18" i="2"/>
  <c r="R18" i="2"/>
  <c r="L17" i="2"/>
  <c r="M17" i="2"/>
  <c r="N17" i="2"/>
  <c r="O17" i="2"/>
  <c r="R17" i="2"/>
  <c r="L16" i="2"/>
  <c r="M16" i="2"/>
  <c r="N16" i="2"/>
  <c r="O16" i="2"/>
  <c r="R16" i="2"/>
  <c r="L15" i="2"/>
  <c r="M15" i="2"/>
  <c r="N15" i="2"/>
  <c r="O15" i="2"/>
  <c r="R15" i="2"/>
  <c r="L14" i="2"/>
  <c r="M14" i="2"/>
  <c r="N14" i="2"/>
  <c r="O14" i="2"/>
  <c r="R14" i="2"/>
  <c r="L13" i="2"/>
  <c r="M13" i="2"/>
  <c r="N13" i="2"/>
  <c r="O13" i="2"/>
  <c r="R13" i="2"/>
  <c r="L12" i="2"/>
  <c r="M12" i="2"/>
  <c r="N12" i="2"/>
  <c r="O12" i="2"/>
  <c r="R12" i="2"/>
  <c r="L11" i="2"/>
  <c r="M11" i="2"/>
  <c r="N11" i="2"/>
  <c r="O11" i="2"/>
  <c r="R11" i="2"/>
  <c r="L11" i="3"/>
  <c r="C25" i="3"/>
  <c r="N11" i="3"/>
  <c r="L21" i="3"/>
  <c r="D25" i="3"/>
  <c r="M21" i="3"/>
  <c r="N21" i="3"/>
  <c r="O21" i="3"/>
  <c r="R21" i="3"/>
  <c r="L20" i="3"/>
  <c r="M20" i="3"/>
  <c r="N20" i="3"/>
  <c r="O20" i="3"/>
  <c r="R20" i="3"/>
  <c r="L19" i="3"/>
  <c r="M19" i="3"/>
  <c r="N19" i="3"/>
  <c r="O19" i="3"/>
  <c r="R19" i="3"/>
  <c r="L18" i="3"/>
  <c r="M18" i="3"/>
  <c r="N18" i="3"/>
  <c r="O18" i="3"/>
  <c r="R18" i="3"/>
  <c r="L17" i="3"/>
  <c r="M17" i="3"/>
  <c r="N17" i="3"/>
  <c r="O17" i="3"/>
  <c r="R17" i="3"/>
  <c r="L16" i="3"/>
  <c r="M16" i="3"/>
  <c r="N16" i="3"/>
  <c r="O16" i="3"/>
  <c r="R16" i="3"/>
  <c r="L15" i="3"/>
  <c r="M15" i="3"/>
  <c r="N15" i="3"/>
  <c r="O15" i="3"/>
  <c r="R15" i="3"/>
  <c r="L14" i="3"/>
  <c r="M14" i="3"/>
  <c r="N14" i="3"/>
  <c r="O14" i="3"/>
  <c r="R14" i="3"/>
  <c r="L13" i="3"/>
  <c r="M13" i="3"/>
  <c r="N13" i="3"/>
  <c r="O13" i="3"/>
  <c r="R13" i="3"/>
  <c r="L12" i="3"/>
  <c r="M12" i="3"/>
  <c r="N12" i="3"/>
  <c r="O12" i="3"/>
  <c r="R12" i="3"/>
  <c r="M11" i="3"/>
  <c r="O11" i="3"/>
  <c r="R11" i="3"/>
  <c r="P21" i="3"/>
  <c r="Q21" i="3"/>
  <c r="K21" i="3"/>
  <c r="K20" i="3"/>
  <c r="P20" i="3"/>
  <c r="Q20" i="3"/>
  <c r="C24" i="3"/>
  <c r="P19" i="3"/>
  <c r="Q19" i="3"/>
  <c r="K19" i="3"/>
  <c r="P18" i="3"/>
  <c r="Q18" i="3"/>
  <c r="K18" i="3"/>
  <c r="P17" i="3"/>
  <c r="Q17" i="3"/>
  <c r="K17" i="3"/>
  <c r="P16" i="3"/>
  <c r="Q16" i="3"/>
  <c r="K16" i="3"/>
  <c r="P15" i="3"/>
  <c r="Q15" i="3"/>
  <c r="K15" i="3"/>
  <c r="P14" i="3"/>
  <c r="Q14" i="3"/>
  <c r="K14" i="3"/>
  <c r="P13" i="3"/>
  <c r="Q13" i="3"/>
  <c r="K13" i="3"/>
  <c r="P12" i="3"/>
  <c r="Q12" i="3"/>
  <c r="K12" i="3"/>
  <c r="P11" i="3"/>
  <c r="Q11" i="3"/>
  <c r="K11" i="3"/>
  <c r="P12" i="2"/>
  <c r="P19" i="2"/>
  <c r="P18" i="2"/>
  <c r="P17" i="2"/>
  <c r="P16" i="2"/>
  <c r="P15" i="2"/>
  <c r="P14" i="2"/>
  <c r="P13" i="2"/>
  <c r="Q12" i="2"/>
  <c r="Q13" i="2"/>
  <c r="Q14" i="2"/>
  <c r="Q15" i="2"/>
  <c r="Q16" i="2"/>
  <c r="Q17" i="2"/>
  <c r="Q18" i="2"/>
  <c r="Q19" i="2"/>
  <c r="P11" i="2"/>
  <c r="K19" i="2"/>
  <c r="K18" i="2"/>
  <c r="K17" i="2"/>
  <c r="K16" i="2"/>
  <c r="K15" i="2"/>
  <c r="K14" i="2"/>
  <c r="K13" i="2"/>
  <c r="K12" i="2"/>
  <c r="K11" i="2"/>
  <c r="D24" i="2"/>
  <c r="C21" i="2"/>
  <c r="D25" i="2"/>
  <c r="C25" i="2"/>
  <c r="Q11" i="2"/>
  <c r="C24" i="2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</calcChain>
</file>

<file path=xl/comments1.xml><?xml version="1.0" encoding="utf-8"?>
<comments xmlns="http://schemas.openxmlformats.org/spreadsheetml/2006/main">
  <authors>
    <author>Microsoft Office User</author>
  </authors>
  <commentList>
    <comment ref="G7" authorId="0">
      <text>
        <r>
          <rPr>
            <b/>
            <sz val="10"/>
            <color indexed="81"/>
            <rFont val="Calibri"/>
          </rPr>
          <t>This is the peak to peak voltage changed as measured across the inline resistor of the driven circuit.</t>
        </r>
      </text>
    </comment>
    <comment ref="B9" authorId="0">
      <text>
        <r>
          <rPr>
            <sz val="10"/>
            <color indexed="81"/>
            <rFont val="Calibri"/>
          </rPr>
          <t>Left to right width of the circuit measured at the wire outer edge, hence the center to center width is this value munus one wire width.</t>
        </r>
      </text>
    </comment>
    <comment ref="B10" authorId="0">
      <text>
        <r>
          <rPr>
            <b/>
            <sz val="10"/>
            <color indexed="81"/>
            <rFont val="Calibri"/>
          </rPr>
          <t>Distance from the front to rear wires of the circuit measured at the wire outer edge, hence the center to center distance is this value munus one wire width.</t>
        </r>
      </text>
    </comment>
    <comment ref="K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L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M10" authorId="0">
      <text>
        <r>
          <rPr>
            <sz val="10"/>
            <color indexed="81"/>
            <rFont val="Calibri"/>
          </rPr>
          <t>Distance from driver front (Df) to passive rear (Pr) in meters.</t>
        </r>
      </text>
    </comment>
    <comment ref="N10" authorId="0">
      <text>
        <r>
          <rPr>
            <b/>
            <sz val="10"/>
            <color indexed="81"/>
            <rFont val="Calibri"/>
          </rPr>
          <t>Distance from driver rear (Dr) to passive front (Pf) in meters.</t>
        </r>
      </text>
    </comment>
    <comment ref="O10" authorId="0">
      <text>
        <r>
          <rPr>
            <sz val="10"/>
            <color indexed="81"/>
            <rFont val="Calibri"/>
          </rPr>
          <t>Distance from driver rear (Dr) to passive rear (Pr) in meters.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G7" authorId="0">
      <text>
        <r>
          <rPr>
            <b/>
            <sz val="10"/>
            <color indexed="81"/>
            <rFont val="Calibri"/>
          </rPr>
          <t>This is the peak to peak voltage changed as measured across the inline resistor of the driven circuit.</t>
        </r>
      </text>
    </comment>
    <comment ref="B9" authorId="0">
      <text>
        <r>
          <rPr>
            <sz val="10"/>
            <color indexed="81"/>
            <rFont val="Calibri"/>
          </rPr>
          <t>Left to right width of the circuit measured at the wire outer edge, hence the center to center width is this value munus one wire width.</t>
        </r>
      </text>
    </comment>
    <comment ref="B10" authorId="0">
      <text>
        <r>
          <rPr>
            <b/>
            <sz val="10"/>
            <color indexed="81"/>
            <rFont val="Calibri"/>
          </rPr>
          <t>Distance from the front to rear wires of the circuit measured at the wire outer edge, hence the center to center distance is this value munus one wire width.</t>
        </r>
      </text>
    </comment>
    <comment ref="K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L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M10" authorId="0">
      <text>
        <r>
          <rPr>
            <sz val="10"/>
            <color indexed="81"/>
            <rFont val="Calibri"/>
          </rPr>
          <t>Distance from driver front (Df) to passive rear (Pr) in meters.</t>
        </r>
      </text>
    </comment>
    <comment ref="N10" authorId="0">
      <text>
        <r>
          <rPr>
            <b/>
            <sz val="10"/>
            <color indexed="81"/>
            <rFont val="Calibri"/>
          </rPr>
          <t>Distance from driver rear (Dr) to passive front (Pf) in meters.</t>
        </r>
      </text>
    </comment>
    <comment ref="O10" authorId="0">
      <text>
        <r>
          <rPr>
            <sz val="10"/>
            <color indexed="81"/>
            <rFont val="Calibri"/>
          </rPr>
          <t>Distance from driver rear (Dr) to passive rear (Pr) in meters.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G7" authorId="0">
      <text>
        <r>
          <rPr>
            <b/>
            <sz val="10"/>
            <color indexed="81"/>
            <rFont val="Calibri"/>
          </rPr>
          <t>This is the peak to peak voltage changed as measured across the inline resistor of the driven circuit.</t>
        </r>
      </text>
    </comment>
    <comment ref="B9" authorId="0">
      <text>
        <r>
          <rPr>
            <sz val="10"/>
            <color indexed="81"/>
            <rFont val="Calibri"/>
          </rPr>
          <t>Left to right width of the circuit measured at the wire outer edge, hence the center to center width is this value munus one wire width.</t>
        </r>
      </text>
    </comment>
    <comment ref="B10" authorId="0">
      <text>
        <r>
          <rPr>
            <b/>
            <sz val="10"/>
            <color indexed="81"/>
            <rFont val="Calibri"/>
          </rPr>
          <t>Distance from the front to rear wires of the circuit measured at the wire outer edge, hence the center to center distance is this value munus one wire width.</t>
        </r>
      </text>
    </comment>
    <comment ref="K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L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M10" authorId="0">
      <text>
        <r>
          <rPr>
            <sz val="10"/>
            <color indexed="81"/>
            <rFont val="Calibri"/>
          </rPr>
          <t>Distance from driver front (Df) to passive rear (Pr) in meters.</t>
        </r>
      </text>
    </comment>
    <comment ref="N10" authorId="0">
      <text>
        <r>
          <rPr>
            <b/>
            <sz val="10"/>
            <color indexed="81"/>
            <rFont val="Calibri"/>
          </rPr>
          <t>Distance from driver rear (Dr) to passive front (Pf) in meters.</t>
        </r>
      </text>
    </comment>
    <comment ref="O10" authorId="0">
      <text>
        <r>
          <rPr>
            <sz val="10"/>
            <color indexed="81"/>
            <rFont val="Calibri"/>
          </rPr>
          <t>Distance from driver rear (Dr) to passive rear (Pr) in meters.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G7" authorId="0">
      <text>
        <r>
          <rPr>
            <sz val="10"/>
            <color indexed="81"/>
            <rFont val="Calibri"/>
          </rPr>
          <t>This is the peak to peak voltage changed as measured across the inline resistor of the driven circuit.</t>
        </r>
      </text>
    </comment>
    <comment ref="B9" authorId="0">
      <text>
        <r>
          <rPr>
            <sz val="10"/>
            <color indexed="81"/>
            <rFont val="Calibri"/>
          </rPr>
          <t>Left to right width of the circuit measured at the wire outer edge, hence the center to center width is this value munus one wire width.</t>
        </r>
      </text>
    </comment>
    <comment ref="B10" authorId="0">
      <text>
        <r>
          <rPr>
            <sz val="10"/>
            <color indexed="81"/>
            <rFont val="Calibri"/>
          </rPr>
          <t>Distance from the front to rear wires of the circuit measured at the wire outer edge, hence the center to center distance is this value munus one wire width.</t>
        </r>
      </text>
    </comment>
    <comment ref="L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M10" authorId="0">
      <text>
        <r>
          <rPr>
            <sz val="10"/>
            <color indexed="81"/>
            <rFont val="Calibri"/>
          </rPr>
          <t>Distance from driver front (Df) to passive rear (Pr) in meters.</t>
        </r>
      </text>
    </comment>
    <comment ref="N10" authorId="0">
      <text>
        <r>
          <rPr>
            <b/>
            <sz val="10"/>
            <color indexed="81"/>
            <rFont val="Calibri"/>
          </rPr>
          <t>Distance from driver rear (Dr) to passive front (Pf) in meters.</t>
        </r>
      </text>
    </comment>
    <comment ref="O10" authorId="0">
      <text>
        <r>
          <rPr>
            <sz val="10"/>
            <color indexed="81"/>
            <rFont val="Calibri"/>
          </rPr>
          <t>Distance from driver rear (Dr) to passive rear (Pr) in meters.</t>
        </r>
      </text>
    </comment>
  </commentList>
</comments>
</file>

<file path=xl/sharedStrings.xml><?xml version="1.0" encoding="utf-8"?>
<sst xmlns="http://schemas.openxmlformats.org/spreadsheetml/2006/main" count="194" uniqueCount="60">
  <si>
    <t>Date:</t>
  </si>
  <si>
    <t>Experiment type:</t>
  </si>
  <si>
    <t>Driven</t>
  </si>
  <si>
    <t>Passive</t>
  </si>
  <si>
    <t>Width (mm):</t>
  </si>
  <si>
    <t>Length (mm):</t>
  </si>
  <si>
    <t>Num loops:</t>
  </si>
  <si>
    <t>Resistence (Ω):</t>
  </si>
  <si>
    <t>Flow direction from above:</t>
  </si>
  <si>
    <t>Clockwise</t>
  </si>
  <si>
    <t>Flow direction checked:</t>
  </si>
  <si>
    <t>Wire type:</t>
  </si>
  <si>
    <t>Wire gauge:</t>
  </si>
  <si>
    <t>Wave type:</t>
  </si>
  <si>
    <t>n/a</t>
  </si>
  <si>
    <t>Measurement resistor (Ω):</t>
  </si>
  <si>
    <t>Amplitude (V):</t>
  </si>
  <si>
    <t>Frequency (Hz):</t>
  </si>
  <si>
    <t>Sweep date/time:</t>
  </si>
  <si>
    <t>Wire diameter (mm):</t>
  </si>
  <si>
    <t>Copper</t>
  </si>
  <si>
    <t>Part Number:</t>
  </si>
  <si>
    <t>P002</t>
  </si>
  <si>
    <t>P001</t>
  </si>
  <si>
    <t>Df to Pf (m)</t>
  </si>
  <si>
    <t>Right block sep (mm)</t>
  </si>
  <si>
    <t>Left block sep (mm)</t>
  </si>
  <si>
    <t>EMF (V)</t>
  </si>
  <si>
    <t>Df to Pr (m)</t>
  </si>
  <si>
    <t>Dr to Pf (m)</t>
  </si>
  <si>
    <t>Dr to Pr (m)</t>
  </si>
  <si>
    <t>Inverse distances (1/m)</t>
  </si>
  <si>
    <t>Rate of change of current (A/s):</t>
  </si>
  <si>
    <t>triangular</t>
  </si>
  <si>
    <t>Reference between wires (mm):</t>
  </si>
  <si>
    <t>Reference between blocks (mm):</t>
  </si>
  <si>
    <t>Block sep (mm)</t>
  </si>
  <si>
    <t>EMF (mV)</t>
  </si>
  <si>
    <t>Yes</t>
  </si>
  <si>
    <t>Width measured (mm):</t>
  </si>
  <si>
    <t>Length measured (mm):</t>
  </si>
  <si>
    <t>Width on centers (m):</t>
  </si>
  <si>
    <t>Length on centers (m):</t>
  </si>
  <si>
    <t>1/x rule (mv)</t>
  </si>
  <si>
    <t>Maxwell (mv)</t>
  </si>
  <si>
    <t>Maxwell coeff:</t>
  </si>
  <si>
    <t>P coeff (Am/s) :</t>
  </si>
  <si>
    <t>η (kg m^2/ s^2 / A^2)</t>
  </si>
  <si>
    <t>Permeability (kg m/s^2/A^2):</t>
  </si>
  <si>
    <t>EMF x2 (mV)</t>
  </si>
  <si>
    <t>9:59pm</t>
  </si>
  <si>
    <t>EMF Std Dev (mV)</t>
  </si>
  <si>
    <t>P003</t>
  </si>
  <si>
    <t>On passive circuit +ve lead is white, -ve is red.</t>
  </si>
  <si>
    <t>(3.67V +ve, -3.69V -ve)</t>
  </si>
  <si>
    <t>For 37.2mV EMF, -16.6mv to 20.6mV</t>
  </si>
  <si>
    <t>Repeat EMF x2 (mv)</t>
  </si>
  <si>
    <t>3:35pm</t>
  </si>
  <si>
    <t>5:21pm</t>
  </si>
  <si>
    <t>-3.66V to 3.72V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</si>
</sst>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F800]dddd\,\ mmmm\ dd\,\ yyyy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8"/>
      <name val="Calibri"/>
      <family val="2"/>
      <scheme val="minor"/>
    </font>
    <font>
      <sz val="72"/>
      <color theme="1"/>
      <name val="Helvetica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Border="1"/>
    <xf numFmtId="2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2" fontId="0" fillId="4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15" fontId="0" fillId="4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2" fontId="0" fillId="3" borderId="1" xfId="0" applyNumberFormat="1" applyFill="1" applyBorder="1"/>
    <xf numFmtId="167" fontId="0" fillId="4" borderId="1" xfId="0" applyNumberFormat="1" applyFill="1" applyBorder="1"/>
    <xf numFmtId="0" fontId="0" fillId="3" borderId="2" xfId="0" applyFill="1" applyBorder="1"/>
    <xf numFmtId="0" fontId="0" fillId="5" borderId="2" xfId="0" applyFill="1" applyBorder="1"/>
    <xf numFmtId="2" fontId="0" fillId="3" borderId="2" xfId="0" applyNumberFormat="1" applyFill="1" applyBorder="1"/>
    <xf numFmtId="0" fontId="4" fillId="0" borderId="0" xfId="0" applyFont="1" applyAlignment="1">
      <alignment horizontal="center" vertical="center"/>
    </xf>
    <xf numFmtId="0" fontId="0" fillId="4" borderId="1" xfId="0" quotePrefix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'20x50 5-5'!$L$11:$L$19</c:f>
              <c:numCache>
                <c:formatCode>General</c:formatCode>
                <c:ptCount val="9"/>
                <c:pt idx="0">
                  <c:v>0.00175</c:v>
                </c:pt>
                <c:pt idx="1">
                  <c:v>0.00254</c:v>
                </c:pt>
                <c:pt idx="2">
                  <c:v>0.00363</c:v>
                </c:pt>
                <c:pt idx="3">
                  <c:v>0.00463</c:v>
                </c:pt>
                <c:pt idx="4">
                  <c:v>0.00577</c:v>
                </c:pt>
                <c:pt idx="5">
                  <c:v>0.00725</c:v>
                </c:pt>
                <c:pt idx="6">
                  <c:v>0.0084</c:v>
                </c:pt>
                <c:pt idx="7">
                  <c:v>0.00994</c:v>
                </c:pt>
                <c:pt idx="8">
                  <c:v>0.01274</c:v>
                </c:pt>
              </c:numCache>
            </c:numRef>
          </c:xVal>
          <c:yVal>
            <c:numRef>
              <c:f>'20x50 5-5'!$K$11:$K$19</c:f>
              <c:numCache>
                <c:formatCode>0.00</c:formatCode>
                <c:ptCount val="9"/>
                <c:pt idx="0">
                  <c:v>47.2</c:v>
                </c:pt>
                <c:pt idx="1">
                  <c:v>39.9</c:v>
                </c:pt>
                <c:pt idx="2">
                  <c:v>33.3</c:v>
                </c:pt>
                <c:pt idx="3">
                  <c:v>28.45</c:v>
                </c:pt>
                <c:pt idx="4">
                  <c:v>24.95</c:v>
                </c:pt>
                <c:pt idx="5">
                  <c:v>20.8</c:v>
                </c:pt>
                <c:pt idx="6">
                  <c:v>18.55</c:v>
                </c:pt>
                <c:pt idx="7">
                  <c:v>15.7</c:v>
                </c:pt>
                <c:pt idx="8">
                  <c:v>12.55</c:v>
                </c:pt>
              </c:numCache>
            </c:numRef>
          </c:yVal>
          <c:smooth val="1"/>
        </c:ser>
        <c:ser>
          <c:idx val="1"/>
          <c:order val="1"/>
          <c:tx>
            <c:v>1/x rule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'20x50 5-5'!$L$11:$L$19</c:f>
              <c:numCache>
                <c:formatCode>General</c:formatCode>
                <c:ptCount val="9"/>
                <c:pt idx="0">
                  <c:v>0.00175</c:v>
                </c:pt>
                <c:pt idx="1">
                  <c:v>0.00254</c:v>
                </c:pt>
                <c:pt idx="2">
                  <c:v>0.00363</c:v>
                </c:pt>
                <c:pt idx="3">
                  <c:v>0.00463</c:v>
                </c:pt>
                <c:pt idx="4">
                  <c:v>0.00577</c:v>
                </c:pt>
                <c:pt idx="5">
                  <c:v>0.00725</c:v>
                </c:pt>
                <c:pt idx="6">
                  <c:v>0.0084</c:v>
                </c:pt>
                <c:pt idx="7">
                  <c:v>0.00994</c:v>
                </c:pt>
                <c:pt idx="8">
                  <c:v>0.01274</c:v>
                </c:pt>
              </c:numCache>
            </c:numRef>
          </c:xVal>
          <c:yVal>
            <c:numRef>
              <c:f>'20x50 5-5'!$Q$11:$Q$19</c:f>
              <c:numCache>
                <c:formatCode>General</c:formatCode>
                <c:ptCount val="9"/>
                <c:pt idx="0">
                  <c:v>351.0114648216787</c:v>
                </c:pt>
                <c:pt idx="1">
                  <c:v>232.9650555690588</c:v>
                </c:pt>
                <c:pt idx="2">
                  <c:v>155.0994796237268</c:v>
                </c:pt>
                <c:pt idx="3">
                  <c:v>116.3741527895794</c:v>
                </c:pt>
                <c:pt idx="4">
                  <c:v>88.98270763660982</c:v>
                </c:pt>
                <c:pt idx="5">
                  <c:v>66.69387568195184</c:v>
                </c:pt>
                <c:pt idx="6">
                  <c:v>55.04434387954952</c:v>
                </c:pt>
                <c:pt idx="7">
                  <c:v>43.91321154558727</c:v>
                </c:pt>
                <c:pt idx="8">
                  <c:v>31.04325814839811</c:v>
                </c:pt>
              </c:numCache>
            </c:numRef>
          </c:yVal>
          <c:smooth val="1"/>
        </c:ser>
        <c:ser>
          <c:idx val="2"/>
          <c:order val="2"/>
          <c:tx>
            <c:v>Maxwell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'20x50 5-5'!$L$11:$L$19</c:f>
              <c:numCache>
                <c:formatCode>General</c:formatCode>
                <c:ptCount val="9"/>
                <c:pt idx="0">
                  <c:v>0.00175</c:v>
                </c:pt>
                <c:pt idx="1">
                  <c:v>0.00254</c:v>
                </c:pt>
                <c:pt idx="2">
                  <c:v>0.00363</c:v>
                </c:pt>
                <c:pt idx="3">
                  <c:v>0.00463</c:v>
                </c:pt>
                <c:pt idx="4">
                  <c:v>0.00577</c:v>
                </c:pt>
                <c:pt idx="5">
                  <c:v>0.00725</c:v>
                </c:pt>
                <c:pt idx="6">
                  <c:v>0.0084</c:v>
                </c:pt>
                <c:pt idx="7">
                  <c:v>0.00994</c:v>
                </c:pt>
                <c:pt idx="8">
                  <c:v>0.01274</c:v>
                </c:pt>
              </c:numCache>
            </c:numRef>
          </c:xVal>
          <c:yVal>
            <c:numRef>
              <c:f>'20x50 5-5'!$R$11:$R$19</c:f>
              <c:numCache>
                <c:formatCode>General</c:formatCode>
                <c:ptCount val="9"/>
                <c:pt idx="0">
                  <c:v>98.75208366358103</c:v>
                </c:pt>
                <c:pt idx="1">
                  <c:v>84.42983836688934</c:v>
                </c:pt>
                <c:pt idx="2">
                  <c:v>71.28407970927973</c:v>
                </c:pt>
                <c:pt idx="3">
                  <c:v>62.74073954929306</c:v>
                </c:pt>
                <c:pt idx="4">
                  <c:v>55.36053234602955</c:v>
                </c:pt>
                <c:pt idx="5">
                  <c:v>48.10661792802854</c:v>
                </c:pt>
                <c:pt idx="6">
                  <c:v>43.67029243833719</c:v>
                </c:pt>
                <c:pt idx="7">
                  <c:v>38.84991788081766</c:v>
                </c:pt>
                <c:pt idx="8">
                  <c:v>32.26997680590967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9369248"/>
        <c:axId val="-2045835200"/>
      </c:scatterChart>
      <c:valAx>
        <c:axId val="-200936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835200"/>
        <c:crosses val="autoZero"/>
        <c:crossBetween val="midCat"/>
      </c:valAx>
      <c:valAx>
        <c:axId val="-20458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36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'60x50 5-10'!$L$11:$L$21</c:f>
              <c:numCache>
                <c:formatCode>General</c:formatCode>
                <c:ptCount val="11"/>
                <c:pt idx="0">
                  <c:v>0.00254</c:v>
                </c:pt>
                <c:pt idx="1">
                  <c:v>0.00283</c:v>
                </c:pt>
                <c:pt idx="2">
                  <c:v>0.00411</c:v>
                </c:pt>
                <c:pt idx="3">
                  <c:v>0.00638</c:v>
                </c:pt>
                <c:pt idx="4">
                  <c:v>0.00831</c:v>
                </c:pt>
                <c:pt idx="5">
                  <c:v>0.01218</c:v>
                </c:pt>
                <c:pt idx="6">
                  <c:v>0.01379</c:v>
                </c:pt>
                <c:pt idx="7">
                  <c:v>0.01624</c:v>
                </c:pt>
                <c:pt idx="8">
                  <c:v>0.02161</c:v>
                </c:pt>
                <c:pt idx="9">
                  <c:v>0.02599</c:v>
                </c:pt>
                <c:pt idx="10">
                  <c:v>0.04384</c:v>
                </c:pt>
              </c:numCache>
            </c:numRef>
          </c:xVal>
          <c:yVal>
            <c:numRef>
              <c:f>'60x50 5-10'!$K$11:$K$21</c:f>
              <c:numCache>
                <c:formatCode>0.00</c:formatCode>
                <c:ptCount val="11"/>
                <c:pt idx="0">
                  <c:v>94.0</c:v>
                </c:pt>
                <c:pt idx="1">
                  <c:v>90.8</c:v>
                </c:pt>
                <c:pt idx="2">
                  <c:v>75.3</c:v>
                </c:pt>
                <c:pt idx="3">
                  <c:v>59.35</c:v>
                </c:pt>
                <c:pt idx="4">
                  <c:v>49.45</c:v>
                </c:pt>
                <c:pt idx="5">
                  <c:v>38.3</c:v>
                </c:pt>
                <c:pt idx="6">
                  <c:v>34.0</c:v>
                </c:pt>
                <c:pt idx="7">
                  <c:v>28.7</c:v>
                </c:pt>
                <c:pt idx="8">
                  <c:v>21.4</c:v>
                </c:pt>
                <c:pt idx="9">
                  <c:v>18.0</c:v>
                </c:pt>
                <c:pt idx="10">
                  <c:v>8.4</c:v>
                </c:pt>
              </c:numCache>
            </c:numRef>
          </c:yVal>
          <c:smooth val="1"/>
        </c:ser>
        <c:ser>
          <c:idx val="1"/>
          <c:order val="1"/>
          <c:tx>
            <c:v>1/x rule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'60x50 5-10'!$L$11:$L$21</c:f>
              <c:numCache>
                <c:formatCode>General</c:formatCode>
                <c:ptCount val="11"/>
                <c:pt idx="0">
                  <c:v>0.00254</c:v>
                </c:pt>
                <c:pt idx="1">
                  <c:v>0.00283</c:v>
                </c:pt>
                <c:pt idx="2">
                  <c:v>0.00411</c:v>
                </c:pt>
                <c:pt idx="3">
                  <c:v>0.00638</c:v>
                </c:pt>
                <c:pt idx="4">
                  <c:v>0.00831</c:v>
                </c:pt>
                <c:pt idx="5">
                  <c:v>0.01218</c:v>
                </c:pt>
                <c:pt idx="6">
                  <c:v>0.01379</c:v>
                </c:pt>
                <c:pt idx="7">
                  <c:v>0.01624</c:v>
                </c:pt>
                <c:pt idx="8">
                  <c:v>0.02161</c:v>
                </c:pt>
                <c:pt idx="9">
                  <c:v>0.02599</c:v>
                </c:pt>
                <c:pt idx="10">
                  <c:v>0.04384</c:v>
                </c:pt>
              </c:numCache>
            </c:numRef>
          </c:xVal>
          <c:yVal>
            <c:numRef>
              <c:f>'60x50 5-10'!$Q$11:$Q$21</c:f>
              <c:numCache>
                <c:formatCode>General</c:formatCode>
                <c:ptCount val="11"/>
                <c:pt idx="0">
                  <c:v>259.302598234357</c:v>
                </c:pt>
                <c:pt idx="1">
                  <c:v>231.307654334951</c:v>
                </c:pt>
                <c:pt idx="2">
                  <c:v>155.0551525521032</c:v>
                </c:pt>
                <c:pt idx="3">
                  <c:v>95.34067858707525</c:v>
                </c:pt>
                <c:pt idx="4">
                  <c:v>70.42225376240828</c:v>
                </c:pt>
                <c:pt idx="5">
                  <c:v>44.5723486655807</c:v>
                </c:pt>
                <c:pt idx="6">
                  <c:v>38.1927863887711</c:v>
                </c:pt>
                <c:pt idx="7">
                  <c:v>30.99848541241073</c:v>
                </c:pt>
                <c:pt idx="8">
                  <c:v>21.17950575392269</c:v>
                </c:pt>
                <c:pt idx="9">
                  <c:v>16.35189977691335</c:v>
                </c:pt>
                <c:pt idx="10">
                  <c:v>7.366468138293226</c:v>
                </c:pt>
              </c:numCache>
            </c:numRef>
          </c:yVal>
          <c:smooth val="1"/>
        </c:ser>
        <c:ser>
          <c:idx val="2"/>
          <c:order val="2"/>
          <c:tx>
            <c:v>Maxwells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'60x50 5-10'!$L$11:$L$21</c:f>
              <c:numCache>
                <c:formatCode>General</c:formatCode>
                <c:ptCount val="11"/>
                <c:pt idx="0">
                  <c:v>0.00254</c:v>
                </c:pt>
                <c:pt idx="1">
                  <c:v>0.00283</c:v>
                </c:pt>
                <c:pt idx="2">
                  <c:v>0.00411</c:v>
                </c:pt>
                <c:pt idx="3">
                  <c:v>0.00638</c:v>
                </c:pt>
                <c:pt idx="4">
                  <c:v>0.00831</c:v>
                </c:pt>
                <c:pt idx="5">
                  <c:v>0.01218</c:v>
                </c:pt>
                <c:pt idx="6">
                  <c:v>0.01379</c:v>
                </c:pt>
                <c:pt idx="7">
                  <c:v>0.01624</c:v>
                </c:pt>
                <c:pt idx="8">
                  <c:v>0.02161</c:v>
                </c:pt>
                <c:pt idx="9">
                  <c:v>0.02599</c:v>
                </c:pt>
                <c:pt idx="10">
                  <c:v>0.04384</c:v>
                </c:pt>
              </c:numCache>
            </c:numRef>
          </c:xVal>
          <c:yVal>
            <c:numRef>
              <c:f>'60x50 5-10'!$R$11:$R$21</c:f>
              <c:numCache>
                <c:formatCode>General</c:formatCode>
                <c:ptCount val="11"/>
                <c:pt idx="0">
                  <c:v>118.0236570784086</c:v>
                </c:pt>
                <c:pt idx="1">
                  <c:v>113.5018795354852</c:v>
                </c:pt>
                <c:pt idx="2">
                  <c:v>98.13834046101984</c:v>
                </c:pt>
                <c:pt idx="3">
                  <c:v>80.67013035977256</c:v>
                </c:pt>
                <c:pt idx="4">
                  <c:v>70.61808951187577</c:v>
                </c:pt>
                <c:pt idx="5">
                  <c:v>56.85928821365178</c:v>
                </c:pt>
                <c:pt idx="6">
                  <c:v>52.62963260028426</c:v>
                </c:pt>
                <c:pt idx="7">
                  <c:v>47.26294188301769</c:v>
                </c:pt>
                <c:pt idx="8">
                  <c:v>38.50921526473102</c:v>
                </c:pt>
                <c:pt idx="9">
                  <c:v>33.31899734849065</c:v>
                </c:pt>
                <c:pt idx="10">
                  <c:v>20.83705306851038</c:v>
                </c:pt>
              </c:numCache>
            </c:numRef>
          </c:yVal>
          <c:smooth val="1"/>
        </c:ser>
        <c:ser>
          <c:idx val="3"/>
          <c:order val="3"/>
          <c:tx>
            <c:v>Maxwell 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'60x50 5-10'!$L$11:$L$21</c:f>
              <c:numCache>
                <c:formatCode>General</c:formatCode>
                <c:ptCount val="11"/>
                <c:pt idx="0">
                  <c:v>0.00254</c:v>
                </c:pt>
                <c:pt idx="1">
                  <c:v>0.00283</c:v>
                </c:pt>
                <c:pt idx="2">
                  <c:v>0.00411</c:v>
                </c:pt>
                <c:pt idx="3">
                  <c:v>0.00638</c:v>
                </c:pt>
                <c:pt idx="4">
                  <c:v>0.00831</c:v>
                </c:pt>
                <c:pt idx="5">
                  <c:v>0.01218</c:v>
                </c:pt>
                <c:pt idx="6">
                  <c:v>0.01379</c:v>
                </c:pt>
                <c:pt idx="7">
                  <c:v>0.01624</c:v>
                </c:pt>
                <c:pt idx="8">
                  <c:v>0.02161</c:v>
                </c:pt>
                <c:pt idx="9">
                  <c:v>0.02599</c:v>
                </c:pt>
                <c:pt idx="10">
                  <c:v>0.04384</c:v>
                </c:pt>
              </c:numCache>
            </c:numRef>
          </c:xVal>
          <c:yVal>
            <c:numRef>
              <c:f>'60x50 5-10'!#REF!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027776"/>
        <c:axId val="-2011833728"/>
      </c:scatterChart>
      <c:valAx>
        <c:axId val="20500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833728"/>
        <c:crosses val="autoZero"/>
        <c:crossBetween val="midCat"/>
      </c:valAx>
      <c:valAx>
        <c:axId val="-20118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2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'40x50 5-10'!$L$11:$L$27</c:f>
              <c:numCache>
                <c:formatCode>General</c:formatCode>
                <c:ptCount val="17"/>
                <c:pt idx="0">
                  <c:v>0.00198</c:v>
                </c:pt>
                <c:pt idx="1">
                  <c:v>0.00271</c:v>
                </c:pt>
                <c:pt idx="2">
                  <c:v>0.00334</c:v>
                </c:pt>
                <c:pt idx="3">
                  <c:v>0.00405</c:v>
                </c:pt>
                <c:pt idx="4">
                  <c:v>0.00487</c:v>
                </c:pt>
                <c:pt idx="5">
                  <c:v>0.0057</c:v>
                </c:pt>
                <c:pt idx="6">
                  <c:v>0.00715</c:v>
                </c:pt>
                <c:pt idx="7">
                  <c:v>0.00906</c:v>
                </c:pt>
                <c:pt idx="8">
                  <c:v>0.01052</c:v>
                </c:pt>
                <c:pt idx="9">
                  <c:v>0.01323</c:v>
                </c:pt>
                <c:pt idx="10">
                  <c:v>0.01553</c:v>
                </c:pt>
                <c:pt idx="11">
                  <c:v>0.01781</c:v>
                </c:pt>
                <c:pt idx="12">
                  <c:v>0.01965</c:v>
                </c:pt>
                <c:pt idx="13">
                  <c:v>0.02405</c:v>
                </c:pt>
                <c:pt idx="14">
                  <c:v>0.03022</c:v>
                </c:pt>
                <c:pt idx="15">
                  <c:v>0.03736</c:v>
                </c:pt>
              </c:numCache>
            </c:numRef>
          </c:xVal>
          <c:yVal>
            <c:numRef>
              <c:f>'40x50 5-10'!$K$11:$K$26</c:f>
              <c:numCache>
                <c:formatCode>0.00</c:formatCode>
                <c:ptCount val="16"/>
                <c:pt idx="0">
                  <c:v>105.5</c:v>
                </c:pt>
                <c:pt idx="1">
                  <c:v>91.0</c:v>
                </c:pt>
                <c:pt idx="2">
                  <c:v>82.0</c:v>
                </c:pt>
                <c:pt idx="3">
                  <c:v>74.0</c:v>
                </c:pt>
                <c:pt idx="4">
                  <c:v>67.0</c:v>
                </c:pt>
                <c:pt idx="5">
                  <c:v>60.0</c:v>
                </c:pt>
                <c:pt idx="6">
                  <c:v>52.5</c:v>
                </c:pt>
                <c:pt idx="7">
                  <c:v>43.75</c:v>
                </c:pt>
                <c:pt idx="8">
                  <c:v>38.85</c:v>
                </c:pt>
                <c:pt idx="9">
                  <c:v>31.9</c:v>
                </c:pt>
                <c:pt idx="10">
                  <c:v>27.3</c:v>
                </c:pt>
                <c:pt idx="11">
                  <c:v>23.7</c:v>
                </c:pt>
                <c:pt idx="12">
                  <c:v>20.8</c:v>
                </c:pt>
                <c:pt idx="13">
                  <c:v>17.0</c:v>
                </c:pt>
                <c:pt idx="14">
                  <c:v>13.1</c:v>
                </c:pt>
                <c:pt idx="15">
                  <c:v>9.35</c:v>
                </c:pt>
              </c:numCache>
            </c:numRef>
          </c:yVal>
          <c:smooth val="1"/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'40x50 5-10'!$L$11:$L$26</c:f>
              <c:numCache>
                <c:formatCode>General</c:formatCode>
                <c:ptCount val="16"/>
                <c:pt idx="0">
                  <c:v>0.00198</c:v>
                </c:pt>
                <c:pt idx="1">
                  <c:v>0.00271</c:v>
                </c:pt>
                <c:pt idx="2">
                  <c:v>0.00334</c:v>
                </c:pt>
                <c:pt idx="3">
                  <c:v>0.00405</c:v>
                </c:pt>
                <c:pt idx="4">
                  <c:v>0.00487</c:v>
                </c:pt>
                <c:pt idx="5">
                  <c:v>0.0057</c:v>
                </c:pt>
                <c:pt idx="6">
                  <c:v>0.00715</c:v>
                </c:pt>
                <c:pt idx="7">
                  <c:v>0.00906</c:v>
                </c:pt>
                <c:pt idx="8">
                  <c:v>0.01052</c:v>
                </c:pt>
                <c:pt idx="9">
                  <c:v>0.01323</c:v>
                </c:pt>
                <c:pt idx="10">
                  <c:v>0.01553</c:v>
                </c:pt>
                <c:pt idx="11">
                  <c:v>0.01781</c:v>
                </c:pt>
                <c:pt idx="12">
                  <c:v>0.01965</c:v>
                </c:pt>
                <c:pt idx="13">
                  <c:v>0.02405</c:v>
                </c:pt>
                <c:pt idx="14">
                  <c:v>0.03022</c:v>
                </c:pt>
                <c:pt idx="15">
                  <c:v>0.03736</c:v>
                </c:pt>
              </c:numCache>
            </c:numRef>
          </c:xVal>
          <c:yVal>
            <c:numRef>
              <c:f>'40x50 5-10'!$R$11:$R$26</c:f>
              <c:numCache>
                <c:formatCode>General</c:formatCode>
                <c:ptCount val="16"/>
                <c:pt idx="0">
                  <c:v>118.5285503779612</c:v>
                </c:pt>
                <c:pt idx="1">
                  <c:v>105.4699569001612</c:v>
                </c:pt>
                <c:pt idx="2">
                  <c:v>96.93543117882129</c:v>
                </c:pt>
                <c:pt idx="3">
                  <c:v>89.20668143347089</c:v>
                </c:pt>
                <c:pt idx="4">
                  <c:v>81.9627674746404</c:v>
                </c:pt>
                <c:pt idx="5">
                  <c:v>75.913059061936</c:v>
                </c:pt>
                <c:pt idx="6">
                  <c:v>67.4498566320709</c:v>
                </c:pt>
                <c:pt idx="7">
                  <c:v>58.97476789416105</c:v>
                </c:pt>
                <c:pt idx="8">
                  <c:v>53.84697645376768</c:v>
                </c:pt>
                <c:pt idx="9">
                  <c:v>46.35645324456893</c:v>
                </c:pt>
                <c:pt idx="10">
                  <c:v>41.41666694909346</c:v>
                </c:pt>
                <c:pt idx="11">
                  <c:v>37.40664624581065</c:v>
                </c:pt>
                <c:pt idx="12">
                  <c:v>34.65562178559666</c:v>
                </c:pt>
                <c:pt idx="13">
                  <c:v>29.35245359646682</c:v>
                </c:pt>
                <c:pt idx="14">
                  <c:v>23.9538722381101</c:v>
                </c:pt>
                <c:pt idx="15">
                  <c:v>19.52619750088495</c:v>
                </c:pt>
              </c:numCache>
            </c:numRef>
          </c:yVal>
          <c:smooth val="1"/>
        </c:ser>
        <c:ser>
          <c:idx val="3"/>
          <c:order val="2"/>
          <c:tx>
            <c:v>Maxwell 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'40x50 5-10'!$L$11:$L$21</c:f>
              <c:numCache>
                <c:formatCode>General</c:formatCode>
                <c:ptCount val="11"/>
                <c:pt idx="0">
                  <c:v>0.00198</c:v>
                </c:pt>
                <c:pt idx="1">
                  <c:v>0.00271</c:v>
                </c:pt>
                <c:pt idx="2">
                  <c:v>0.00334</c:v>
                </c:pt>
                <c:pt idx="3">
                  <c:v>0.00405</c:v>
                </c:pt>
                <c:pt idx="4">
                  <c:v>0.00487</c:v>
                </c:pt>
                <c:pt idx="5">
                  <c:v>0.0057</c:v>
                </c:pt>
                <c:pt idx="6">
                  <c:v>0.00715</c:v>
                </c:pt>
                <c:pt idx="7">
                  <c:v>0.00906</c:v>
                </c:pt>
                <c:pt idx="8">
                  <c:v>0.01052</c:v>
                </c:pt>
                <c:pt idx="9">
                  <c:v>0.01323</c:v>
                </c:pt>
                <c:pt idx="10">
                  <c:v>0.01553</c:v>
                </c:pt>
              </c:numCache>
            </c:numRef>
          </c:xVal>
          <c:yVal>
            <c:numRef>
              <c:f>'60x50 5-10'!#REF!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045136"/>
        <c:axId val="-2012474576"/>
      </c:scatterChart>
      <c:valAx>
        <c:axId val="-20130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474576"/>
        <c:crosses val="autoZero"/>
        <c:crossBetween val="midCat"/>
      </c:valAx>
      <c:valAx>
        <c:axId val="-20124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04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942340</xdr:colOff>
      <xdr:row>23</xdr:row>
      <xdr:rowOff>119379</xdr:rowOff>
    </xdr:from>
    <xdr:to>
      <xdr:col>16</xdr:col>
      <xdr:colOff>264160</xdr:colOff>
      <xdr:row>45</xdr:row>
      <xdr:rowOff>13546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942340</xdr:colOff>
      <xdr:row>23</xdr:row>
      <xdr:rowOff>119379</xdr:rowOff>
    </xdr:from>
    <xdr:to>
      <xdr:col>16</xdr:col>
      <xdr:colOff>264160</xdr:colOff>
      <xdr:row>45</xdr:row>
      <xdr:rowOff>13546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1123769</xdr:colOff>
      <xdr:row>26</xdr:row>
      <xdr:rowOff>91467</xdr:rowOff>
    </xdr:from>
    <xdr:to>
      <xdr:col>16</xdr:col>
      <xdr:colOff>445589</xdr:colOff>
      <xdr:row>47</xdr:row>
      <xdr:rowOff>194975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4:R31"/>
  <sheetViews>
    <sheetView showGridLines="0" topLeftCell="A7" zoomScale="98" workbookViewId="0">
      <selection activeCell="D37" sqref="D37"/>
    </sheetView>
  </sheetViews>
  <sheetFormatPr baseColWidth="10" defaultRowHeight="16" x14ac:dyDescent="0.2"/>
  <cols>
    <col min="2" max="2" width="28" bestFit="1" customWidth="1"/>
    <col min="3" max="3" width="14.83203125" customWidth="1"/>
    <col min="4" max="4" width="13.5" customWidth="1"/>
    <col min="5" max="5" width="5.33203125" customWidth="1"/>
    <col min="6" max="6" width="3.83203125" customWidth="1"/>
    <col min="7" max="7" width="17.6640625" bestFit="1" customWidth="1"/>
    <col min="8" max="8" width="18.6640625" bestFit="1" customWidth="1"/>
    <col min="9" max="9" width="18.6640625" customWidth="1"/>
    <col min="10" max="10" width="13" customWidth="1"/>
    <col min="11" max="11" width="19" customWidth="1"/>
    <col min="15" max="15" width="10.6640625" bestFit="1" customWidth="1"/>
    <col min="16" max="16" width="20.1640625" bestFit="1" customWidth="1"/>
    <col min="17" max="18" width="12.6640625" bestFit="1" customWidth="1"/>
  </cols>
  <sheetData>
    <row r="4" spans="2:18" x14ac:dyDescent="0.2">
      <c r="B4" s="1" t="s">
        <v>0</v>
      </c>
      <c r="C4" s="19">
        <v>42435</v>
      </c>
      <c r="D4" s="19"/>
      <c r="G4" s="1" t="s">
        <v>18</v>
      </c>
      <c r="H4" s="13" t="s">
        <v>57</v>
      </c>
      <c r="J4" s="23"/>
      <c r="K4" s="23"/>
      <c r="L4" s="23"/>
      <c r="M4" s="23"/>
      <c r="N4" s="23"/>
      <c r="O4" s="23"/>
      <c r="P4" s="23"/>
      <c r="Q4" s="23"/>
      <c r="R4" s="23"/>
    </row>
    <row r="5" spans="2:18" x14ac:dyDescent="0.2">
      <c r="B5" s="1" t="s">
        <v>1</v>
      </c>
      <c r="C5" s="11"/>
      <c r="D5" s="11"/>
      <c r="G5" s="1" t="s">
        <v>17</v>
      </c>
      <c r="H5" s="5">
        <v>200000</v>
      </c>
      <c r="J5" s="23"/>
      <c r="K5" s="23"/>
      <c r="L5" s="23"/>
      <c r="M5" s="23"/>
      <c r="N5" s="23"/>
      <c r="O5" s="23"/>
      <c r="P5" s="23"/>
      <c r="Q5" s="23"/>
      <c r="R5" s="23"/>
    </row>
    <row r="6" spans="2:18" x14ac:dyDescent="0.2">
      <c r="G6" s="1" t="s">
        <v>13</v>
      </c>
      <c r="H6" s="6" t="s">
        <v>33</v>
      </c>
      <c r="J6" s="23"/>
      <c r="K6" s="23"/>
      <c r="L6" s="23"/>
      <c r="M6" s="23"/>
      <c r="N6" s="23"/>
      <c r="O6" s="23"/>
      <c r="P6" s="23"/>
      <c r="Q6" s="23"/>
      <c r="R6" s="23"/>
    </row>
    <row r="7" spans="2:18" x14ac:dyDescent="0.2">
      <c r="B7" s="4"/>
      <c r="C7" s="8" t="s">
        <v>2</v>
      </c>
      <c r="D7" s="8" t="s">
        <v>3</v>
      </c>
      <c r="G7" s="1" t="s">
        <v>16</v>
      </c>
      <c r="H7" s="3">
        <v>14.15</v>
      </c>
      <c r="J7" s="23"/>
      <c r="K7" s="23"/>
      <c r="L7" s="23"/>
      <c r="M7" s="23"/>
      <c r="N7" s="23"/>
      <c r="O7" s="23"/>
      <c r="P7" s="23"/>
      <c r="Q7" s="23"/>
      <c r="R7" s="23"/>
    </row>
    <row r="8" spans="2:18" x14ac:dyDescent="0.2">
      <c r="B8" s="1" t="s">
        <v>21</v>
      </c>
      <c r="C8" s="7" t="s">
        <v>23</v>
      </c>
      <c r="D8" s="7" t="s">
        <v>22</v>
      </c>
    </row>
    <row r="9" spans="2:18" x14ac:dyDescent="0.2">
      <c r="B9" s="1" t="s">
        <v>39</v>
      </c>
      <c r="C9" s="5">
        <v>80.069999999999993</v>
      </c>
      <c r="D9" s="5">
        <v>50.5</v>
      </c>
    </row>
    <row r="10" spans="2:18" x14ac:dyDescent="0.2">
      <c r="B10" s="1" t="s">
        <v>40</v>
      </c>
      <c r="C10" s="5">
        <v>80.38</v>
      </c>
      <c r="D10" s="5">
        <v>20.48</v>
      </c>
      <c r="G10" s="8" t="s">
        <v>36</v>
      </c>
      <c r="H10" s="8" t="s">
        <v>49</v>
      </c>
      <c r="I10" s="8" t="s">
        <v>51</v>
      </c>
      <c r="K10" s="8" t="s">
        <v>37</v>
      </c>
      <c r="L10" s="8" t="s">
        <v>24</v>
      </c>
      <c r="M10" s="8" t="s">
        <v>28</v>
      </c>
      <c r="N10" s="8" t="s">
        <v>29</v>
      </c>
      <c r="O10" s="8" t="s">
        <v>30</v>
      </c>
      <c r="P10" s="8" t="s">
        <v>31</v>
      </c>
      <c r="Q10" s="8" t="s">
        <v>43</v>
      </c>
      <c r="R10" s="8" t="s">
        <v>44</v>
      </c>
    </row>
    <row r="11" spans="2:18" x14ac:dyDescent="0.2">
      <c r="B11" s="1" t="s">
        <v>6</v>
      </c>
      <c r="C11" s="3">
        <v>5</v>
      </c>
      <c r="D11" s="3">
        <v>5</v>
      </c>
      <c r="G11" s="3">
        <v>12.07</v>
      </c>
      <c r="H11" s="5">
        <v>94.4</v>
      </c>
      <c r="I11" s="5"/>
      <c r="K11" s="18">
        <f>H11/2</f>
        <v>47.2</v>
      </c>
      <c r="L11" s="2">
        <f>0.001*(G11-$C$19+$C$20)</f>
        <v>1.75E-3</v>
      </c>
      <c r="M11" s="2">
        <f>L11+$D$25</f>
        <v>2.2070000000000003E-2</v>
      </c>
      <c r="N11" s="2">
        <f>L11+$C$25</f>
        <v>8.1970000000000001E-2</v>
      </c>
      <c r="O11" s="2">
        <f>L11+$C$25+$D$25</f>
        <v>0.10229000000000001</v>
      </c>
      <c r="P11" s="12">
        <f>1/L11-1/M11-1/N11+1/O11</f>
        <v>523.69473683694923</v>
      </c>
      <c r="Q11" s="12">
        <f>$C$28*$C$29*P11*1000</f>
        <v>351.01146482167866</v>
      </c>
      <c r="R11" s="12">
        <f>$C$31*(LN(M11/L11)+LN(N11/O11))*1000</f>
        <v>98.752083663581033</v>
      </c>
    </row>
    <row r="12" spans="2:18" x14ac:dyDescent="0.2">
      <c r="B12" s="1" t="s">
        <v>7</v>
      </c>
      <c r="C12" s="3">
        <v>2.2999999999999998</v>
      </c>
      <c r="D12" s="3">
        <v>1.78</v>
      </c>
      <c r="G12" s="3">
        <v>12.86</v>
      </c>
      <c r="H12" s="5">
        <v>79.8</v>
      </c>
      <c r="I12" s="5"/>
      <c r="K12" s="18">
        <f t="shared" ref="K12:K19" si="0">H12/2</f>
        <v>39.9</v>
      </c>
      <c r="L12" s="2">
        <f>0.001*(G12-$C$19+$C$20)</f>
        <v>2.5399999999999993E-3</v>
      </c>
      <c r="M12" s="2">
        <f t="shared" ref="M12:M19" si="1">L12+$D$25</f>
        <v>2.2860000000000002E-2</v>
      </c>
      <c r="N12" s="2">
        <f t="shared" ref="N12:N19" si="2">L12+$C$25</f>
        <v>8.276E-2</v>
      </c>
      <c r="O12" s="2">
        <f t="shared" ref="O12:O19" si="3">L12+$C$25+$D$25</f>
        <v>0.10308</v>
      </c>
      <c r="P12" s="12">
        <f t="shared" ref="P12:P19" si="4">1/L12-1/M12-1/N12+1/O12</f>
        <v>347.57432646943141</v>
      </c>
      <c r="Q12" s="12">
        <f t="shared" ref="Q12:Q19" si="5">$C$28*$C$29*P12*1000</f>
        <v>232.96505556905876</v>
      </c>
      <c r="R12" s="12">
        <f t="shared" ref="R12:R19" si="6">$C$31*(LN(M12/L12)+LN(N12/O12))*1000</f>
        <v>84.429838366889342</v>
      </c>
    </row>
    <row r="13" spans="2:18" x14ac:dyDescent="0.2">
      <c r="B13" s="1" t="s">
        <v>8</v>
      </c>
      <c r="C13" s="2" t="s">
        <v>9</v>
      </c>
      <c r="D13" s="2" t="s">
        <v>9</v>
      </c>
      <c r="G13" s="3">
        <v>13.95</v>
      </c>
      <c r="H13" s="5">
        <v>66.599999999999994</v>
      </c>
      <c r="I13" s="5"/>
      <c r="K13" s="18">
        <f t="shared" si="0"/>
        <v>33.299999999999997</v>
      </c>
      <c r="L13" s="2">
        <f>0.001*(G13-$C$19+$C$20)</f>
        <v>3.6299999999999991E-3</v>
      </c>
      <c r="M13" s="2">
        <f t="shared" si="1"/>
        <v>2.3949999999999999E-2</v>
      </c>
      <c r="N13" s="2">
        <f t="shared" si="2"/>
        <v>8.3849999999999994E-2</v>
      </c>
      <c r="O13" s="2">
        <f t="shared" si="3"/>
        <v>0.10417</v>
      </c>
      <c r="P13" s="12">
        <f t="shared" si="4"/>
        <v>231.40207459137926</v>
      </c>
      <c r="Q13" s="12">
        <f t="shared" si="5"/>
        <v>155.09947962372681</v>
      </c>
      <c r="R13" s="12">
        <f t="shared" si="6"/>
        <v>71.284079709279737</v>
      </c>
    </row>
    <row r="14" spans="2:18" x14ac:dyDescent="0.2">
      <c r="B14" s="1" t="s">
        <v>10</v>
      </c>
      <c r="C14" s="6" t="s">
        <v>38</v>
      </c>
      <c r="D14" s="6" t="s">
        <v>38</v>
      </c>
      <c r="G14" s="3">
        <v>14.95</v>
      </c>
      <c r="H14" s="5">
        <v>56.9</v>
      </c>
      <c r="I14" s="5"/>
      <c r="K14" s="18">
        <f t="shared" si="0"/>
        <v>28.45</v>
      </c>
      <c r="L14" s="2">
        <f>0.001*(G14-$C$19+$C$20)</f>
        <v>4.6299999999999987E-3</v>
      </c>
      <c r="M14" s="2">
        <f t="shared" si="1"/>
        <v>2.495E-2</v>
      </c>
      <c r="N14" s="2">
        <f t="shared" si="2"/>
        <v>8.4849999999999995E-2</v>
      </c>
      <c r="O14" s="2">
        <f t="shared" si="3"/>
        <v>0.10517</v>
      </c>
      <c r="P14" s="12">
        <f t="shared" si="4"/>
        <v>173.62547217858773</v>
      </c>
      <c r="Q14" s="12">
        <f t="shared" si="5"/>
        <v>116.37415278957937</v>
      </c>
      <c r="R14" s="12">
        <f t="shared" si="6"/>
        <v>62.74073954929306</v>
      </c>
    </row>
    <row r="15" spans="2:18" x14ac:dyDescent="0.2">
      <c r="B15" s="1" t="s">
        <v>11</v>
      </c>
      <c r="C15" s="6" t="s">
        <v>20</v>
      </c>
      <c r="D15" s="6" t="s">
        <v>20</v>
      </c>
      <c r="G15" s="3">
        <v>16.09</v>
      </c>
      <c r="H15" s="5">
        <v>49.9</v>
      </c>
      <c r="I15" s="5"/>
      <c r="K15" s="18">
        <f t="shared" si="0"/>
        <v>24.95</v>
      </c>
      <c r="L15" s="2">
        <f>0.001*(G15-$C$19+$C$20)</f>
        <v>5.77E-3</v>
      </c>
      <c r="M15" s="2">
        <f t="shared" si="1"/>
        <v>2.6090000000000002E-2</v>
      </c>
      <c r="N15" s="2">
        <f t="shared" si="2"/>
        <v>8.5989999999999997E-2</v>
      </c>
      <c r="O15" s="2">
        <f t="shared" si="3"/>
        <v>0.10631</v>
      </c>
      <c r="P15" s="12">
        <f t="shared" si="4"/>
        <v>132.75855728093455</v>
      </c>
      <c r="Q15" s="12">
        <f t="shared" si="5"/>
        <v>88.982707636609817</v>
      </c>
      <c r="R15" s="12">
        <f t="shared" si="6"/>
        <v>55.360532346029551</v>
      </c>
    </row>
    <row r="16" spans="2:18" x14ac:dyDescent="0.2">
      <c r="B16" s="1" t="s">
        <v>12</v>
      </c>
      <c r="C16" s="3">
        <v>34</v>
      </c>
      <c r="D16" s="3">
        <v>34</v>
      </c>
      <c r="G16" s="3">
        <v>17.57</v>
      </c>
      <c r="H16" s="5">
        <v>41.6</v>
      </c>
      <c r="I16" s="5"/>
      <c r="K16" s="18">
        <f t="shared" si="0"/>
        <v>20.8</v>
      </c>
      <c r="L16" s="2">
        <f>0.001*(G16-$C$19+$C$20)</f>
        <v>7.2500000000000004E-3</v>
      </c>
      <c r="M16" s="2">
        <f t="shared" si="1"/>
        <v>2.7570000000000001E-2</v>
      </c>
      <c r="N16" s="2">
        <f t="shared" si="2"/>
        <v>8.7470000000000006E-2</v>
      </c>
      <c r="O16" s="2">
        <f t="shared" si="3"/>
        <v>0.10779000000000001</v>
      </c>
      <c r="P16" s="12">
        <f t="shared" si="4"/>
        <v>99.504532399361267</v>
      </c>
      <c r="Q16" s="12">
        <f t="shared" si="5"/>
        <v>66.693875681951837</v>
      </c>
      <c r="R16" s="12">
        <f t="shared" si="6"/>
        <v>48.106617928028541</v>
      </c>
    </row>
    <row r="17" spans="2:18" x14ac:dyDescent="0.2">
      <c r="B17" s="1" t="s">
        <v>19</v>
      </c>
      <c r="C17" s="3">
        <v>0.16</v>
      </c>
      <c r="D17" s="3">
        <v>0.16</v>
      </c>
      <c r="G17" s="3">
        <v>18.72</v>
      </c>
      <c r="H17" s="5">
        <v>37.1</v>
      </c>
      <c r="I17" s="5"/>
      <c r="K17" s="18">
        <f t="shared" si="0"/>
        <v>18.55</v>
      </c>
      <c r="L17" s="2">
        <f>0.001*(G17-$C$19+$C$20)</f>
        <v>8.3999999999999995E-3</v>
      </c>
      <c r="M17" s="2">
        <f t="shared" si="1"/>
        <v>2.8720000000000002E-2</v>
      </c>
      <c r="N17" s="2">
        <f t="shared" si="2"/>
        <v>8.8620000000000004E-2</v>
      </c>
      <c r="O17" s="2">
        <f t="shared" si="3"/>
        <v>0.10894000000000001</v>
      </c>
      <c r="P17" s="12">
        <f t="shared" si="4"/>
        <v>82.123907824514134</v>
      </c>
      <c r="Q17" s="12">
        <f t="shared" si="5"/>
        <v>55.044343879549523</v>
      </c>
      <c r="R17" s="12">
        <f t="shared" si="6"/>
        <v>43.670292438337185</v>
      </c>
    </row>
    <row r="18" spans="2:18" x14ac:dyDescent="0.2">
      <c r="B18" s="1" t="s">
        <v>15</v>
      </c>
      <c r="C18" s="3">
        <v>33.369999999999997</v>
      </c>
      <c r="D18" s="2" t="s">
        <v>14</v>
      </c>
      <c r="G18" s="3">
        <v>20.260000000000002</v>
      </c>
      <c r="H18" s="5">
        <v>31.4</v>
      </c>
      <c r="I18" s="5"/>
      <c r="K18" s="18">
        <f t="shared" si="0"/>
        <v>15.7</v>
      </c>
      <c r="L18" s="2">
        <f>0.001*(G18-$C$19+$C$20)</f>
        <v>9.9400000000000009E-3</v>
      </c>
      <c r="M18" s="2">
        <f t="shared" si="1"/>
        <v>3.0260000000000002E-2</v>
      </c>
      <c r="N18" s="2">
        <f t="shared" si="2"/>
        <v>9.0160000000000004E-2</v>
      </c>
      <c r="O18" s="2">
        <f t="shared" si="3"/>
        <v>0.11048000000000001</v>
      </c>
      <c r="P18" s="12">
        <f t="shared" si="4"/>
        <v>65.516714035863856</v>
      </c>
      <c r="Q18" s="12">
        <f t="shared" si="5"/>
        <v>43.913211545587274</v>
      </c>
      <c r="R18" s="12">
        <f t="shared" si="6"/>
        <v>38.849917880817657</v>
      </c>
    </row>
    <row r="19" spans="2:18" x14ac:dyDescent="0.2">
      <c r="B19" s="1" t="s">
        <v>35</v>
      </c>
      <c r="C19" s="11">
        <v>12.07</v>
      </c>
      <c r="D19" s="11"/>
      <c r="G19" s="3">
        <v>23.06</v>
      </c>
      <c r="H19" s="5">
        <v>25.1</v>
      </c>
      <c r="I19" s="5"/>
      <c r="K19" s="18">
        <f t="shared" si="0"/>
        <v>12.55</v>
      </c>
      <c r="L19" s="2">
        <f>0.001*(G19-$C$19+$C$20)</f>
        <v>1.2739999999999998E-2</v>
      </c>
      <c r="M19" s="2">
        <f t="shared" si="1"/>
        <v>3.3059999999999999E-2</v>
      </c>
      <c r="N19" s="2">
        <f t="shared" si="2"/>
        <v>9.2960000000000001E-2</v>
      </c>
      <c r="O19" s="2">
        <f t="shared" si="3"/>
        <v>0.11328000000000001</v>
      </c>
      <c r="P19" s="12">
        <f t="shared" si="4"/>
        <v>46.315270399631615</v>
      </c>
      <c r="Q19" s="12">
        <f t="shared" si="5"/>
        <v>31.043258148398106</v>
      </c>
      <c r="R19" s="12">
        <f t="shared" si="6"/>
        <v>32.269976805909671</v>
      </c>
    </row>
    <row r="20" spans="2:18" x14ac:dyDescent="0.2">
      <c r="B20" s="1" t="s">
        <v>34</v>
      </c>
      <c r="C20" s="11">
        <v>1.75</v>
      </c>
      <c r="D20" s="11"/>
    </row>
    <row r="21" spans="2:18" x14ac:dyDescent="0.2">
      <c r="B21" s="1" t="s">
        <v>48</v>
      </c>
      <c r="C21" s="14">
        <f>4*PI()*0.0000001</f>
        <v>1.2566370614359173E-6</v>
      </c>
      <c r="D21" s="14"/>
    </row>
    <row r="23" spans="2:18" x14ac:dyDescent="0.2">
      <c r="B23" s="1" t="s">
        <v>32</v>
      </c>
      <c r="C23" s="14">
        <f>2*H5*H7/C18</f>
        <v>169613.42523224454</v>
      </c>
      <c r="D23" s="14"/>
    </row>
    <row r="24" spans="2:18" x14ac:dyDescent="0.2">
      <c r="B24" s="1" t="s">
        <v>41</v>
      </c>
      <c r="C24" s="2">
        <f>(C9-C17)*0.001</f>
        <v>7.9909999999999995E-2</v>
      </c>
      <c r="D24" s="2">
        <f>(D9-D17)*0.001</f>
        <v>5.0340000000000003E-2</v>
      </c>
    </row>
    <row r="25" spans="2:18" x14ac:dyDescent="0.2">
      <c r="B25" s="1" t="s">
        <v>42</v>
      </c>
      <c r="C25" s="2">
        <f>(C10-C17)*0.001</f>
        <v>8.022E-2</v>
      </c>
      <c r="D25" s="2">
        <f>(D10-D17)*0.001</f>
        <v>2.0320000000000001E-2</v>
      </c>
    </row>
    <row r="28" spans="2:18" x14ac:dyDescent="0.2">
      <c r="B28" s="1" t="s">
        <v>46</v>
      </c>
      <c r="C28" s="15">
        <f>C11*D11*D24*C23</f>
        <v>213458.49565477978</v>
      </c>
      <c r="D28" s="15"/>
    </row>
    <row r="29" spans="2:18" x14ac:dyDescent="0.2">
      <c r="B29" s="1" t="s">
        <v>47</v>
      </c>
      <c r="C29" s="16">
        <v>3.1399999999999999E-9</v>
      </c>
      <c r="D29" s="17"/>
    </row>
    <row r="31" spans="2:18" x14ac:dyDescent="0.2">
      <c r="B31" s="1" t="s">
        <v>45</v>
      </c>
      <c r="C31" s="16">
        <f>C28*C21/(2*PI())</f>
        <v>4.2691699130955954E-2</v>
      </c>
      <c r="D31" s="17"/>
    </row>
  </sheetData>
  <mergeCells count="10">
    <mergeCell ref="C31:D31"/>
    <mergeCell ref="C29:D29"/>
    <mergeCell ref="J4:R7"/>
    <mergeCell ref="C4:D4"/>
    <mergeCell ref="C5:D5"/>
    <mergeCell ref="C19:D19"/>
    <mergeCell ref="C20:D20"/>
    <mergeCell ref="C23:D23"/>
    <mergeCell ref="C28:D28"/>
    <mergeCell ref="C21:D21"/>
  </mergeCells>
  <phoneticPr fontId="3" type="noConversion"/>
  <pageMargins left="0.7" right="0.7" top="0.75" bottom="0.75" header="0.3" footer="0.3"/>
  <pageSetup scale="45" orientation="landscape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4:R35"/>
  <sheetViews>
    <sheetView showGridLines="0" zoomScale="91" zoomScaleNormal="91" zoomScalePageLayoutView="91" workbookViewId="0">
      <selection activeCell="C29" sqref="C29:D29"/>
    </sheetView>
  </sheetViews>
  <sheetFormatPr baseColWidth="10" defaultRowHeight="16" x14ac:dyDescent="0.2"/>
  <cols>
    <col min="2" max="2" width="28" bestFit="1" customWidth="1"/>
    <col min="3" max="3" width="14.83203125" customWidth="1"/>
    <col min="4" max="4" width="13.5" customWidth="1"/>
    <col min="5" max="5" width="5.33203125" customWidth="1"/>
    <col min="6" max="6" width="3.83203125" customWidth="1"/>
    <col min="7" max="7" width="17.6640625" bestFit="1" customWidth="1"/>
    <col min="8" max="8" width="18.6640625" bestFit="1" customWidth="1"/>
    <col min="9" max="9" width="19.83203125" bestFit="1" customWidth="1"/>
    <col min="10" max="10" width="13" customWidth="1"/>
    <col min="11" max="11" width="19" customWidth="1"/>
    <col min="15" max="15" width="10.6640625" bestFit="1" customWidth="1"/>
    <col min="16" max="16" width="20.1640625" bestFit="1" customWidth="1"/>
    <col min="17" max="18" width="12.6640625" bestFit="1" customWidth="1"/>
    <col min="19" max="19" width="16.5" bestFit="1" customWidth="1"/>
    <col min="20" max="20" width="15" bestFit="1" customWidth="1"/>
  </cols>
  <sheetData>
    <row r="4" spans="2:18" x14ac:dyDescent="0.2">
      <c r="B4" s="1" t="s">
        <v>0</v>
      </c>
      <c r="C4" s="19">
        <v>42431</v>
      </c>
      <c r="D4" s="19"/>
      <c r="G4" s="1" t="s">
        <v>18</v>
      </c>
      <c r="H4" s="13" t="s">
        <v>50</v>
      </c>
    </row>
    <row r="5" spans="2:18" x14ac:dyDescent="0.2">
      <c r="B5" s="1" t="s">
        <v>1</v>
      </c>
      <c r="C5" s="11"/>
      <c r="D5" s="11"/>
      <c r="G5" s="1" t="s">
        <v>17</v>
      </c>
      <c r="H5" s="5">
        <v>200000</v>
      </c>
    </row>
    <row r="6" spans="2:18" x14ac:dyDescent="0.2">
      <c r="G6" s="1" t="s">
        <v>13</v>
      </c>
      <c r="H6" s="6" t="s">
        <v>33</v>
      </c>
    </row>
    <row r="7" spans="2:18" x14ac:dyDescent="0.2">
      <c r="B7" s="4"/>
      <c r="C7" s="8" t="s">
        <v>2</v>
      </c>
      <c r="D7" s="8" t="s">
        <v>3</v>
      </c>
      <c r="G7" s="1" t="s">
        <v>16</v>
      </c>
      <c r="H7" s="3">
        <v>7.37</v>
      </c>
      <c r="I7" s="3" t="s">
        <v>54</v>
      </c>
    </row>
    <row r="8" spans="2:18" x14ac:dyDescent="0.2">
      <c r="B8" s="1" t="s">
        <v>21</v>
      </c>
      <c r="C8" s="7" t="s">
        <v>23</v>
      </c>
      <c r="D8" s="7" t="s">
        <v>52</v>
      </c>
    </row>
    <row r="9" spans="2:18" x14ac:dyDescent="0.2">
      <c r="B9" s="1" t="s">
        <v>39</v>
      </c>
      <c r="C9" s="5">
        <v>80.069999999999993</v>
      </c>
      <c r="D9" s="5">
        <v>50.3</v>
      </c>
    </row>
    <row r="10" spans="2:18" x14ac:dyDescent="0.2">
      <c r="B10" s="1" t="s">
        <v>40</v>
      </c>
      <c r="C10" s="5">
        <v>80.38</v>
      </c>
      <c r="D10" s="5">
        <v>60.75</v>
      </c>
      <c r="G10" s="8" t="s">
        <v>36</v>
      </c>
      <c r="H10" s="8" t="s">
        <v>49</v>
      </c>
      <c r="I10" s="8" t="s">
        <v>56</v>
      </c>
      <c r="K10" s="8" t="s">
        <v>37</v>
      </c>
      <c r="L10" s="8" t="s">
        <v>24</v>
      </c>
      <c r="M10" s="8" t="s">
        <v>28</v>
      </c>
      <c r="N10" s="8" t="s">
        <v>29</v>
      </c>
      <c r="O10" s="8" t="s">
        <v>30</v>
      </c>
      <c r="P10" s="8" t="s">
        <v>31</v>
      </c>
      <c r="Q10" s="8" t="s">
        <v>43</v>
      </c>
      <c r="R10" s="8" t="s">
        <v>44</v>
      </c>
    </row>
    <row r="11" spans="2:18" x14ac:dyDescent="0.2">
      <c r="B11" s="1" t="s">
        <v>6</v>
      </c>
      <c r="C11" s="3">
        <v>5</v>
      </c>
      <c r="D11" s="3">
        <v>10</v>
      </c>
      <c r="G11" s="3">
        <v>13.2</v>
      </c>
      <c r="H11" s="5">
        <v>188</v>
      </c>
      <c r="I11" s="5" t="s">
        <v>14</v>
      </c>
      <c r="K11" s="18">
        <f>H11/2</f>
        <v>94</v>
      </c>
      <c r="L11" s="2">
        <f>0.001*(G11-$C$19+$C$20)</f>
        <v>2.5400000000000002E-3</v>
      </c>
      <c r="M11" s="2">
        <f>L11+$D$25</f>
        <v>6.3130000000000006E-2</v>
      </c>
      <c r="N11" s="2">
        <f>L11+$C$25</f>
        <v>8.276E-2</v>
      </c>
      <c r="O11" s="2">
        <f>L11+$C$25+$D$25</f>
        <v>0.14335000000000001</v>
      </c>
      <c r="P11" s="12">
        <f>1/L11-1/M11-1/N11+1/O11</f>
        <v>372.75325900596363</v>
      </c>
      <c r="Q11" s="12">
        <f>$C$28*$C$29*P11*1000</f>
        <v>259.30259823435705</v>
      </c>
      <c r="R11" s="12">
        <f>$C$31*(LN(M11/L11)+LN(N11/O11))*1000</f>
        <v>118.02365707840856</v>
      </c>
    </row>
    <row r="12" spans="2:18" x14ac:dyDescent="0.2">
      <c r="B12" s="1" t="s">
        <v>7</v>
      </c>
      <c r="C12" s="3">
        <v>2.2999999999999998</v>
      </c>
      <c r="D12" s="3">
        <v>2.71</v>
      </c>
      <c r="G12" s="3">
        <v>13.49</v>
      </c>
      <c r="H12" s="5">
        <v>181.6</v>
      </c>
      <c r="I12" s="5">
        <v>182.8</v>
      </c>
      <c r="K12" s="18">
        <f t="shared" ref="K12:K21" si="0">H12/2</f>
        <v>90.8</v>
      </c>
      <c r="L12" s="2">
        <f>0.001*(G12-$C$19+$C$20)</f>
        <v>2.8300000000000009E-3</v>
      </c>
      <c r="M12" s="2">
        <f t="shared" ref="M12:M21" si="1">L12+$D$25</f>
        <v>6.3420000000000004E-2</v>
      </c>
      <c r="N12" s="2">
        <f t="shared" ref="N12:N20" si="2">L12+$C$25</f>
        <v>8.3049999999999999E-2</v>
      </c>
      <c r="O12" s="2">
        <f t="shared" ref="O12:O20" si="3">L12+$C$25+$D$25</f>
        <v>0.14363999999999999</v>
      </c>
      <c r="P12" s="12">
        <f t="shared" ref="P12:P20" si="4">1/L12-1/M12-1/N12+1/O12</f>
        <v>332.50990377062044</v>
      </c>
      <c r="Q12" s="12">
        <f t="shared" ref="Q12:Q21" si="5">$C$28*$C$29*P12*1000</f>
        <v>231.30765433495102</v>
      </c>
      <c r="R12" s="12">
        <f t="shared" ref="R12:R21" si="6">$C$31*(LN(M12/L12)+LN(N12/O12))*1000</f>
        <v>113.5018795354852</v>
      </c>
    </row>
    <row r="13" spans="2:18" x14ac:dyDescent="0.2">
      <c r="B13" s="1" t="s">
        <v>8</v>
      </c>
      <c r="C13" s="2" t="s">
        <v>9</v>
      </c>
      <c r="D13" s="2" t="s">
        <v>9</v>
      </c>
      <c r="G13" s="3">
        <v>14.77</v>
      </c>
      <c r="H13" s="5">
        <v>150.6</v>
      </c>
      <c r="I13" s="5" t="s">
        <v>14</v>
      </c>
      <c r="K13" s="18">
        <f t="shared" si="0"/>
        <v>75.3</v>
      </c>
      <c r="L13" s="2">
        <f>0.001*(G13-$C$19+$C$20)</f>
        <v>4.1100000000000008E-3</v>
      </c>
      <c r="M13" s="2">
        <f t="shared" si="1"/>
        <v>6.4700000000000008E-2</v>
      </c>
      <c r="N13" s="2">
        <f t="shared" si="2"/>
        <v>8.4330000000000002E-2</v>
      </c>
      <c r="O13" s="2">
        <f t="shared" si="3"/>
        <v>0.14491999999999999</v>
      </c>
      <c r="P13" s="12">
        <f t="shared" si="4"/>
        <v>222.89523449829176</v>
      </c>
      <c r="Q13" s="12">
        <f t="shared" si="5"/>
        <v>155.05515255210324</v>
      </c>
      <c r="R13" s="12">
        <f t="shared" si="6"/>
        <v>98.138340461019837</v>
      </c>
    </row>
    <row r="14" spans="2:18" x14ac:dyDescent="0.2">
      <c r="B14" s="1" t="s">
        <v>10</v>
      </c>
      <c r="C14" s="6" t="s">
        <v>38</v>
      </c>
      <c r="D14" s="6" t="s">
        <v>38</v>
      </c>
      <c r="G14" s="3">
        <v>17.04</v>
      </c>
      <c r="H14" s="5">
        <v>118.7</v>
      </c>
      <c r="I14" s="5" t="s">
        <v>14</v>
      </c>
      <c r="K14" s="18">
        <f t="shared" si="0"/>
        <v>59.35</v>
      </c>
      <c r="L14" s="2">
        <f>0.001*(G14-$C$19+$C$20)</f>
        <v>6.3800000000000003E-3</v>
      </c>
      <c r="M14" s="2">
        <f t="shared" si="1"/>
        <v>6.6970000000000002E-2</v>
      </c>
      <c r="N14" s="2">
        <f t="shared" si="2"/>
        <v>8.6599999999999996E-2</v>
      </c>
      <c r="O14" s="2">
        <f t="shared" si="3"/>
        <v>0.14718999999999999</v>
      </c>
      <c r="P14" s="12">
        <f t="shared" si="4"/>
        <v>137.05434847611033</v>
      </c>
      <c r="Q14" s="12">
        <f t="shared" si="5"/>
        <v>95.34067858707526</v>
      </c>
      <c r="R14" s="12">
        <f t="shared" si="6"/>
        <v>80.670130359772557</v>
      </c>
    </row>
    <row r="15" spans="2:18" x14ac:dyDescent="0.2">
      <c r="B15" s="1" t="s">
        <v>11</v>
      </c>
      <c r="C15" s="6" t="s">
        <v>20</v>
      </c>
      <c r="D15" s="6" t="s">
        <v>20</v>
      </c>
      <c r="G15" s="3">
        <v>18.97</v>
      </c>
      <c r="H15" s="5">
        <v>98.9</v>
      </c>
      <c r="I15" s="5">
        <v>102.2</v>
      </c>
      <c r="K15" s="18">
        <f t="shared" si="0"/>
        <v>49.45</v>
      </c>
      <c r="L15" s="2">
        <f>0.001*(G15-$C$19+$C$20)</f>
        <v>8.3099999999999997E-3</v>
      </c>
      <c r="M15" s="2">
        <f t="shared" si="1"/>
        <v>6.8900000000000003E-2</v>
      </c>
      <c r="N15" s="2">
        <f t="shared" si="2"/>
        <v>8.8529999999999998E-2</v>
      </c>
      <c r="O15" s="2">
        <f t="shared" si="3"/>
        <v>0.14912</v>
      </c>
      <c r="P15" s="12">
        <f t="shared" si="4"/>
        <v>101.23355791737143</v>
      </c>
      <c r="Q15" s="12">
        <f t="shared" si="5"/>
        <v>70.422253762408289</v>
      </c>
      <c r="R15" s="12">
        <f t="shared" si="6"/>
        <v>70.618089511875766</v>
      </c>
    </row>
    <row r="16" spans="2:18" x14ac:dyDescent="0.2">
      <c r="B16" s="1" t="s">
        <v>12</v>
      </c>
      <c r="C16" s="3">
        <v>34</v>
      </c>
      <c r="D16" s="3">
        <v>34</v>
      </c>
      <c r="G16" s="3">
        <v>22.84</v>
      </c>
      <c r="H16" s="5">
        <v>76.599999999999994</v>
      </c>
      <c r="I16" s="5" t="s">
        <v>14</v>
      </c>
      <c r="K16" s="18">
        <f t="shared" si="0"/>
        <v>38.299999999999997</v>
      </c>
      <c r="L16" s="2">
        <f>0.001*(G16-$C$19+$C$20)</f>
        <v>1.218E-2</v>
      </c>
      <c r="M16" s="2">
        <f t="shared" si="1"/>
        <v>7.2770000000000001E-2</v>
      </c>
      <c r="N16" s="2">
        <f t="shared" si="2"/>
        <v>9.2399999999999996E-2</v>
      </c>
      <c r="O16" s="2">
        <f t="shared" si="3"/>
        <v>0.15299000000000001</v>
      </c>
      <c r="P16" s="12">
        <f t="shared" si="4"/>
        <v>64.073743725580371</v>
      </c>
      <c r="Q16" s="12">
        <f t="shared" si="5"/>
        <v>44.572348665580698</v>
      </c>
      <c r="R16" s="12">
        <f t="shared" si="6"/>
        <v>56.85928821365178</v>
      </c>
    </row>
    <row r="17" spans="2:18" x14ac:dyDescent="0.2">
      <c r="B17" s="1" t="s">
        <v>19</v>
      </c>
      <c r="C17" s="3">
        <v>0.16</v>
      </c>
      <c r="D17" s="3">
        <v>0.16</v>
      </c>
      <c r="G17" s="3">
        <v>24.45</v>
      </c>
      <c r="H17" s="5">
        <v>68</v>
      </c>
      <c r="I17" s="5" t="s">
        <v>14</v>
      </c>
      <c r="K17" s="18">
        <f t="shared" si="0"/>
        <v>34</v>
      </c>
      <c r="L17" s="2">
        <f>0.001*(G17-$C$19+$C$20)</f>
        <v>1.379E-2</v>
      </c>
      <c r="M17" s="2">
        <f t="shared" si="1"/>
        <v>7.4380000000000002E-2</v>
      </c>
      <c r="N17" s="2">
        <f t="shared" si="2"/>
        <v>9.4009999999999996E-2</v>
      </c>
      <c r="O17" s="2">
        <f t="shared" si="3"/>
        <v>0.15460000000000002</v>
      </c>
      <c r="P17" s="12">
        <f t="shared" si="4"/>
        <v>54.902980895186175</v>
      </c>
      <c r="Q17" s="12">
        <f t="shared" si="5"/>
        <v>38.192786388771111</v>
      </c>
      <c r="R17" s="12">
        <f t="shared" si="6"/>
        <v>52.62963260028426</v>
      </c>
    </row>
    <row r="18" spans="2:18" x14ac:dyDescent="0.2">
      <c r="B18" s="1" t="s">
        <v>15</v>
      </c>
      <c r="C18" s="3">
        <v>33.36</v>
      </c>
      <c r="D18" s="2" t="s">
        <v>14</v>
      </c>
      <c r="G18" s="3">
        <v>26.9</v>
      </c>
      <c r="H18" s="5">
        <v>57.4</v>
      </c>
      <c r="I18" s="5" t="s">
        <v>14</v>
      </c>
      <c r="K18" s="18">
        <f t="shared" si="0"/>
        <v>28.7</v>
      </c>
      <c r="L18" s="2">
        <f>0.001*(G18-$C$19+$C$20)</f>
        <v>1.6239999999999997E-2</v>
      </c>
      <c r="M18" s="2">
        <f t="shared" si="1"/>
        <v>7.6830000000000009E-2</v>
      </c>
      <c r="N18" s="2">
        <f t="shared" si="2"/>
        <v>9.645999999999999E-2</v>
      </c>
      <c r="O18" s="2">
        <f t="shared" si="3"/>
        <v>0.15705</v>
      </c>
      <c r="P18" s="12">
        <f t="shared" si="4"/>
        <v>44.561013041919985</v>
      </c>
      <c r="Q18" s="12">
        <f t="shared" si="5"/>
        <v>30.998485412410727</v>
      </c>
      <c r="R18" s="12">
        <f t="shared" si="6"/>
        <v>47.262941883017689</v>
      </c>
    </row>
    <row r="19" spans="2:18" x14ac:dyDescent="0.2">
      <c r="B19" s="1" t="s">
        <v>35</v>
      </c>
      <c r="C19" s="11">
        <v>13.2</v>
      </c>
      <c r="D19" s="11"/>
      <c r="G19" s="3">
        <v>32.270000000000003</v>
      </c>
      <c r="H19" s="5">
        <v>42.8</v>
      </c>
      <c r="I19" s="5" t="s">
        <v>14</v>
      </c>
      <c r="K19" s="18">
        <f t="shared" si="0"/>
        <v>21.4</v>
      </c>
      <c r="L19" s="2">
        <f>0.001*(G19-$C$19+$C$20)</f>
        <v>2.1610000000000004E-2</v>
      </c>
      <c r="M19" s="2">
        <f t="shared" si="1"/>
        <v>8.2200000000000009E-2</v>
      </c>
      <c r="N19" s="2">
        <f t="shared" si="2"/>
        <v>0.10183</v>
      </c>
      <c r="O19" s="2">
        <f t="shared" si="3"/>
        <v>0.16242000000000001</v>
      </c>
      <c r="P19" s="12">
        <f t="shared" si="4"/>
        <v>30.446011137825174</v>
      </c>
      <c r="Q19" s="12">
        <f t="shared" si="5"/>
        <v>21.179505753922687</v>
      </c>
      <c r="R19" s="12">
        <f t="shared" si="6"/>
        <v>38.509215264731019</v>
      </c>
    </row>
    <row r="20" spans="2:18" x14ac:dyDescent="0.2">
      <c r="B20" s="1" t="s">
        <v>34</v>
      </c>
      <c r="C20" s="11">
        <v>2.54</v>
      </c>
      <c r="D20" s="11"/>
      <c r="G20" s="3">
        <v>36.65</v>
      </c>
      <c r="H20" s="5">
        <v>36</v>
      </c>
      <c r="I20" s="5" t="s">
        <v>14</v>
      </c>
      <c r="K20" s="18">
        <f t="shared" si="0"/>
        <v>18</v>
      </c>
      <c r="L20" s="2">
        <f>0.001*(G20-$C$19+$C$20)</f>
        <v>2.5989999999999999E-2</v>
      </c>
      <c r="M20" s="2">
        <f t="shared" si="1"/>
        <v>8.6580000000000004E-2</v>
      </c>
      <c r="N20" s="2">
        <f t="shared" si="2"/>
        <v>0.10621</v>
      </c>
      <c r="O20" s="2">
        <f t="shared" si="3"/>
        <v>0.1668</v>
      </c>
      <c r="P20" s="12">
        <f t="shared" si="4"/>
        <v>23.506220046721218</v>
      </c>
      <c r="Q20" s="12">
        <f t="shared" si="5"/>
        <v>16.351899776913349</v>
      </c>
      <c r="R20" s="12">
        <f t="shared" si="6"/>
        <v>33.318997348490647</v>
      </c>
    </row>
    <row r="21" spans="2:18" x14ac:dyDescent="0.2">
      <c r="B21" s="1" t="s">
        <v>48</v>
      </c>
      <c r="C21" s="14">
        <f>4*PI()*0.0000001</f>
        <v>1.2566370614359173E-6</v>
      </c>
      <c r="D21" s="14"/>
      <c r="G21" s="3">
        <v>54.5</v>
      </c>
      <c r="H21" s="5">
        <v>16.8</v>
      </c>
      <c r="I21" s="5" t="s">
        <v>14</v>
      </c>
      <c r="K21" s="18">
        <f t="shared" si="0"/>
        <v>8.4</v>
      </c>
      <c r="L21" s="2">
        <f>0.001*(G21-$C$19+$C$20)</f>
        <v>4.3839999999999997E-2</v>
      </c>
      <c r="M21" s="2">
        <f t="shared" si="1"/>
        <v>0.10443</v>
      </c>
      <c r="N21" s="2">
        <f t="shared" ref="N21" si="7">L21+$C$25</f>
        <v>0.12406</v>
      </c>
      <c r="O21" s="2">
        <f t="shared" ref="O21" si="8">L21+$C$25+$D$25</f>
        <v>0.18465000000000001</v>
      </c>
      <c r="P21" s="12">
        <f t="shared" ref="P21" si="9">1/L21-1/M21-1/N21+1/O21</f>
        <v>10.589461982292516</v>
      </c>
      <c r="Q21" s="12">
        <f t="shared" si="5"/>
        <v>7.3664681382932269</v>
      </c>
      <c r="R21" s="12">
        <f t="shared" si="6"/>
        <v>20.837053068510379</v>
      </c>
    </row>
    <row r="22" spans="2:18" x14ac:dyDescent="0.2">
      <c r="H22" s="11" t="s">
        <v>55</v>
      </c>
      <c r="I22" s="11"/>
    </row>
    <row r="23" spans="2:18" x14ac:dyDescent="0.2">
      <c r="B23" s="1" t="s">
        <v>32</v>
      </c>
      <c r="C23" s="14">
        <f>2*H5*H7/C18</f>
        <v>88369.304556354924</v>
      </c>
      <c r="D23" s="14"/>
    </row>
    <row r="24" spans="2:18" x14ac:dyDescent="0.2">
      <c r="B24" s="1" t="s">
        <v>41</v>
      </c>
      <c r="C24" s="2">
        <f>(C9-C17)*0.001</f>
        <v>7.9909999999999995E-2</v>
      </c>
      <c r="D24" s="2">
        <f>(D9-D17)*0.001</f>
        <v>5.0140000000000004E-2</v>
      </c>
    </row>
    <row r="25" spans="2:18" x14ac:dyDescent="0.2">
      <c r="B25" s="1" t="s">
        <v>42</v>
      </c>
      <c r="C25" s="2">
        <f>(C10-C17)*0.001</f>
        <v>8.022E-2</v>
      </c>
      <c r="D25" s="2">
        <f>(D10-D17)*0.001</f>
        <v>6.0590000000000005E-2</v>
      </c>
    </row>
    <row r="28" spans="2:18" x14ac:dyDescent="0.2">
      <c r="B28" s="1" t="s">
        <v>46</v>
      </c>
      <c r="C28" s="15">
        <f>C11*D11*D24*C23</f>
        <v>221541.84652278179</v>
      </c>
      <c r="D28" s="15"/>
    </row>
    <row r="29" spans="2:18" x14ac:dyDescent="0.2">
      <c r="B29" s="1" t="s">
        <v>47</v>
      </c>
      <c r="C29" s="16">
        <v>3.1399999999999999E-9</v>
      </c>
      <c r="D29" s="17"/>
    </row>
    <row r="31" spans="2:18" x14ac:dyDescent="0.2">
      <c r="B31" s="1" t="s">
        <v>45</v>
      </c>
      <c r="C31" s="16">
        <f>C28*C21/(2*PI())</f>
        <v>4.4308369304556366E-2</v>
      </c>
      <c r="D31" s="17"/>
    </row>
    <row r="35" spans="2:2" x14ac:dyDescent="0.2">
      <c r="B35" t="s">
        <v>53</v>
      </c>
    </row>
  </sheetData>
  <mergeCells count="10">
    <mergeCell ref="C28:D28"/>
    <mergeCell ref="C29:D29"/>
    <mergeCell ref="C31:D31"/>
    <mergeCell ref="H22:I22"/>
    <mergeCell ref="C4:D4"/>
    <mergeCell ref="C5:D5"/>
    <mergeCell ref="C19:D19"/>
    <mergeCell ref="C20:D20"/>
    <mergeCell ref="C21:D21"/>
    <mergeCell ref="C23:D23"/>
  </mergeCells>
  <phoneticPr fontId="3" type="noConversion"/>
  <pageMargins left="0.7" right="0.7" top="0.75" bottom="0.75" header="0.3" footer="0.3"/>
  <pageSetup scale="45" orientation="landscape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4:R35"/>
  <sheetViews>
    <sheetView showGridLines="0" tabSelected="1" topLeftCell="A8" zoomScale="91" zoomScaleNormal="91" zoomScalePageLayoutView="91" workbookViewId="0">
      <selection activeCell="Q43" sqref="Q43"/>
    </sheetView>
  </sheetViews>
  <sheetFormatPr baseColWidth="10" defaultRowHeight="16" x14ac:dyDescent="0.2"/>
  <cols>
    <col min="2" max="2" width="28" bestFit="1" customWidth="1"/>
    <col min="3" max="3" width="14.83203125" customWidth="1"/>
    <col min="4" max="4" width="13.5" customWidth="1"/>
    <col min="5" max="5" width="5.33203125" customWidth="1"/>
    <col min="6" max="6" width="3.83203125" customWidth="1"/>
    <col min="7" max="7" width="17.6640625" bestFit="1" customWidth="1"/>
    <col min="8" max="8" width="18.6640625" bestFit="1" customWidth="1"/>
    <col min="9" max="9" width="19.83203125" bestFit="1" customWidth="1"/>
    <col min="10" max="10" width="13" customWidth="1"/>
    <col min="11" max="11" width="19" customWidth="1"/>
    <col min="15" max="15" width="10.6640625" bestFit="1" customWidth="1"/>
    <col min="16" max="16" width="20.1640625" bestFit="1" customWidth="1"/>
    <col min="17" max="18" width="12.6640625" bestFit="1" customWidth="1"/>
    <col min="19" max="19" width="16.5" bestFit="1" customWidth="1"/>
    <col min="20" max="20" width="15" bestFit="1" customWidth="1"/>
  </cols>
  <sheetData>
    <row r="4" spans="2:18" x14ac:dyDescent="0.2">
      <c r="B4" s="1" t="s">
        <v>0</v>
      </c>
      <c r="C4" s="19">
        <v>42431</v>
      </c>
      <c r="D4" s="19"/>
      <c r="G4" s="1" t="s">
        <v>18</v>
      </c>
      <c r="H4" s="13" t="s">
        <v>58</v>
      </c>
    </row>
    <row r="5" spans="2:18" x14ac:dyDescent="0.2">
      <c r="B5" s="1" t="s">
        <v>1</v>
      </c>
      <c r="C5" s="11"/>
      <c r="D5" s="11"/>
      <c r="G5" s="1" t="s">
        <v>17</v>
      </c>
      <c r="H5" s="5">
        <v>200000</v>
      </c>
    </row>
    <row r="6" spans="2:18" x14ac:dyDescent="0.2">
      <c r="G6" s="1" t="s">
        <v>13</v>
      </c>
      <c r="H6" s="6" t="s">
        <v>33</v>
      </c>
    </row>
    <row r="7" spans="2:18" x14ac:dyDescent="0.2">
      <c r="B7" s="4"/>
      <c r="C7" s="8" t="s">
        <v>2</v>
      </c>
      <c r="D7" s="8" t="s">
        <v>3</v>
      </c>
      <c r="G7" s="1" t="s">
        <v>16</v>
      </c>
      <c r="H7" s="3">
        <v>7.38</v>
      </c>
      <c r="I7" s="24" t="s">
        <v>59</v>
      </c>
    </row>
    <row r="8" spans="2:18" x14ac:dyDescent="0.2">
      <c r="B8" s="1" t="s">
        <v>21</v>
      </c>
      <c r="C8" s="7" t="s">
        <v>23</v>
      </c>
      <c r="D8" s="7" t="s">
        <v>52</v>
      </c>
    </row>
    <row r="9" spans="2:18" x14ac:dyDescent="0.2">
      <c r="B9" s="1" t="s">
        <v>39</v>
      </c>
      <c r="C9" s="5">
        <v>80.069999999999993</v>
      </c>
      <c r="D9" s="5">
        <v>50.36</v>
      </c>
    </row>
    <row r="10" spans="2:18" x14ac:dyDescent="0.2">
      <c r="B10" s="1" t="s">
        <v>40</v>
      </c>
      <c r="C10" s="5">
        <v>80.38</v>
      </c>
      <c r="D10" s="5">
        <v>40.85</v>
      </c>
      <c r="G10" s="8" t="s">
        <v>36</v>
      </c>
      <c r="H10" s="8" t="s">
        <v>49</v>
      </c>
      <c r="I10" s="8" t="s">
        <v>56</v>
      </c>
      <c r="K10" s="8" t="s">
        <v>37</v>
      </c>
      <c r="L10" s="8" t="s">
        <v>24</v>
      </c>
      <c r="M10" s="8" t="s">
        <v>28</v>
      </c>
      <c r="N10" s="8" t="s">
        <v>29</v>
      </c>
      <c r="O10" s="8" t="s">
        <v>30</v>
      </c>
      <c r="P10" s="8" t="s">
        <v>31</v>
      </c>
      <c r="Q10" s="8" t="s">
        <v>43</v>
      </c>
      <c r="R10" s="8" t="s">
        <v>44</v>
      </c>
    </row>
    <row r="11" spans="2:18" x14ac:dyDescent="0.2">
      <c r="B11" s="1" t="s">
        <v>6</v>
      </c>
      <c r="C11" s="3">
        <v>5</v>
      </c>
      <c r="D11" s="3">
        <v>10</v>
      </c>
      <c r="G11" s="3">
        <v>12.41</v>
      </c>
      <c r="H11" s="5">
        <v>211</v>
      </c>
      <c r="I11" s="5"/>
      <c r="K11" s="18">
        <f>H11/2</f>
        <v>105.5</v>
      </c>
      <c r="L11" s="2">
        <f>0.001*(G11-$C$19+$C$20)</f>
        <v>1.98E-3</v>
      </c>
      <c r="M11" s="2">
        <f>L11+$D$25</f>
        <v>4.2670000000000007E-2</v>
      </c>
      <c r="N11" s="2">
        <f>L11+$C$25</f>
        <v>8.2199999999999995E-2</v>
      </c>
      <c r="O11" s="2">
        <f>L11+$C$25+$D$25</f>
        <v>0.12289</v>
      </c>
      <c r="P11" s="12">
        <f>1/L11-1/M11-1/N11+1/O11</f>
        <v>477.58674445389221</v>
      </c>
      <c r="Q11" s="12">
        <f>$C$28*$C$29*P11*1000</f>
        <v>33.307799757689608</v>
      </c>
      <c r="R11" s="12">
        <f>$C$31*(LN(M11/L11)+LN(N11/O11))*1000</f>
        <v>118.52855037796115</v>
      </c>
    </row>
    <row r="12" spans="2:18" x14ac:dyDescent="0.2">
      <c r="B12" s="1" t="s">
        <v>7</v>
      </c>
      <c r="C12" s="3">
        <v>2.2999999999999998</v>
      </c>
      <c r="D12" s="3">
        <v>2.64</v>
      </c>
      <c r="G12" s="3">
        <v>13.14</v>
      </c>
      <c r="H12" s="5">
        <v>182</v>
      </c>
      <c r="I12" s="5"/>
      <c r="K12" s="18">
        <f t="shared" ref="K12:K22" si="0">H12/2</f>
        <v>91</v>
      </c>
      <c r="L12" s="2">
        <f>0.001*(G12-$C$19+$C$20)</f>
        <v>2.7100000000000006E-3</v>
      </c>
      <c r="M12" s="2">
        <f t="shared" ref="M12:M26" si="1">L12+$D$25</f>
        <v>4.3400000000000008E-2</v>
      </c>
      <c r="N12" s="2">
        <f t="shared" ref="N12:N22" si="2">L12+$C$25</f>
        <v>8.2930000000000004E-2</v>
      </c>
      <c r="O12" s="2">
        <f t="shared" ref="O12:O22" si="3">L12+$C$25+$D$25</f>
        <v>0.12362000000000001</v>
      </c>
      <c r="P12" s="12">
        <f t="shared" ref="P12:P22" si="4">1/L12-1/M12-1/N12+1/O12</f>
        <v>341.993158845697</v>
      </c>
      <c r="Q12" s="12">
        <f t="shared" ref="Q12:Q26" si="5">$C$28*$C$29*P12*1000</f>
        <v>23.851247518097601</v>
      </c>
      <c r="R12" s="12">
        <f t="shared" ref="R12:R22" si="6">$C$31*(LN(M12/L12)+LN(N12/O12))*1000</f>
        <v>105.46995690016124</v>
      </c>
    </row>
    <row r="13" spans="2:18" x14ac:dyDescent="0.2">
      <c r="B13" s="1" t="s">
        <v>8</v>
      </c>
      <c r="C13" s="2" t="s">
        <v>9</v>
      </c>
      <c r="D13" s="2" t="s">
        <v>9</v>
      </c>
      <c r="G13" s="3">
        <v>13.77</v>
      </c>
      <c r="H13" s="5">
        <v>164</v>
      </c>
      <c r="I13" s="5"/>
      <c r="K13" s="18">
        <f t="shared" si="0"/>
        <v>82</v>
      </c>
      <c r="L13" s="2">
        <f>0.001*(G13-$C$19+$C$20)</f>
        <v>3.3399999999999997E-3</v>
      </c>
      <c r="M13" s="2">
        <f t="shared" si="1"/>
        <v>4.4030000000000007E-2</v>
      </c>
      <c r="N13" s="2">
        <f t="shared" si="2"/>
        <v>8.3559999999999995E-2</v>
      </c>
      <c r="O13" s="2">
        <f t="shared" si="3"/>
        <v>0.12425</v>
      </c>
      <c r="P13" s="12">
        <f t="shared" si="4"/>
        <v>272.77025138558002</v>
      </c>
      <c r="Q13" s="12">
        <f t="shared" si="5"/>
        <v>19.023511474118578</v>
      </c>
      <c r="R13" s="12">
        <f t="shared" si="6"/>
        <v>96.93543117882129</v>
      </c>
    </row>
    <row r="14" spans="2:18" x14ac:dyDescent="0.2">
      <c r="B14" s="1" t="s">
        <v>10</v>
      </c>
      <c r="C14" s="6" t="s">
        <v>38</v>
      </c>
      <c r="D14" s="6" t="s">
        <v>38</v>
      </c>
      <c r="G14" s="3">
        <v>14.48</v>
      </c>
      <c r="H14" s="5">
        <v>148</v>
      </c>
      <c r="I14" s="5"/>
      <c r="K14" s="18">
        <f t="shared" si="0"/>
        <v>74</v>
      </c>
      <c r="L14" s="2">
        <f>0.001*(G14-$C$19+$C$20)</f>
        <v>4.0500000000000006E-3</v>
      </c>
      <c r="M14" s="2">
        <f t="shared" si="1"/>
        <v>4.4740000000000002E-2</v>
      </c>
      <c r="N14" s="2">
        <f t="shared" si="2"/>
        <v>8.4269999999999998E-2</v>
      </c>
      <c r="O14" s="2">
        <f t="shared" si="3"/>
        <v>0.12496</v>
      </c>
      <c r="P14" s="12">
        <f t="shared" si="4"/>
        <v>220.69815843301649</v>
      </c>
      <c r="Q14" s="12">
        <f t="shared" si="5"/>
        <v>15.391905561330871</v>
      </c>
      <c r="R14" s="12">
        <f t="shared" si="6"/>
        <v>89.206681433470891</v>
      </c>
    </row>
    <row r="15" spans="2:18" x14ac:dyDescent="0.2">
      <c r="B15" s="1" t="s">
        <v>11</v>
      </c>
      <c r="C15" s="6" t="s">
        <v>20</v>
      </c>
      <c r="D15" s="6" t="s">
        <v>20</v>
      </c>
      <c r="G15" s="3">
        <v>15.3</v>
      </c>
      <c r="H15" s="5">
        <v>134</v>
      </c>
      <c r="I15" s="5"/>
      <c r="K15" s="18">
        <f t="shared" si="0"/>
        <v>67</v>
      </c>
      <c r="L15" s="2">
        <f>0.001*(G15-$C$19+$C$20)</f>
        <v>4.8700000000000011E-3</v>
      </c>
      <c r="M15" s="2">
        <f t="shared" si="1"/>
        <v>4.5560000000000003E-2</v>
      </c>
      <c r="N15" s="2">
        <f t="shared" si="2"/>
        <v>8.5089999999999999E-2</v>
      </c>
      <c r="O15" s="2">
        <f t="shared" si="3"/>
        <v>0.12578</v>
      </c>
      <c r="P15" s="12">
        <f t="shared" si="4"/>
        <v>179.58785815478348</v>
      </c>
      <c r="Q15" s="12">
        <f t="shared" si="5"/>
        <v>12.52479573144724</v>
      </c>
      <c r="R15" s="12">
        <f t="shared" si="6"/>
        <v>81.962767474640401</v>
      </c>
    </row>
    <row r="16" spans="2:18" x14ac:dyDescent="0.2">
      <c r="B16" s="1" t="s">
        <v>12</v>
      </c>
      <c r="C16" s="3">
        <v>34</v>
      </c>
      <c r="D16" s="3">
        <v>34</v>
      </c>
      <c r="G16" s="3">
        <v>16.13</v>
      </c>
      <c r="H16" s="5">
        <v>120</v>
      </c>
      <c r="I16" s="5"/>
      <c r="K16" s="18">
        <f t="shared" si="0"/>
        <v>60</v>
      </c>
      <c r="L16" s="2">
        <f>0.001*(G16-$C$19+$C$20)</f>
        <v>5.6999999999999993E-3</v>
      </c>
      <c r="M16" s="2">
        <f t="shared" si="1"/>
        <v>4.6390000000000001E-2</v>
      </c>
      <c r="N16" s="2">
        <f t="shared" si="2"/>
        <v>8.5919999999999996E-2</v>
      </c>
      <c r="O16" s="2">
        <f t="shared" si="3"/>
        <v>0.12661</v>
      </c>
      <c r="P16" s="12">
        <f t="shared" si="4"/>
        <v>150.14176315695661</v>
      </c>
      <c r="Q16" s="12">
        <f t="shared" si="5"/>
        <v>10.471169563587358</v>
      </c>
      <c r="R16" s="12">
        <f t="shared" si="6"/>
        <v>75.913059061936025</v>
      </c>
    </row>
    <row r="17" spans="2:18" x14ac:dyDescent="0.2">
      <c r="B17" s="1" t="s">
        <v>19</v>
      </c>
      <c r="C17" s="3">
        <v>0.16</v>
      </c>
      <c r="D17" s="3">
        <v>0.16</v>
      </c>
      <c r="G17" s="3">
        <v>17.579999999999998</v>
      </c>
      <c r="H17" s="5">
        <v>105</v>
      </c>
      <c r="I17" s="5"/>
      <c r="K17" s="18">
        <f t="shared" si="0"/>
        <v>52.5</v>
      </c>
      <c r="L17" s="2">
        <f>0.001*(G17-$C$19+$C$20)</f>
        <v>7.1499999999999984E-3</v>
      </c>
      <c r="M17" s="2">
        <f t="shared" si="1"/>
        <v>4.7840000000000001E-2</v>
      </c>
      <c r="N17" s="2">
        <f t="shared" si="2"/>
        <v>8.7370000000000003E-2</v>
      </c>
      <c r="O17" s="2">
        <f t="shared" si="3"/>
        <v>0.12806000000000001</v>
      </c>
      <c r="P17" s="12">
        <f t="shared" si="4"/>
        <v>115.32039314836364</v>
      </c>
      <c r="Q17" s="12">
        <f t="shared" si="5"/>
        <v>8.0426615846633194</v>
      </c>
      <c r="R17" s="12">
        <f t="shared" si="6"/>
        <v>67.44985663207089</v>
      </c>
    </row>
    <row r="18" spans="2:18" x14ac:dyDescent="0.2">
      <c r="B18" s="1" t="s">
        <v>15</v>
      </c>
      <c r="C18" s="3">
        <v>33.36</v>
      </c>
      <c r="D18" s="2" t="s">
        <v>14</v>
      </c>
      <c r="G18" s="3">
        <v>19.489999999999998</v>
      </c>
      <c r="H18" s="5">
        <v>87.5</v>
      </c>
      <c r="I18" s="5"/>
      <c r="K18" s="18">
        <f t="shared" si="0"/>
        <v>43.75</v>
      </c>
      <c r="L18" s="2">
        <f>0.001*(G18-$C$19+$C$20)</f>
        <v>9.0599999999999986E-3</v>
      </c>
      <c r="M18" s="2">
        <f t="shared" si="1"/>
        <v>4.9750000000000003E-2</v>
      </c>
      <c r="N18" s="2">
        <f t="shared" si="2"/>
        <v>8.9279999999999998E-2</v>
      </c>
      <c r="O18" s="2">
        <f t="shared" si="3"/>
        <v>0.12997</v>
      </c>
      <c r="P18" s="12">
        <f t="shared" si="4"/>
        <v>86.768139829729677</v>
      </c>
      <c r="Q18" s="12">
        <f t="shared" si="5"/>
        <v>6.0513736203054593</v>
      </c>
      <c r="R18" s="12">
        <f t="shared" si="6"/>
        <v>58.974767894161047</v>
      </c>
    </row>
    <row r="19" spans="2:18" x14ac:dyDescent="0.2">
      <c r="B19" s="1" t="s">
        <v>35</v>
      </c>
      <c r="C19" s="11">
        <v>12.41</v>
      </c>
      <c r="D19" s="11"/>
      <c r="G19" s="3">
        <v>20.95</v>
      </c>
      <c r="H19" s="5">
        <v>77.7</v>
      </c>
      <c r="I19" s="5"/>
      <c r="K19" s="18">
        <f t="shared" si="0"/>
        <v>38.85</v>
      </c>
      <c r="L19" s="2">
        <f>0.001*(G19-$C$19+$C$20)</f>
        <v>1.052E-2</v>
      </c>
      <c r="M19" s="2">
        <f t="shared" si="1"/>
        <v>5.1210000000000006E-2</v>
      </c>
      <c r="N19" s="2">
        <f t="shared" si="2"/>
        <v>9.0740000000000001E-2</v>
      </c>
      <c r="O19" s="2">
        <f t="shared" si="3"/>
        <v>0.13142999999999999</v>
      </c>
      <c r="P19" s="12">
        <f t="shared" si="4"/>
        <v>72.117712996229287</v>
      </c>
      <c r="Q19" s="12">
        <f t="shared" si="5"/>
        <v>5.0296252384635425</v>
      </c>
      <c r="R19" s="12">
        <f t="shared" si="6"/>
        <v>53.846976453767681</v>
      </c>
    </row>
    <row r="20" spans="2:18" x14ac:dyDescent="0.2">
      <c r="B20" s="1" t="s">
        <v>34</v>
      </c>
      <c r="C20" s="11">
        <v>1.98</v>
      </c>
      <c r="D20" s="11"/>
      <c r="G20" s="3">
        <v>23.66</v>
      </c>
      <c r="H20" s="5">
        <v>63.8</v>
      </c>
      <c r="I20" s="5"/>
      <c r="K20" s="18">
        <f t="shared" si="0"/>
        <v>31.9</v>
      </c>
      <c r="L20" s="2">
        <f>0.001*(G20-$C$19+$C$20)</f>
        <v>1.323E-2</v>
      </c>
      <c r="M20" s="2">
        <f t="shared" si="1"/>
        <v>5.3920000000000003E-2</v>
      </c>
      <c r="N20" s="2">
        <f t="shared" si="2"/>
        <v>9.3450000000000005E-2</v>
      </c>
      <c r="O20" s="2">
        <f t="shared" si="3"/>
        <v>0.13414000000000001</v>
      </c>
      <c r="P20" s="12">
        <f t="shared" si="4"/>
        <v>53.7937840968074</v>
      </c>
      <c r="Q20" s="12">
        <f t="shared" si="5"/>
        <v>3.7516798983892867</v>
      </c>
      <c r="R20" s="12">
        <f t="shared" si="6"/>
        <v>46.356453244568932</v>
      </c>
    </row>
    <row r="21" spans="2:18" x14ac:dyDescent="0.2">
      <c r="B21" s="1" t="s">
        <v>48</v>
      </c>
      <c r="C21" s="14">
        <f>4*PI()*0.0000001</f>
        <v>1.2566370614359173E-6</v>
      </c>
      <c r="D21" s="14"/>
      <c r="G21" s="3">
        <v>25.96</v>
      </c>
      <c r="H21" s="5">
        <v>54.6</v>
      </c>
      <c r="I21" s="5"/>
      <c r="K21" s="18">
        <f t="shared" si="0"/>
        <v>27.3</v>
      </c>
      <c r="L21" s="2">
        <f>0.001*(G21-$C$19+$C$20)</f>
        <v>1.5530000000000002E-2</v>
      </c>
      <c r="M21" s="2">
        <f t="shared" si="1"/>
        <v>5.6220000000000006E-2</v>
      </c>
      <c r="N21" s="2">
        <f t="shared" si="2"/>
        <v>9.5750000000000002E-2</v>
      </c>
      <c r="O21" s="2">
        <f t="shared" si="3"/>
        <v>0.13644000000000001</v>
      </c>
      <c r="P21" s="12">
        <f t="shared" si="4"/>
        <v>43.489600738557577</v>
      </c>
      <c r="Q21" s="12">
        <f t="shared" si="5"/>
        <v>3.0330467287112759</v>
      </c>
      <c r="R21" s="12">
        <f t="shared" si="6"/>
        <v>41.416666949093461</v>
      </c>
    </row>
    <row r="22" spans="2:18" x14ac:dyDescent="0.2">
      <c r="G22" s="3">
        <v>28.24</v>
      </c>
      <c r="H22" s="5">
        <v>47.4</v>
      </c>
      <c r="I22" s="5"/>
      <c r="K22" s="22">
        <f t="shared" si="0"/>
        <v>23.7</v>
      </c>
      <c r="L22" s="20">
        <f>0.001*(G22-$C$19+$C$20)</f>
        <v>1.7809999999999999E-2</v>
      </c>
      <c r="M22" s="20">
        <f t="shared" si="1"/>
        <v>5.8500000000000003E-2</v>
      </c>
      <c r="N22" s="20">
        <f t="shared" si="2"/>
        <v>9.8030000000000006E-2</v>
      </c>
      <c r="O22" s="20">
        <f t="shared" si="3"/>
        <v>0.13872000000000001</v>
      </c>
      <c r="P22" s="21">
        <f t="shared" si="4"/>
        <v>36.062021205845198</v>
      </c>
      <c r="Q22" s="21">
        <f t="shared" si="5"/>
        <v>2.5150333319140326</v>
      </c>
      <c r="R22" s="21">
        <f t="shared" si="6"/>
        <v>37.406646245810649</v>
      </c>
    </row>
    <row r="23" spans="2:18" x14ac:dyDescent="0.2">
      <c r="B23" s="1" t="s">
        <v>32</v>
      </c>
      <c r="C23" s="14">
        <f>2*H5*H7/C18</f>
        <v>88489.208633093527</v>
      </c>
      <c r="D23" s="14"/>
      <c r="G23" s="3">
        <v>30.08</v>
      </c>
      <c r="H23" s="5">
        <v>41.6</v>
      </c>
      <c r="I23" s="5"/>
      <c r="K23" s="22">
        <f t="shared" ref="K23:K26" si="7">H23/2</f>
        <v>20.8</v>
      </c>
      <c r="L23" s="20">
        <f t="shared" ref="L23:L26" si="8">0.001*(G23-$C$19+$C$20)</f>
        <v>1.9649999999999997E-2</v>
      </c>
      <c r="M23" s="20">
        <f t="shared" si="1"/>
        <v>6.0340000000000005E-2</v>
      </c>
      <c r="N23" s="20">
        <f t="shared" ref="N23:N26" si="9">L23+$C$25</f>
        <v>9.987E-2</v>
      </c>
      <c r="O23" s="20">
        <f t="shared" ref="O23:O26" si="10">L23+$C$25+$D$25</f>
        <v>0.14056000000000002</v>
      </c>
      <c r="P23" s="21">
        <f t="shared" ref="P23:P26" si="11">1/L23-1/M23-1/N23+1/O23</f>
        <v>31.419213472630197</v>
      </c>
      <c r="Q23" s="21">
        <f t="shared" si="5"/>
        <v>2.1912351694080638</v>
      </c>
      <c r="R23" s="21">
        <f t="shared" ref="R23:R26" si="12">$C$31*(LN(M23/L23)+LN(N23/O23))*1000</f>
        <v>34.655621785596665</v>
      </c>
    </row>
    <row r="24" spans="2:18" x14ac:dyDescent="0.2">
      <c r="B24" s="1" t="s">
        <v>41</v>
      </c>
      <c r="C24" s="2">
        <f>(C9-C17)*0.001</f>
        <v>7.9909999999999995E-2</v>
      </c>
      <c r="D24" s="2">
        <f>(D9-D17)*0.001</f>
        <v>5.0200000000000002E-2</v>
      </c>
      <c r="G24" s="3">
        <v>34.479999999999997</v>
      </c>
      <c r="H24" s="5">
        <v>34</v>
      </c>
      <c r="I24" s="5"/>
      <c r="K24" s="22">
        <f t="shared" si="7"/>
        <v>17</v>
      </c>
      <c r="L24" s="20">
        <f t="shared" si="8"/>
        <v>2.4049999999999998E-2</v>
      </c>
      <c r="M24" s="20">
        <f t="shared" si="1"/>
        <v>6.4740000000000006E-2</v>
      </c>
      <c r="N24" s="20">
        <f t="shared" si="9"/>
        <v>0.10427</v>
      </c>
      <c r="O24" s="20">
        <f t="shared" si="10"/>
        <v>0.14496000000000001</v>
      </c>
      <c r="P24" s="21">
        <f t="shared" si="11"/>
        <v>23.44160909995653</v>
      </c>
      <c r="Q24" s="21">
        <f t="shared" si="5"/>
        <v>1.6348620035344521</v>
      </c>
      <c r="R24" s="21">
        <f t="shared" si="12"/>
        <v>29.35245359646682</v>
      </c>
    </row>
    <row r="25" spans="2:18" x14ac:dyDescent="0.2">
      <c r="B25" s="1" t="s">
        <v>42</v>
      </c>
      <c r="C25" s="2">
        <f>(C10-C17)*0.001</f>
        <v>8.022E-2</v>
      </c>
      <c r="D25" s="2">
        <f>(D10-D17)*0.001</f>
        <v>4.0690000000000004E-2</v>
      </c>
      <c r="G25" s="3">
        <v>40.65</v>
      </c>
      <c r="H25" s="5">
        <v>26.2</v>
      </c>
      <c r="I25" s="5"/>
      <c r="K25" s="22">
        <f t="shared" si="7"/>
        <v>13.1</v>
      </c>
      <c r="L25" s="20">
        <f t="shared" si="8"/>
        <v>3.022E-2</v>
      </c>
      <c r="M25" s="20">
        <f t="shared" si="1"/>
        <v>7.0910000000000001E-2</v>
      </c>
      <c r="N25" s="20">
        <f t="shared" si="9"/>
        <v>0.11044</v>
      </c>
      <c r="O25" s="20">
        <f t="shared" si="10"/>
        <v>0.15112999999999999</v>
      </c>
      <c r="P25" s="21">
        <f t="shared" si="11"/>
        <v>16.550414755462405</v>
      </c>
      <c r="Q25" s="21">
        <f t="shared" si="5"/>
        <v>1.1542571207917465</v>
      </c>
      <c r="R25" s="21">
        <f t="shared" si="12"/>
        <v>23.953872238110105</v>
      </c>
    </row>
    <row r="26" spans="2:18" x14ac:dyDescent="0.2">
      <c r="G26" s="3">
        <v>47.79</v>
      </c>
      <c r="H26" s="5">
        <v>18.7</v>
      </c>
      <c r="I26" s="5"/>
      <c r="K26" s="22">
        <f t="shared" si="7"/>
        <v>9.35</v>
      </c>
      <c r="L26" s="20">
        <f t="shared" si="8"/>
        <v>3.735999999999999E-2</v>
      </c>
      <c r="M26" s="20">
        <f t="shared" si="1"/>
        <v>7.8049999999999994E-2</v>
      </c>
      <c r="N26" s="20">
        <f t="shared" si="9"/>
        <v>0.11757999999999999</v>
      </c>
      <c r="O26" s="20">
        <f t="shared" si="10"/>
        <v>0.15826999999999999</v>
      </c>
      <c r="P26" s="21">
        <f t="shared" si="11"/>
        <v>11.767764518443066</v>
      </c>
      <c r="Q26" s="21">
        <f t="shared" si="5"/>
        <v>0.82070607848243426</v>
      </c>
      <c r="R26" s="21">
        <f t="shared" si="12"/>
        <v>19.526197500884948</v>
      </c>
    </row>
    <row r="28" spans="2:18" x14ac:dyDescent="0.2">
      <c r="B28" s="1" t="s">
        <v>46</v>
      </c>
      <c r="C28" s="15">
        <f>C11*D11*D24*C23</f>
        <v>222107.91366906479</v>
      </c>
      <c r="D28" s="15"/>
    </row>
    <row r="29" spans="2:18" x14ac:dyDescent="0.2">
      <c r="B29" s="1" t="s">
        <v>47</v>
      </c>
      <c r="C29" s="16">
        <v>3.14E-10</v>
      </c>
      <c r="D29" s="17"/>
    </row>
    <row r="31" spans="2:18" x14ac:dyDescent="0.2">
      <c r="B31" s="1" t="s">
        <v>45</v>
      </c>
      <c r="C31" s="16">
        <f>C28*C21/(2*PI())</f>
        <v>4.4421582733812963E-2</v>
      </c>
      <c r="D31" s="17"/>
    </row>
    <row r="35" spans="2:2" x14ac:dyDescent="0.2">
      <c r="B35" t="s">
        <v>53</v>
      </c>
    </row>
  </sheetData>
  <mergeCells count="9">
    <mergeCell ref="C23:D23"/>
    <mergeCell ref="C28:D28"/>
    <mergeCell ref="C29:D29"/>
    <mergeCell ref="C31:D31"/>
    <mergeCell ref="C4:D4"/>
    <mergeCell ref="C5:D5"/>
    <mergeCell ref="C19:D19"/>
    <mergeCell ref="C20:D20"/>
    <mergeCell ref="C21:D21"/>
  </mergeCells>
  <phoneticPr fontId="3" type="noConversion"/>
  <pageMargins left="0.7" right="0.7" top="0.75" bottom="0.75" header="0.3" footer="0.3"/>
  <pageSetup scale="45" orientation="landscape" horizontalDpi="0" verticalDpi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P31"/>
  <sheetViews>
    <sheetView showGridLines="0" zoomScale="102" workbookViewId="0">
      <selection activeCell="G10" sqref="G10:P31"/>
    </sheetView>
  </sheetViews>
  <sheetFormatPr baseColWidth="10" defaultRowHeight="16" x14ac:dyDescent="0.2"/>
  <cols>
    <col min="2" max="2" width="24.33203125" bestFit="1" customWidth="1"/>
    <col min="5" max="5" width="5.33203125" customWidth="1"/>
    <col min="6" max="6" width="3.83203125" customWidth="1"/>
    <col min="7" max="7" width="17.6640625" bestFit="1" customWidth="1"/>
    <col min="8" max="9" width="18.6640625" bestFit="1" customWidth="1"/>
    <col min="16" max="16" width="20.1640625" bestFit="1" customWidth="1"/>
  </cols>
  <sheetData>
    <row r="4" spans="2:16" x14ac:dyDescent="0.2">
      <c r="B4" s="1" t="s">
        <v>0</v>
      </c>
      <c r="C4" s="10"/>
      <c r="D4" s="10"/>
      <c r="G4" s="1" t="s">
        <v>18</v>
      </c>
      <c r="H4" s="3"/>
    </row>
    <row r="5" spans="2:16" x14ac:dyDescent="0.2">
      <c r="B5" s="1" t="s">
        <v>1</v>
      </c>
      <c r="C5" s="11"/>
      <c r="D5" s="11"/>
      <c r="G5" s="1" t="s">
        <v>17</v>
      </c>
      <c r="H5" s="3"/>
    </row>
    <row r="6" spans="2:16" x14ac:dyDescent="0.2">
      <c r="G6" s="1" t="s">
        <v>13</v>
      </c>
      <c r="H6" s="3"/>
    </row>
    <row r="7" spans="2:16" x14ac:dyDescent="0.2">
      <c r="B7" s="4"/>
      <c r="C7" s="8" t="s">
        <v>2</v>
      </c>
      <c r="D7" s="8" t="s">
        <v>3</v>
      </c>
      <c r="G7" s="1" t="s">
        <v>16</v>
      </c>
      <c r="H7" s="3"/>
    </row>
    <row r="8" spans="2:16" x14ac:dyDescent="0.2">
      <c r="B8" s="1" t="s">
        <v>21</v>
      </c>
      <c r="C8" s="3"/>
      <c r="D8" s="3"/>
    </row>
    <row r="9" spans="2:16" x14ac:dyDescent="0.2">
      <c r="B9" s="1" t="s">
        <v>4</v>
      </c>
      <c r="C9" s="3"/>
      <c r="D9" s="3"/>
    </row>
    <row r="10" spans="2:16" x14ac:dyDescent="0.2">
      <c r="B10" s="1" t="s">
        <v>5</v>
      </c>
      <c r="C10" s="3"/>
      <c r="D10" s="3"/>
      <c r="G10" s="8" t="s">
        <v>26</v>
      </c>
      <c r="H10" s="8" t="s">
        <v>25</v>
      </c>
      <c r="I10" s="8" t="s">
        <v>27</v>
      </c>
      <c r="L10" s="8" t="s">
        <v>24</v>
      </c>
      <c r="M10" s="8" t="s">
        <v>28</v>
      </c>
      <c r="N10" s="8" t="s">
        <v>29</v>
      </c>
      <c r="O10" s="8" t="s">
        <v>30</v>
      </c>
      <c r="P10" s="8" t="s">
        <v>31</v>
      </c>
    </row>
    <row r="11" spans="2:16" x14ac:dyDescent="0.2">
      <c r="B11" s="1" t="s">
        <v>6</v>
      </c>
      <c r="C11" s="3"/>
      <c r="D11" s="3"/>
      <c r="G11" s="3"/>
      <c r="H11" s="3"/>
      <c r="I11" s="3"/>
      <c r="L11" s="2"/>
      <c r="M11" s="2"/>
      <c r="N11" s="2"/>
      <c r="O11" s="2"/>
      <c r="P11" s="12" t="e">
        <f>1000*(1/L11+1/M11-1/N11-1/O11)</f>
        <v>#DIV/0!</v>
      </c>
    </row>
    <row r="12" spans="2:16" x14ac:dyDescent="0.2">
      <c r="B12" s="1" t="s">
        <v>7</v>
      </c>
      <c r="C12" s="3"/>
      <c r="D12" s="3"/>
      <c r="G12" s="3"/>
      <c r="H12" s="3"/>
      <c r="I12" s="3"/>
      <c r="L12" s="2"/>
      <c r="M12" s="2"/>
      <c r="N12" s="2"/>
      <c r="O12" s="2"/>
      <c r="P12" s="12" t="e">
        <f t="shared" ref="P12:P31" si="0">1000*(1/L12+1/M12-1/N12-1/O12)</f>
        <v>#DIV/0!</v>
      </c>
    </row>
    <row r="13" spans="2:16" x14ac:dyDescent="0.2">
      <c r="B13" s="1" t="s">
        <v>8</v>
      </c>
      <c r="C13" s="9" t="s">
        <v>9</v>
      </c>
      <c r="D13" s="9" t="s">
        <v>9</v>
      </c>
      <c r="G13" s="3"/>
      <c r="H13" s="3"/>
      <c r="I13" s="3"/>
      <c r="L13" s="2"/>
      <c r="M13" s="2"/>
      <c r="N13" s="2"/>
      <c r="O13" s="2"/>
      <c r="P13" s="12" t="e">
        <f t="shared" si="0"/>
        <v>#DIV/0!</v>
      </c>
    </row>
    <row r="14" spans="2:16" x14ac:dyDescent="0.2">
      <c r="B14" s="1" t="s">
        <v>10</v>
      </c>
      <c r="C14" s="3"/>
      <c r="D14" s="3"/>
      <c r="G14" s="3"/>
      <c r="H14" s="3"/>
      <c r="I14" s="3"/>
      <c r="L14" s="2"/>
      <c r="M14" s="2"/>
      <c r="N14" s="2"/>
      <c r="O14" s="2"/>
      <c r="P14" s="12" t="e">
        <f t="shared" si="0"/>
        <v>#DIV/0!</v>
      </c>
    </row>
    <row r="15" spans="2:16" x14ac:dyDescent="0.2">
      <c r="B15" s="1" t="s">
        <v>11</v>
      </c>
      <c r="C15" s="3"/>
      <c r="D15" s="3"/>
      <c r="G15" s="3"/>
      <c r="H15" s="3"/>
      <c r="I15" s="3"/>
      <c r="L15" s="2"/>
      <c r="M15" s="2"/>
      <c r="N15" s="2"/>
      <c r="O15" s="2"/>
      <c r="P15" s="12" t="e">
        <f t="shared" si="0"/>
        <v>#DIV/0!</v>
      </c>
    </row>
    <row r="16" spans="2:16" x14ac:dyDescent="0.2">
      <c r="B16" s="1" t="s">
        <v>12</v>
      </c>
      <c r="C16" s="3"/>
      <c r="D16" s="3"/>
      <c r="G16" s="3"/>
      <c r="H16" s="3"/>
      <c r="I16" s="3"/>
      <c r="L16" s="2"/>
      <c r="M16" s="2"/>
      <c r="N16" s="2"/>
      <c r="O16" s="2"/>
      <c r="P16" s="12" t="e">
        <f t="shared" si="0"/>
        <v>#DIV/0!</v>
      </c>
    </row>
    <row r="17" spans="2:16" x14ac:dyDescent="0.2">
      <c r="B17" s="1" t="s">
        <v>19</v>
      </c>
      <c r="C17" s="3"/>
      <c r="D17" s="3"/>
      <c r="G17" s="3"/>
      <c r="H17" s="3"/>
      <c r="I17" s="3"/>
      <c r="L17" s="2"/>
      <c r="M17" s="2"/>
      <c r="N17" s="2"/>
      <c r="O17" s="2"/>
      <c r="P17" s="12" t="e">
        <f t="shared" si="0"/>
        <v>#DIV/0!</v>
      </c>
    </row>
    <row r="18" spans="2:16" x14ac:dyDescent="0.2">
      <c r="B18" s="1" t="s">
        <v>15</v>
      </c>
      <c r="C18" s="3"/>
      <c r="D18" s="9" t="s">
        <v>14</v>
      </c>
      <c r="G18" s="3"/>
      <c r="H18" s="3"/>
      <c r="I18" s="3"/>
      <c r="L18" s="2"/>
      <c r="M18" s="2"/>
      <c r="N18" s="2"/>
      <c r="O18" s="2"/>
      <c r="P18" s="12" t="e">
        <f t="shared" si="0"/>
        <v>#DIV/0!</v>
      </c>
    </row>
    <row r="19" spans="2:16" x14ac:dyDescent="0.2">
      <c r="G19" s="3"/>
      <c r="H19" s="3"/>
      <c r="I19" s="3"/>
      <c r="L19" s="2"/>
      <c r="M19" s="2"/>
      <c r="N19" s="2"/>
      <c r="O19" s="2"/>
      <c r="P19" s="12" t="e">
        <f t="shared" si="0"/>
        <v>#DIV/0!</v>
      </c>
    </row>
    <row r="20" spans="2:16" x14ac:dyDescent="0.2">
      <c r="G20" s="3"/>
      <c r="H20" s="3"/>
      <c r="I20" s="3"/>
      <c r="L20" s="2"/>
      <c r="M20" s="2"/>
      <c r="N20" s="2"/>
      <c r="O20" s="2"/>
      <c r="P20" s="12" t="e">
        <f t="shared" si="0"/>
        <v>#DIV/0!</v>
      </c>
    </row>
    <row r="21" spans="2:16" x14ac:dyDescent="0.2">
      <c r="G21" s="3"/>
      <c r="H21" s="3"/>
      <c r="I21" s="3"/>
      <c r="L21" s="2"/>
      <c r="M21" s="2"/>
      <c r="N21" s="2"/>
      <c r="O21" s="2"/>
      <c r="P21" s="12" t="e">
        <f t="shared" si="0"/>
        <v>#DIV/0!</v>
      </c>
    </row>
    <row r="22" spans="2:16" x14ac:dyDescent="0.2">
      <c r="G22" s="3"/>
      <c r="H22" s="3"/>
      <c r="I22" s="3"/>
      <c r="L22" s="2"/>
      <c r="M22" s="2"/>
      <c r="N22" s="2"/>
      <c r="O22" s="2"/>
      <c r="P22" s="12" t="e">
        <f t="shared" si="0"/>
        <v>#DIV/0!</v>
      </c>
    </row>
    <row r="23" spans="2:16" x14ac:dyDescent="0.2">
      <c r="G23" s="3"/>
      <c r="H23" s="3"/>
      <c r="I23" s="3"/>
      <c r="L23" s="2"/>
      <c r="M23" s="2"/>
      <c r="N23" s="2"/>
      <c r="O23" s="2"/>
      <c r="P23" s="12" t="e">
        <f t="shared" si="0"/>
        <v>#DIV/0!</v>
      </c>
    </row>
    <row r="24" spans="2:16" x14ac:dyDescent="0.2">
      <c r="G24" s="3"/>
      <c r="H24" s="3"/>
      <c r="I24" s="3"/>
      <c r="L24" s="2"/>
      <c r="M24" s="2"/>
      <c r="N24" s="2"/>
      <c r="O24" s="2"/>
      <c r="P24" s="12" t="e">
        <f t="shared" si="0"/>
        <v>#DIV/0!</v>
      </c>
    </row>
    <row r="25" spans="2:16" x14ac:dyDescent="0.2">
      <c r="G25" s="3"/>
      <c r="H25" s="3"/>
      <c r="I25" s="3"/>
      <c r="L25" s="2"/>
      <c r="M25" s="2"/>
      <c r="N25" s="2"/>
      <c r="O25" s="2"/>
      <c r="P25" s="12" t="e">
        <f t="shared" si="0"/>
        <v>#DIV/0!</v>
      </c>
    </row>
    <row r="26" spans="2:16" x14ac:dyDescent="0.2">
      <c r="G26" s="3"/>
      <c r="H26" s="3"/>
      <c r="I26" s="3"/>
      <c r="L26" s="2"/>
      <c r="M26" s="2"/>
      <c r="N26" s="2"/>
      <c r="O26" s="2"/>
      <c r="P26" s="12" t="e">
        <f t="shared" si="0"/>
        <v>#DIV/0!</v>
      </c>
    </row>
    <row r="27" spans="2:16" x14ac:dyDescent="0.2">
      <c r="G27" s="3"/>
      <c r="H27" s="3"/>
      <c r="I27" s="3"/>
      <c r="L27" s="2"/>
      <c r="M27" s="2"/>
      <c r="N27" s="2"/>
      <c r="O27" s="2"/>
      <c r="P27" s="12" t="e">
        <f t="shared" si="0"/>
        <v>#DIV/0!</v>
      </c>
    </row>
    <row r="28" spans="2:16" x14ac:dyDescent="0.2">
      <c r="G28" s="3"/>
      <c r="H28" s="3"/>
      <c r="I28" s="3"/>
      <c r="L28" s="2"/>
      <c r="M28" s="2"/>
      <c r="N28" s="2"/>
      <c r="O28" s="2"/>
      <c r="P28" s="12" t="e">
        <f t="shared" si="0"/>
        <v>#DIV/0!</v>
      </c>
    </row>
    <row r="29" spans="2:16" x14ac:dyDescent="0.2">
      <c r="G29" s="3"/>
      <c r="H29" s="3"/>
      <c r="I29" s="3"/>
      <c r="L29" s="2"/>
      <c r="M29" s="2"/>
      <c r="N29" s="2"/>
      <c r="O29" s="2"/>
      <c r="P29" s="12" t="e">
        <f t="shared" si="0"/>
        <v>#DIV/0!</v>
      </c>
    </row>
    <row r="30" spans="2:16" x14ac:dyDescent="0.2">
      <c r="G30" s="3"/>
      <c r="H30" s="3"/>
      <c r="I30" s="3"/>
      <c r="L30" s="2"/>
      <c r="M30" s="2"/>
      <c r="N30" s="2"/>
      <c r="O30" s="2"/>
      <c r="P30" s="12" t="e">
        <f t="shared" si="0"/>
        <v>#DIV/0!</v>
      </c>
    </row>
    <row r="31" spans="2:16" x14ac:dyDescent="0.2">
      <c r="G31" s="3"/>
      <c r="H31" s="3"/>
      <c r="I31" s="3"/>
      <c r="L31" s="2"/>
      <c r="M31" s="2"/>
      <c r="N31" s="2"/>
      <c r="O31" s="2"/>
      <c r="P31" s="12" t="e">
        <f t="shared" si="0"/>
        <v>#DIV/0!</v>
      </c>
    </row>
  </sheetData>
  <mergeCells count="2">
    <mergeCell ref="C4:D4"/>
    <mergeCell ref="C5:D5"/>
  </mergeCell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20x50 5-5</vt:lpstr>
      <vt:lpstr>60x50 5-10</vt:lpstr>
      <vt:lpstr>40x50 5-10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2016-03-03T09:21:23Z</cp:lastPrinted>
  <dcterms:created xsi:type="dcterms:W3CDTF">2016-02-27T10:02:58Z</dcterms:created>
  <dcterms:modified xsi:type="dcterms:W3CDTF">2016-03-07T02:00:30Z</dcterms:modified>
</cp:coreProperties>
</file>