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gunn/Bach/ExperimentalData/Induced EMF/"/>
    </mc:Choice>
  </mc:AlternateContent>
  <bookViews>
    <workbookView xWindow="0" yWindow="460" windowWidth="28800" windowHeight="17460" tabRatio="500"/>
  </bookViews>
  <sheets>
    <sheet name="20x50 5-5" sheetId="2" r:id="rId1"/>
    <sheet name="60x50 5-10" sheetId="3" r:id="rId2"/>
    <sheet name="Template" sheetId="1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" i="2" l="1"/>
  <c r="R18" i="2"/>
  <c r="R17" i="2"/>
  <c r="R16" i="2"/>
  <c r="R15" i="2"/>
  <c r="R14" i="2"/>
  <c r="R13" i="2"/>
  <c r="R12" i="2"/>
  <c r="R11" i="2"/>
  <c r="N11" i="3"/>
  <c r="S21" i="3"/>
  <c r="S20" i="3"/>
  <c r="S19" i="3"/>
  <c r="S18" i="3"/>
  <c r="S17" i="3"/>
  <c r="S16" i="3"/>
  <c r="S15" i="3"/>
  <c r="S14" i="3"/>
  <c r="S13" i="3"/>
  <c r="S12" i="3"/>
  <c r="T21" i="3"/>
  <c r="T20" i="3"/>
  <c r="T19" i="3"/>
  <c r="T18" i="3"/>
  <c r="T17" i="3"/>
  <c r="T16" i="3"/>
  <c r="T15" i="3"/>
  <c r="T14" i="3"/>
  <c r="T13" i="3"/>
  <c r="T12" i="3"/>
  <c r="R21" i="3"/>
  <c r="R20" i="3"/>
  <c r="R19" i="3"/>
  <c r="R18" i="3"/>
  <c r="R17" i="3"/>
  <c r="R16" i="3"/>
  <c r="R15" i="3"/>
  <c r="R14" i="3"/>
  <c r="R13" i="3"/>
  <c r="R12" i="3"/>
  <c r="R11" i="3"/>
  <c r="T11" i="3"/>
  <c r="S11" i="3"/>
  <c r="L21" i="3"/>
  <c r="M21" i="3"/>
  <c r="N21" i="3"/>
  <c r="O21" i="3"/>
  <c r="C23" i="3"/>
  <c r="C28" i="3"/>
  <c r="C31" i="3"/>
  <c r="P21" i="3"/>
  <c r="Q21" i="3"/>
  <c r="K21" i="3"/>
  <c r="K20" i="3"/>
  <c r="L20" i="3"/>
  <c r="M20" i="3"/>
  <c r="N20" i="3"/>
  <c r="O20" i="3"/>
  <c r="P20" i="3"/>
  <c r="Q20" i="3"/>
  <c r="D24" i="3"/>
  <c r="C21" i="3"/>
  <c r="D25" i="3"/>
  <c r="C25" i="3"/>
  <c r="C24" i="3"/>
  <c r="L19" i="3"/>
  <c r="M19" i="3"/>
  <c r="N19" i="3"/>
  <c r="O19" i="3"/>
  <c r="P19" i="3"/>
  <c r="Q19" i="3"/>
  <c r="K19" i="3"/>
  <c r="L18" i="3"/>
  <c r="M18" i="3"/>
  <c r="N18" i="3"/>
  <c r="O18" i="3"/>
  <c r="P18" i="3"/>
  <c r="Q18" i="3"/>
  <c r="K18" i="3"/>
  <c r="L17" i="3"/>
  <c r="M17" i="3"/>
  <c r="N17" i="3"/>
  <c r="O17" i="3"/>
  <c r="P17" i="3"/>
  <c r="Q17" i="3"/>
  <c r="K17" i="3"/>
  <c r="L16" i="3"/>
  <c r="M16" i="3"/>
  <c r="N16" i="3"/>
  <c r="O16" i="3"/>
  <c r="P16" i="3"/>
  <c r="Q16" i="3"/>
  <c r="K16" i="3"/>
  <c r="L15" i="3"/>
  <c r="M15" i="3"/>
  <c r="N15" i="3"/>
  <c r="O15" i="3"/>
  <c r="P15" i="3"/>
  <c r="Q15" i="3"/>
  <c r="K15" i="3"/>
  <c r="L14" i="3"/>
  <c r="M14" i="3"/>
  <c r="N14" i="3"/>
  <c r="O14" i="3"/>
  <c r="P14" i="3"/>
  <c r="Q14" i="3"/>
  <c r="K14" i="3"/>
  <c r="L13" i="3"/>
  <c r="M13" i="3"/>
  <c r="N13" i="3"/>
  <c r="O13" i="3"/>
  <c r="P13" i="3"/>
  <c r="Q13" i="3"/>
  <c r="K13" i="3"/>
  <c r="L12" i="3"/>
  <c r="M12" i="3"/>
  <c r="N12" i="3"/>
  <c r="O12" i="3"/>
  <c r="P12" i="3"/>
  <c r="Q12" i="3"/>
  <c r="K12" i="3"/>
  <c r="L11" i="3"/>
  <c r="M11" i="3"/>
  <c r="O11" i="3"/>
  <c r="P11" i="3"/>
  <c r="Q11" i="3"/>
  <c r="K11" i="3"/>
  <c r="P12" i="2"/>
  <c r="L19" i="2"/>
  <c r="M19" i="2"/>
  <c r="N19" i="2"/>
  <c r="O19" i="2"/>
  <c r="P19" i="2"/>
  <c r="L18" i="2"/>
  <c r="M18" i="2"/>
  <c r="N18" i="2"/>
  <c r="O18" i="2"/>
  <c r="P18" i="2"/>
  <c r="L17" i="2"/>
  <c r="M17" i="2"/>
  <c r="N17" i="2"/>
  <c r="O17" i="2"/>
  <c r="P17" i="2"/>
  <c r="L16" i="2"/>
  <c r="M16" i="2"/>
  <c r="N16" i="2"/>
  <c r="O16" i="2"/>
  <c r="P16" i="2"/>
  <c r="P15" i="2"/>
  <c r="P14" i="2"/>
  <c r="P13" i="2"/>
  <c r="Q12" i="2"/>
  <c r="Q13" i="2"/>
  <c r="Q14" i="2"/>
  <c r="Q15" i="2"/>
  <c r="Q16" i="2"/>
  <c r="Q17" i="2"/>
  <c r="Q18" i="2"/>
  <c r="Q19" i="2"/>
  <c r="P11" i="2"/>
  <c r="L15" i="2"/>
  <c r="M15" i="2"/>
  <c r="N15" i="2"/>
  <c r="O15" i="2"/>
  <c r="L14" i="2"/>
  <c r="M14" i="2"/>
  <c r="N14" i="2"/>
  <c r="O14" i="2"/>
  <c r="L13" i="2"/>
  <c r="M13" i="2"/>
  <c r="N13" i="2"/>
  <c r="O13" i="2"/>
  <c r="L12" i="2"/>
  <c r="M12" i="2"/>
  <c r="N12" i="2"/>
  <c r="O12" i="2"/>
  <c r="L11" i="2"/>
  <c r="M11" i="2"/>
  <c r="N11" i="2"/>
  <c r="O11" i="2"/>
  <c r="K19" i="2"/>
  <c r="K18" i="2"/>
  <c r="K17" i="2"/>
  <c r="K16" i="2"/>
  <c r="K15" i="2"/>
  <c r="K14" i="2"/>
  <c r="K13" i="2"/>
  <c r="K12" i="2"/>
  <c r="K11" i="2"/>
  <c r="C23" i="2"/>
  <c r="D24" i="2"/>
  <c r="C28" i="2"/>
  <c r="C21" i="2"/>
  <c r="C31" i="2"/>
  <c r="D25" i="2"/>
  <c r="C25" i="2"/>
  <c r="Q11" i="2"/>
  <c r="C24" i="2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</calcChain>
</file>

<file path=xl/comments1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b/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b/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K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L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M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N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O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b/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b/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K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L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M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N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O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L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M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N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O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sharedStrings.xml><?xml version="1.0" encoding="utf-8"?>
<sst xmlns="http://schemas.openxmlformats.org/spreadsheetml/2006/main" count="147" uniqueCount="59">
  <si>
    <t>Date:</t>
  </si>
  <si>
    <t>Experiment type:</t>
  </si>
  <si>
    <t>Driven</t>
  </si>
  <si>
    <t>Passive</t>
  </si>
  <si>
    <t>Width (mm):</t>
  </si>
  <si>
    <t>Length (mm):</t>
  </si>
  <si>
    <t>Num loops:</t>
  </si>
  <si>
    <t>Resistence (Ω):</t>
  </si>
  <si>
    <t>Flow direction from above:</t>
  </si>
  <si>
    <t>Clockwise</t>
  </si>
  <si>
    <t>Flow direction checked:</t>
  </si>
  <si>
    <t>Wire type:</t>
  </si>
  <si>
    <t>Wire gauge:</t>
  </si>
  <si>
    <t>Wave type:</t>
  </si>
  <si>
    <t>n/a</t>
  </si>
  <si>
    <t>Measurement resistor (Ω):</t>
  </si>
  <si>
    <t>Amplitude (V):</t>
  </si>
  <si>
    <t>Frequency (Hz):</t>
  </si>
  <si>
    <t>Sweep date/time:</t>
  </si>
  <si>
    <t>Wire diameter (mm):</t>
  </si>
  <si>
    <t>Copper</t>
  </si>
  <si>
    <t>Part Number:</t>
  </si>
  <si>
    <t>P002</t>
  </si>
  <si>
    <t>P001</t>
  </si>
  <si>
    <t>Df to Pf (m)</t>
  </si>
  <si>
    <t>Right block sep (mm)</t>
  </si>
  <si>
    <t>Left block sep (mm)</t>
  </si>
  <si>
    <t>EMF (V)</t>
  </si>
  <si>
    <t>Df to Pr (m)</t>
  </si>
  <si>
    <t>Dr to Pf (m)</t>
  </si>
  <si>
    <t>Dr to Pr (m)</t>
  </si>
  <si>
    <t>Inverse distances (1/m)</t>
  </si>
  <si>
    <t>Rate of change of current (A/s):</t>
  </si>
  <si>
    <t>triangular</t>
  </si>
  <si>
    <t>Reference between wires (mm):</t>
  </si>
  <si>
    <t>Reference between blocks (mm):</t>
  </si>
  <si>
    <t>Block sep (mm)</t>
  </si>
  <si>
    <t>EMF (mV)</t>
  </si>
  <si>
    <t>Yes</t>
  </si>
  <si>
    <t>Width measured (mm):</t>
  </si>
  <si>
    <t>Length measured (mm):</t>
  </si>
  <si>
    <t>Width on centers (m):</t>
  </si>
  <si>
    <t>Length on centers (m):</t>
  </si>
  <si>
    <t>1/x rule (mv)</t>
  </si>
  <si>
    <t>Maxwell (mv)</t>
  </si>
  <si>
    <t>Maxwell coeff:</t>
  </si>
  <si>
    <t>P coeff (Am/s) :</t>
  </si>
  <si>
    <t>η (kg m^2/ s^2 / A^2)</t>
  </si>
  <si>
    <t>Permeability (kg m/s^2/A^2):</t>
  </si>
  <si>
    <t>EMF x2 (mV)</t>
  </si>
  <si>
    <t>9:59pm</t>
  </si>
  <si>
    <t>EMF Std Dev (mV)</t>
  </si>
  <si>
    <t>P003</t>
  </si>
  <si>
    <t>On passive circuit +ve lead is white, -ve is red.</t>
  </si>
  <si>
    <t>(3.67V +ve, -3.69V -ve)</t>
  </si>
  <si>
    <t>For 37.2mV EMF, -16.6mv to 20.6mV</t>
  </si>
  <si>
    <t>Maxwell near (mv)</t>
  </si>
  <si>
    <t>Maxwell far (mv)</t>
  </si>
  <si>
    <t>BAD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</si>
</sst>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F800]dddd\,\ mmmm\ dd\,\ yyyy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8"/>
      <name val="Calibri"/>
      <family val="2"/>
      <scheme val="minor"/>
    </font>
    <font>
      <sz val="72"/>
      <color theme="1"/>
      <name val="Helvetica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2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2" fontId="0" fillId="4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15" fontId="0" fillId="4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0" fillId="3" borderId="1" xfId="0" applyNumberFormat="1" applyFill="1" applyBorder="1"/>
    <xf numFmtId="167" fontId="0" fillId="4" borderId="1" xfId="0" applyNumberFormat="1" applyFill="1" applyBorder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'20x50 5-5'!$L$11:$L$19</c:f>
              <c:numCache>
                <c:formatCode>General</c:formatCode>
                <c:ptCount val="9"/>
                <c:pt idx="0">
                  <c:v>0.00182</c:v>
                </c:pt>
                <c:pt idx="1">
                  <c:v>0.0036</c:v>
                </c:pt>
                <c:pt idx="2">
                  <c:v>0.00459</c:v>
                </c:pt>
                <c:pt idx="3">
                  <c:v>0.00553</c:v>
                </c:pt>
                <c:pt idx="4">
                  <c:v>0.00648</c:v>
                </c:pt>
                <c:pt idx="5">
                  <c:v>0.0076</c:v>
                </c:pt>
                <c:pt idx="6">
                  <c:v>0.00829</c:v>
                </c:pt>
                <c:pt idx="7">
                  <c:v>0.00944</c:v>
                </c:pt>
                <c:pt idx="8">
                  <c:v>0.01025</c:v>
                </c:pt>
              </c:numCache>
            </c:numRef>
          </c:xVal>
          <c:yVal>
            <c:numRef>
              <c:f>'20x50 5-5'!$K$11:$K$19</c:f>
              <c:numCache>
                <c:formatCode>0.00</c:formatCode>
                <c:ptCount val="9"/>
                <c:pt idx="0">
                  <c:v>35.85</c:v>
                </c:pt>
                <c:pt idx="1">
                  <c:v>28.915</c:v>
                </c:pt>
                <c:pt idx="2">
                  <c:v>26.9</c:v>
                </c:pt>
                <c:pt idx="3">
                  <c:v>24.75</c:v>
                </c:pt>
                <c:pt idx="4">
                  <c:v>23.3</c:v>
                </c:pt>
                <c:pt idx="5">
                  <c:v>22.45</c:v>
                </c:pt>
                <c:pt idx="6">
                  <c:v>21.75</c:v>
                </c:pt>
                <c:pt idx="7">
                  <c:v>20.75</c:v>
                </c:pt>
                <c:pt idx="8">
                  <c:v>20.15</c:v>
                </c:pt>
              </c:numCache>
            </c:numRef>
          </c:yVal>
          <c:smooth val="1"/>
        </c:ser>
        <c:ser>
          <c:idx val="1"/>
          <c:order val="1"/>
          <c:tx>
            <c:v>1/x rule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'20x50 5-5'!$L$11:$L$19</c:f>
              <c:numCache>
                <c:formatCode>General</c:formatCode>
                <c:ptCount val="9"/>
                <c:pt idx="0">
                  <c:v>0.00182</c:v>
                </c:pt>
                <c:pt idx="1">
                  <c:v>0.0036</c:v>
                </c:pt>
                <c:pt idx="2">
                  <c:v>0.00459</c:v>
                </c:pt>
                <c:pt idx="3">
                  <c:v>0.00553</c:v>
                </c:pt>
                <c:pt idx="4">
                  <c:v>0.00648</c:v>
                </c:pt>
                <c:pt idx="5">
                  <c:v>0.0076</c:v>
                </c:pt>
                <c:pt idx="6">
                  <c:v>0.00829</c:v>
                </c:pt>
                <c:pt idx="7">
                  <c:v>0.00944</c:v>
                </c:pt>
                <c:pt idx="8">
                  <c:v>0.01025</c:v>
                </c:pt>
              </c:numCache>
            </c:numRef>
          </c:xVal>
          <c:yVal>
            <c:numRef>
              <c:f>'20x50 5-5'!$Q$11:$Q$19</c:f>
              <c:numCache>
                <c:formatCode>General</c:formatCode>
                <c:ptCount val="9"/>
                <c:pt idx="0">
                  <c:v>104.265884148792</c:v>
                </c:pt>
                <c:pt idx="1">
                  <c:v>48.54124107366092</c:v>
                </c:pt>
                <c:pt idx="2">
                  <c:v>36.44923929143771</c:v>
                </c:pt>
                <c:pt idx="3">
                  <c:v>29.06796502240024</c:v>
                </c:pt>
                <c:pt idx="4">
                  <c:v>23.85419846062637</c:v>
                </c:pt>
                <c:pt idx="5">
                  <c:v>19.4508007216983</c:v>
                </c:pt>
                <c:pt idx="6">
                  <c:v>17.36123101761379</c:v>
                </c:pt>
                <c:pt idx="7">
                  <c:v>14.59897975890512</c:v>
                </c:pt>
                <c:pt idx="8">
                  <c:v>13.0517055925882</c:v>
                </c:pt>
              </c:numCache>
            </c:numRef>
          </c:yVal>
          <c:smooth val="1"/>
        </c:ser>
        <c:ser>
          <c:idx val="2"/>
          <c:order val="2"/>
          <c:tx>
            <c:v>Maxwell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'20x50 5-5'!$L$11:$L$19</c:f>
              <c:numCache>
                <c:formatCode>General</c:formatCode>
                <c:ptCount val="9"/>
                <c:pt idx="0">
                  <c:v>0.00182</c:v>
                </c:pt>
                <c:pt idx="1">
                  <c:v>0.0036</c:v>
                </c:pt>
                <c:pt idx="2">
                  <c:v>0.00459</c:v>
                </c:pt>
                <c:pt idx="3">
                  <c:v>0.00553</c:v>
                </c:pt>
                <c:pt idx="4">
                  <c:v>0.00648</c:v>
                </c:pt>
                <c:pt idx="5">
                  <c:v>0.0076</c:v>
                </c:pt>
                <c:pt idx="6">
                  <c:v>0.00829</c:v>
                </c:pt>
                <c:pt idx="7">
                  <c:v>0.00944</c:v>
                </c:pt>
                <c:pt idx="8">
                  <c:v>0.01025</c:v>
                </c:pt>
              </c:numCache>
            </c:numRef>
          </c:xVal>
          <c:yVal>
            <c:numRef>
              <c:f>'20x50 5-5'!$R$11:$R$19</c:f>
              <c:numCache>
                <c:formatCode>General</c:formatCode>
                <c:ptCount val="9"/>
                <c:pt idx="0">
                  <c:v>27.03529326364297</c:v>
                </c:pt>
                <c:pt idx="1">
                  <c:v>19.90572771107074</c:v>
                </c:pt>
                <c:pt idx="2">
                  <c:v>17.53003409008075</c:v>
                </c:pt>
                <c:pt idx="3">
                  <c:v>15.78314516534624</c:v>
                </c:pt>
                <c:pt idx="4">
                  <c:v>14.35448566915121</c:v>
                </c:pt>
                <c:pt idx="5">
                  <c:v>12.97661600842937</c:v>
                </c:pt>
                <c:pt idx="6">
                  <c:v>12.25216288871262</c:v>
                </c:pt>
                <c:pt idx="7">
                  <c:v>11.20625992315141</c:v>
                </c:pt>
                <c:pt idx="8">
                  <c:v>10.56740931164482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369248"/>
        <c:axId val="-2045835200"/>
      </c:scatterChart>
      <c:valAx>
        <c:axId val="-20093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835200"/>
        <c:crosses val="autoZero"/>
        <c:crossBetween val="midCat"/>
      </c:valAx>
      <c:valAx>
        <c:axId val="-20458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36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'60x50 5-10'!$L$11:$L$21</c:f>
              <c:numCache>
                <c:formatCode>General</c:formatCode>
                <c:ptCount val="11"/>
                <c:pt idx="0">
                  <c:v>0.00254</c:v>
                </c:pt>
                <c:pt idx="1">
                  <c:v>0.00283</c:v>
                </c:pt>
                <c:pt idx="2">
                  <c:v>0.00411</c:v>
                </c:pt>
                <c:pt idx="3">
                  <c:v>0.00638</c:v>
                </c:pt>
                <c:pt idx="4">
                  <c:v>0.00831</c:v>
                </c:pt>
                <c:pt idx="5">
                  <c:v>0.01218</c:v>
                </c:pt>
                <c:pt idx="6">
                  <c:v>0.01379</c:v>
                </c:pt>
                <c:pt idx="7">
                  <c:v>0.01624</c:v>
                </c:pt>
                <c:pt idx="8">
                  <c:v>0.02161</c:v>
                </c:pt>
                <c:pt idx="9">
                  <c:v>0.02599</c:v>
                </c:pt>
                <c:pt idx="10">
                  <c:v>0.04384</c:v>
                </c:pt>
              </c:numCache>
            </c:numRef>
          </c:xVal>
          <c:yVal>
            <c:numRef>
              <c:f>'60x50 5-10'!$K$11:$K$21</c:f>
              <c:numCache>
                <c:formatCode>0.00</c:formatCode>
                <c:ptCount val="11"/>
                <c:pt idx="0">
                  <c:v>94.0</c:v>
                </c:pt>
                <c:pt idx="1">
                  <c:v>90.8</c:v>
                </c:pt>
                <c:pt idx="2">
                  <c:v>75.3</c:v>
                </c:pt>
                <c:pt idx="3">
                  <c:v>59.35</c:v>
                </c:pt>
                <c:pt idx="4">
                  <c:v>49.45</c:v>
                </c:pt>
                <c:pt idx="5">
                  <c:v>38.3</c:v>
                </c:pt>
                <c:pt idx="6">
                  <c:v>34.0</c:v>
                </c:pt>
                <c:pt idx="7">
                  <c:v>28.7</c:v>
                </c:pt>
                <c:pt idx="8">
                  <c:v>21.4</c:v>
                </c:pt>
                <c:pt idx="9">
                  <c:v>18.0</c:v>
                </c:pt>
                <c:pt idx="10">
                  <c:v>8.4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'60x50 5-10'!$L$11:$L$21</c:f>
              <c:numCache>
                <c:formatCode>General</c:formatCode>
                <c:ptCount val="11"/>
                <c:pt idx="0">
                  <c:v>0.00254</c:v>
                </c:pt>
                <c:pt idx="1">
                  <c:v>0.00283</c:v>
                </c:pt>
                <c:pt idx="2">
                  <c:v>0.00411</c:v>
                </c:pt>
                <c:pt idx="3">
                  <c:v>0.00638</c:v>
                </c:pt>
                <c:pt idx="4">
                  <c:v>0.00831</c:v>
                </c:pt>
                <c:pt idx="5">
                  <c:v>0.01218</c:v>
                </c:pt>
                <c:pt idx="6">
                  <c:v>0.01379</c:v>
                </c:pt>
                <c:pt idx="7">
                  <c:v>0.01624</c:v>
                </c:pt>
                <c:pt idx="8">
                  <c:v>0.02161</c:v>
                </c:pt>
                <c:pt idx="9">
                  <c:v>0.02599</c:v>
                </c:pt>
                <c:pt idx="10">
                  <c:v>0.04384</c:v>
                </c:pt>
              </c:numCache>
            </c:numRef>
          </c:xVal>
          <c:yVal>
            <c:numRef>
              <c:f>'60x50 5-10'!$Q$11:$Q$21</c:f>
              <c:numCache>
                <c:formatCode>General</c:formatCode>
                <c:ptCount val="11"/>
                <c:pt idx="0">
                  <c:v>233.7477040713648</c:v>
                </c:pt>
                <c:pt idx="1">
                  <c:v>208.5117291654034</c:v>
                </c:pt>
                <c:pt idx="2">
                  <c:v>139.774094668856</c:v>
                </c:pt>
                <c:pt idx="3">
                  <c:v>85.9446256076194</c:v>
                </c:pt>
                <c:pt idx="4">
                  <c:v>63.48197142867239</c:v>
                </c:pt>
                <c:pt idx="5">
                  <c:v>40.1796365967435</c:v>
                </c:pt>
                <c:pt idx="6">
                  <c:v>34.42879551247182</c:v>
                </c:pt>
                <c:pt idx="7">
                  <c:v>27.94351018531616</c:v>
                </c:pt>
                <c:pt idx="8">
                  <c:v>19.09221456728826</c:v>
                </c:pt>
                <c:pt idx="9">
                  <c:v>14.74038076010347</c:v>
                </c:pt>
                <c:pt idx="10">
                  <c:v>6.640485001560448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'60x50 5-10'!$L$11:$L$21</c:f>
              <c:numCache>
                <c:formatCode>General</c:formatCode>
                <c:ptCount val="11"/>
                <c:pt idx="0">
                  <c:v>0.00254</c:v>
                </c:pt>
                <c:pt idx="1">
                  <c:v>0.00283</c:v>
                </c:pt>
                <c:pt idx="2">
                  <c:v>0.00411</c:v>
                </c:pt>
                <c:pt idx="3">
                  <c:v>0.00638</c:v>
                </c:pt>
                <c:pt idx="4">
                  <c:v>0.00831</c:v>
                </c:pt>
                <c:pt idx="5">
                  <c:v>0.01218</c:v>
                </c:pt>
                <c:pt idx="6">
                  <c:v>0.01379</c:v>
                </c:pt>
                <c:pt idx="7">
                  <c:v>0.01624</c:v>
                </c:pt>
                <c:pt idx="8">
                  <c:v>0.02161</c:v>
                </c:pt>
                <c:pt idx="9">
                  <c:v>0.02599</c:v>
                </c:pt>
                <c:pt idx="10">
                  <c:v>0.04384</c:v>
                </c:pt>
              </c:numCache>
            </c:numRef>
          </c:xVal>
          <c:yVal>
            <c:numRef>
              <c:f>'60x50 5-10'!$R$11:$R$21</c:f>
              <c:numCache>
                <c:formatCode>General</c:formatCode>
                <c:ptCount val="11"/>
                <c:pt idx="0">
                  <c:v>119.3111878829002</c:v>
                </c:pt>
                <c:pt idx="1">
                  <c:v>114.7400818576905</c:v>
                </c:pt>
                <c:pt idx="2">
                  <c:v>99.20894053877637</c:v>
                </c:pt>
                <c:pt idx="3">
                  <c:v>81.5501681455155</c:v>
                </c:pt>
                <c:pt idx="4">
                  <c:v>71.38846867018711</c:v>
                </c:pt>
                <c:pt idx="5">
                  <c:v>57.47957135780069</c:v>
                </c:pt>
                <c:pt idx="6">
                  <c:v>53.2037740468328</c:v>
                </c:pt>
                <c:pt idx="7">
                  <c:v>47.77853761265059</c:v>
                </c:pt>
                <c:pt idx="8">
                  <c:v>38.9293157948917</c:v>
                </c:pt>
                <c:pt idx="9">
                  <c:v>33.68247731956509</c:v>
                </c:pt>
                <c:pt idx="10">
                  <c:v>21.0643663747123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027776"/>
        <c:axId val="-2011833728"/>
      </c:scatterChart>
      <c:valAx>
        <c:axId val="20500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833728"/>
        <c:crosses val="autoZero"/>
        <c:crossBetween val="midCat"/>
      </c:valAx>
      <c:valAx>
        <c:axId val="-20118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942340</xdr:colOff>
      <xdr:row>23</xdr:row>
      <xdr:rowOff>119379</xdr:rowOff>
    </xdr:from>
    <xdr:to>
      <xdr:col>16</xdr:col>
      <xdr:colOff>264160</xdr:colOff>
      <xdr:row>45</xdr:row>
      <xdr:rowOff>13546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942340</xdr:colOff>
      <xdr:row>23</xdr:row>
      <xdr:rowOff>119379</xdr:rowOff>
    </xdr:from>
    <xdr:to>
      <xdr:col>16</xdr:col>
      <xdr:colOff>264160</xdr:colOff>
      <xdr:row>45</xdr:row>
      <xdr:rowOff>13546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4:R31"/>
  <sheetViews>
    <sheetView showGridLines="0" tabSelected="1" topLeftCell="B6" zoomScale="98" workbookViewId="0">
      <selection activeCell="S27" sqref="S27"/>
    </sheetView>
  </sheetViews>
  <sheetFormatPr baseColWidth="10" defaultRowHeight="16" x14ac:dyDescent="0.2"/>
  <cols>
    <col min="2" max="2" width="28" bestFit="1" customWidth="1"/>
    <col min="3" max="3" width="14.83203125" customWidth="1"/>
    <col min="4" max="4" width="13.5" customWidth="1"/>
    <col min="5" max="5" width="5.33203125" customWidth="1"/>
    <col min="6" max="6" width="3.83203125" customWidth="1"/>
    <col min="7" max="7" width="17.6640625" bestFit="1" customWidth="1"/>
    <col min="8" max="8" width="18.6640625" bestFit="1" customWidth="1"/>
    <col min="9" max="9" width="18.6640625" customWidth="1"/>
    <col min="10" max="10" width="13" customWidth="1"/>
    <col min="11" max="11" width="19" customWidth="1"/>
    <col min="15" max="15" width="10.6640625" bestFit="1" customWidth="1"/>
    <col min="16" max="16" width="20.1640625" bestFit="1" customWidth="1"/>
    <col min="17" max="18" width="12.6640625" bestFit="1" customWidth="1"/>
  </cols>
  <sheetData>
    <row r="4" spans="2:18" x14ac:dyDescent="0.2">
      <c r="B4" s="1" t="s">
        <v>0</v>
      </c>
      <c r="C4" s="19">
        <v>42431</v>
      </c>
      <c r="D4" s="19"/>
      <c r="G4" s="1" t="s">
        <v>18</v>
      </c>
      <c r="H4" s="13" t="s">
        <v>50</v>
      </c>
      <c r="J4" s="20" t="s">
        <v>58</v>
      </c>
      <c r="K4" s="20"/>
      <c r="L4" s="20"/>
      <c r="M4" s="20"/>
      <c r="N4" s="20"/>
      <c r="O4" s="20"/>
      <c r="P4" s="20"/>
      <c r="Q4" s="20"/>
      <c r="R4" s="20"/>
    </row>
    <row r="5" spans="2:18" x14ac:dyDescent="0.2">
      <c r="B5" s="1" t="s">
        <v>1</v>
      </c>
      <c r="C5" s="11"/>
      <c r="D5" s="11"/>
      <c r="G5" s="1" t="s">
        <v>17</v>
      </c>
      <c r="H5" s="5">
        <v>200000</v>
      </c>
      <c r="J5" s="20"/>
      <c r="K5" s="20"/>
      <c r="L5" s="20"/>
      <c r="M5" s="20"/>
      <c r="N5" s="20"/>
      <c r="O5" s="20"/>
      <c r="P5" s="20"/>
      <c r="Q5" s="20"/>
      <c r="R5" s="20"/>
    </row>
    <row r="6" spans="2:18" x14ac:dyDescent="0.2">
      <c r="G6" s="1" t="s">
        <v>13</v>
      </c>
      <c r="H6" s="6" t="s">
        <v>33</v>
      </c>
      <c r="J6" s="20"/>
      <c r="K6" s="20"/>
      <c r="L6" s="20"/>
      <c r="M6" s="20"/>
      <c r="N6" s="20"/>
      <c r="O6" s="20"/>
      <c r="P6" s="20"/>
      <c r="Q6" s="20"/>
      <c r="R6" s="20"/>
    </row>
    <row r="7" spans="2:18" x14ac:dyDescent="0.2">
      <c r="B7" s="4"/>
      <c r="C7" s="8" t="s">
        <v>2</v>
      </c>
      <c r="D7" s="8" t="s">
        <v>3</v>
      </c>
      <c r="G7" s="1" t="s">
        <v>16</v>
      </c>
      <c r="H7" s="3">
        <v>14.15</v>
      </c>
      <c r="J7" s="20"/>
      <c r="K7" s="20"/>
      <c r="L7" s="20"/>
      <c r="M7" s="20"/>
      <c r="N7" s="20"/>
      <c r="O7" s="20"/>
      <c r="P7" s="20"/>
      <c r="Q7" s="20"/>
      <c r="R7" s="20"/>
    </row>
    <row r="8" spans="2:18" x14ac:dyDescent="0.2">
      <c r="B8" s="1" t="s">
        <v>21</v>
      </c>
      <c r="C8" s="7" t="s">
        <v>23</v>
      </c>
      <c r="D8" s="7" t="s">
        <v>22</v>
      </c>
    </row>
    <row r="9" spans="2:18" x14ac:dyDescent="0.2">
      <c r="B9" s="1" t="s">
        <v>39</v>
      </c>
      <c r="C9" s="5">
        <v>80.069999999999993</v>
      </c>
      <c r="D9" s="5">
        <v>50.5</v>
      </c>
    </row>
    <row r="10" spans="2:18" x14ac:dyDescent="0.2">
      <c r="B10" s="1" t="s">
        <v>40</v>
      </c>
      <c r="C10" s="5">
        <v>80.38</v>
      </c>
      <c r="D10" s="5">
        <v>20.48</v>
      </c>
      <c r="G10" s="8" t="s">
        <v>36</v>
      </c>
      <c r="H10" s="8" t="s">
        <v>49</v>
      </c>
      <c r="I10" s="8" t="s">
        <v>51</v>
      </c>
      <c r="K10" s="8" t="s">
        <v>37</v>
      </c>
      <c r="L10" s="8" t="s">
        <v>24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43</v>
      </c>
      <c r="R10" s="8" t="s">
        <v>44</v>
      </c>
    </row>
    <row r="11" spans="2:18" x14ac:dyDescent="0.2">
      <c r="B11" s="1" t="s">
        <v>6</v>
      </c>
      <c r="C11" s="3">
        <v>5</v>
      </c>
      <c r="D11" s="3">
        <v>5</v>
      </c>
      <c r="G11" s="3">
        <v>12.19</v>
      </c>
      <c r="H11" s="5">
        <v>71.7</v>
      </c>
      <c r="I11" s="5">
        <v>1.9</v>
      </c>
      <c r="K11" s="18">
        <f>H11/2</f>
        <v>35.85</v>
      </c>
      <c r="L11" s="2">
        <f>0.001*(G11-$C$19+$C$20)</f>
        <v>1.82E-3</v>
      </c>
      <c r="M11" s="2">
        <f>L11+$D$25</f>
        <v>2.214E-2</v>
      </c>
      <c r="N11" s="2">
        <f>L11+$C$25</f>
        <v>8.2040000000000002E-2</v>
      </c>
      <c r="O11" s="2">
        <f>L11+$C$25+$D$25</f>
        <v>0.10236000000000001</v>
      </c>
      <c r="P11" s="12">
        <f>1/L11-1/M11-1/N11+1/O11</f>
        <v>501.86369628896188</v>
      </c>
      <c r="Q11" s="12">
        <f>$C$28*$C$29*P11*1000</f>
        <v>104.26588414879198</v>
      </c>
      <c r="R11" s="12">
        <f>$C$31*(LN(M11/L11)+LN(N11/O11))*1000</f>
        <v>27.03529326364297</v>
      </c>
    </row>
    <row r="12" spans="2:18" x14ac:dyDescent="0.2">
      <c r="B12" s="1" t="s">
        <v>7</v>
      </c>
      <c r="C12" s="3">
        <v>2.2999999999999998</v>
      </c>
      <c r="D12" s="3">
        <v>1.78</v>
      </c>
      <c r="G12" s="3">
        <v>13.97</v>
      </c>
      <c r="H12" s="5">
        <v>57.83</v>
      </c>
      <c r="I12" s="5">
        <v>2.11</v>
      </c>
      <c r="K12" s="18">
        <f t="shared" ref="K12:K19" si="0">H12/2</f>
        <v>28.914999999999999</v>
      </c>
      <c r="L12" s="2">
        <f>0.001*(G12-$C$19+$C$20)</f>
        <v>3.6000000000000016E-3</v>
      </c>
      <c r="M12" s="2">
        <f t="shared" ref="M12:M19" si="1">L12+$D$25</f>
        <v>2.3920000000000004E-2</v>
      </c>
      <c r="N12" s="2">
        <f t="shared" ref="N12:N19" si="2">L12+$C$25</f>
        <v>8.3820000000000006E-2</v>
      </c>
      <c r="O12" s="2">
        <f t="shared" ref="O12:O19" si="3">L12+$C$25+$D$25</f>
        <v>0.10414000000000001</v>
      </c>
      <c r="P12" s="12">
        <f t="shared" ref="P12:P19" si="4">1/L12-1/M12-1/N12+1/O12</f>
        <v>233.64388904923791</v>
      </c>
      <c r="Q12" s="12">
        <f t="shared" ref="Q12:Q19" si="5">$C$28*$C$29*P12*1000</f>
        <v>48.54124107366092</v>
      </c>
      <c r="R12" s="12">
        <f t="shared" ref="R12:R19" si="6">$C$31*(LN(M12/L12)+LN(N12/O12))*1000</f>
        <v>19.905727711070742</v>
      </c>
    </row>
    <row r="13" spans="2:18" x14ac:dyDescent="0.2">
      <c r="B13" s="1" t="s">
        <v>8</v>
      </c>
      <c r="C13" s="2" t="s">
        <v>9</v>
      </c>
      <c r="D13" s="2" t="s">
        <v>9</v>
      </c>
      <c r="G13" s="3">
        <v>14.96</v>
      </c>
      <c r="H13" s="5">
        <v>53.8</v>
      </c>
      <c r="I13" s="5">
        <v>2.1</v>
      </c>
      <c r="K13" s="18">
        <f t="shared" si="0"/>
        <v>26.9</v>
      </c>
      <c r="L13" s="2">
        <f>0.001*(G13-$C$19+$C$20)</f>
        <v>4.5900000000000021E-3</v>
      </c>
      <c r="M13" s="2">
        <f t="shared" si="1"/>
        <v>2.4910000000000002E-2</v>
      </c>
      <c r="N13" s="2">
        <f t="shared" si="2"/>
        <v>8.4809999999999997E-2</v>
      </c>
      <c r="O13" s="2">
        <f t="shared" si="3"/>
        <v>0.10513</v>
      </c>
      <c r="P13" s="12">
        <f t="shared" si="4"/>
        <v>175.44137382096645</v>
      </c>
      <c r="Q13" s="12">
        <f t="shared" si="5"/>
        <v>36.449239291437713</v>
      </c>
      <c r="R13" s="12">
        <f t="shared" si="6"/>
        <v>17.530034090080751</v>
      </c>
    </row>
    <row r="14" spans="2:18" x14ac:dyDescent="0.2">
      <c r="B14" s="1" t="s">
        <v>10</v>
      </c>
      <c r="C14" s="6" t="s">
        <v>38</v>
      </c>
      <c r="D14" s="6" t="s">
        <v>38</v>
      </c>
      <c r="G14" s="3">
        <v>15.9</v>
      </c>
      <c r="H14" s="5">
        <v>49.5</v>
      </c>
      <c r="I14" s="5">
        <v>1.97</v>
      </c>
      <c r="K14" s="18">
        <f t="shared" si="0"/>
        <v>24.75</v>
      </c>
      <c r="L14" s="2">
        <f>0.001*(G14-$C$19+$C$20)</f>
        <v>5.5300000000000011E-3</v>
      </c>
      <c r="M14" s="2">
        <f t="shared" si="1"/>
        <v>2.5850000000000001E-2</v>
      </c>
      <c r="N14" s="2">
        <f t="shared" si="2"/>
        <v>8.5750000000000007E-2</v>
      </c>
      <c r="O14" s="2">
        <f t="shared" si="3"/>
        <v>0.10607000000000001</v>
      </c>
      <c r="P14" s="12">
        <f t="shared" si="4"/>
        <v>139.91303568597857</v>
      </c>
      <c r="Q14" s="12">
        <f t="shared" si="5"/>
        <v>29.067965022400237</v>
      </c>
      <c r="R14" s="12">
        <f t="shared" si="6"/>
        <v>15.783145165346236</v>
      </c>
    </row>
    <row r="15" spans="2:18" x14ac:dyDescent="0.2">
      <c r="B15" s="1" t="s">
        <v>11</v>
      </c>
      <c r="C15" s="6" t="s">
        <v>20</v>
      </c>
      <c r="D15" s="6" t="s">
        <v>20</v>
      </c>
      <c r="G15" s="3">
        <v>16.850000000000001</v>
      </c>
      <c r="H15" s="5">
        <v>46.6</v>
      </c>
      <c r="I15" s="5">
        <v>1.9</v>
      </c>
      <c r="K15" s="18">
        <f t="shared" si="0"/>
        <v>23.3</v>
      </c>
      <c r="L15" s="2">
        <f>0.001*(G15-$C$19+$C$20)</f>
        <v>6.4800000000000023E-3</v>
      </c>
      <c r="M15" s="2">
        <f t="shared" si="1"/>
        <v>2.6800000000000004E-2</v>
      </c>
      <c r="N15" s="2">
        <f t="shared" si="2"/>
        <v>8.6699999999999999E-2</v>
      </c>
      <c r="O15" s="2">
        <f t="shared" si="3"/>
        <v>0.10702</v>
      </c>
      <c r="P15" s="12">
        <f t="shared" si="4"/>
        <v>114.81757728516916</v>
      </c>
      <c r="Q15" s="12">
        <f t="shared" si="5"/>
        <v>23.854198460626375</v>
      </c>
      <c r="R15" s="12">
        <f t="shared" si="6"/>
        <v>14.354485669151209</v>
      </c>
    </row>
    <row r="16" spans="2:18" x14ac:dyDescent="0.2">
      <c r="B16" s="1" t="s">
        <v>12</v>
      </c>
      <c r="C16" s="3">
        <v>34</v>
      </c>
      <c r="D16" s="3">
        <v>34</v>
      </c>
      <c r="G16" s="3">
        <v>17.97</v>
      </c>
      <c r="H16" s="5">
        <v>44.9</v>
      </c>
      <c r="I16" s="5">
        <v>1.78</v>
      </c>
      <c r="K16" s="18">
        <f t="shared" si="0"/>
        <v>22.45</v>
      </c>
      <c r="L16" s="2">
        <f>0.001*(G16-$C$19+$C$20)</f>
        <v>7.6E-3</v>
      </c>
      <c r="M16" s="2">
        <f t="shared" si="1"/>
        <v>2.792E-2</v>
      </c>
      <c r="N16" s="2">
        <f t="shared" si="2"/>
        <v>8.7819999999999995E-2</v>
      </c>
      <c r="O16" s="2">
        <f t="shared" si="3"/>
        <v>0.10814</v>
      </c>
      <c r="P16" s="12">
        <f t="shared" si="4"/>
        <v>93.622672705112393</v>
      </c>
      <c r="Q16" s="12">
        <f t="shared" si="5"/>
        <v>19.450800721698304</v>
      </c>
      <c r="R16" s="12">
        <f t="shared" si="6"/>
        <v>12.976616008429373</v>
      </c>
    </row>
    <row r="17" spans="2:18" x14ac:dyDescent="0.2">
      <c r="B17" s="1" t="s">
        <v>19</v>
      </c>
      <c r="C17" s="3">
        <v>0.16</v>
      </c>
      <c r="D17" s="3">
        <v>0.16</v>
      </c>
      <c r="G17" s="3">
        <v>18.66</v>
      </c>
      <c r="H17" s="5">
        <v>43.5</v>
      </c>
      <c r="I17" s="5">
        <v>2</v>
      </c>
      <c r="K17" s="18">
        <f t="shared" si="0"/>
        <v>21.75</v>
      </c>
      <c r="L17" s="2">
        <f>0.001*(G17-$C$19+$C$20)</f>
        <v>8.2900000000000005E-3</v>
      </c>
      <c r="M17" s="2">
        <f t="shared" si="1"/>
        <v>2.8610000000000003E-2</v>
      </c>
      <c r="N17" s="2">
        <f t="shared" si="2"/>
        <v>8.8510000000000005E-2</v>
      </c>
      <c r="O17" s="2">
        <f t="shared" si="3"/>
        <v>0.10883000000000001</v>
      </c>
      <c r="P17" s="12">
        <f t="shared" si="4"/>
        <v>83.564932496927185</v>
      </c>
      <c r="Q17" s="12">
        <f t="shared" si="5"/>
        <v>17.36123101761379</v>
      </c>
      <c r="R17" s="12">
        <f t="shared" si="6"/>
        <v>12.252162888712624</v>
      </c>
    </row>
    <row r="18" spans="2:18" x14ac:dyDescent="0.2">
      <c r="B18" s="1" t="s">
        <v>15</v>
      </c>
      <c r="C18" s="3">
        <v>120</v>
      </c>
      <c r="D18" s="2" t="s">
        <v>14</v>
      </c>
      <c r="G18" s="3">
        <v>19.809999999999999</v>
      </c>
      <c r="H18" s="5">
        <v>41.5</v>
      </c>
      <c r="I18" s="5">
        <v>2</v>
      </c>
      <c r="K18" s="18">
        <f t="shared" si="0"/>
        <v>20.75</v>
      </c>
      <c r="L18" s="2">
        <f>0.001*(G18-$C$19+$C$20)</f>
        <v>9.4400000000000005E-3</v>
      </c>
      <c r="M18" s="2">
        <f t="shared" si="1"/>
        <v>2.9760000000000002E-2</v>
      </c>
      <c r="N18" s="2">
        <f t="shared" si="2"/>
        <v>8.9660000000000004E-2</v>
      </c>
      <c r="O18" s="2">
        <f t="shared" si="3"/>
        <v>0.10998000000000001</v>
      </c>
      <c r="P18" s="12">
        <f t="shared" si="4"/>
        <v>70.269369541779753</v>
      </c>
      <c r="Q18" s="12">
        <f t="shared" si="5"/>
        <v>14.598979758905116</v>
      </c>
      <c r="R18" s="12">
        <f t="shared" si="6"/>
        <v>11.206259923151407</v>
      </c>
    </row>
    <row r="19" spans="2:18" x14ac:dyDescent="0.2">
      <c r="B19" s="1" t="s">
        <v>35</v>
      </c>
      <c r="C19" s="11">
        <v>12.19</v>
      </c>
      <c r="D19" s="11"/>
      <c r="G19" s="3">
        <v>20.62</v>
      </c>
      <c r="H19" s="5">
        <v>40.299999999999997</v>
      </c>
      <c r="I19" s="5"/>
      <c r="K19" s="18">
        <f t="shared" si="0"/>
        <v>20.149999999999999</v>
      </c>
      <c r="L19" s="2">
        <f>0.001*(G19-$C$19+$C$20)</f>
        <v>1.0250000000000002E-2</v>
      </c>
      <c r="M19" s="2">
        <f t="shared" si="1"/>
        <v>3.0570000000000003E-2</v>
      </c>
      <c r="N19" s="2">
        <f t="shared" si="2"/>
        <v>9.0469999999999995E-2</v>
      </c>
      <c r="O19" s="2">
        <f t="shared" si="3"/>
        <v>0.11079</v>
      </c>
      <c r="P19" s="12">
        <f t="shared" si="4"/>
        <v>62.821864170108057</v>
      </c>
      <c r="Q19" s="12">
        <f t="shared" si="5"/>
        <v>13.051705592588204</v>
      </c>
      <c r="R19" s="12">
        <f t="shared" si="6"/>
        <v>10.567409311644818</v>
      </c>
    </row>
    <row r="20" spans="2:18" x14ac:dyDescent="0.2">
      <c r="B20" s="1" t="s">
        <v>34</v>
      </c>
      <c r="C20" s="11">
        <v>1.82</v>
      </c>
      <c r="D20" s="11"/>
    </row>
    <row r="21" spans="2:18" x14ac:dyDescent="0.2">
      <c r="B21" s="1" t="s">
        <v>48</v>
      </c>
      <c r="C21" s="14">
        <f>4*PI()*0.0000001</f>
        <v>1.2566370614359173E-6</v>
      </c>
      <c r="D21" s="14"/>
    </row>
    <row r="23" spans="2:18" x14ac:dyDescent="0.2">
      <c r="B23" s="1" t="s">
        <v>32</v>
      </c>
      <c r="C23" s="14">
        <f>2*H5*H7/C18</f>
        <v>47166.666666666664</v>
      </c>
      <c r="D23" s="14"/>
    </row>
    <row r="24" spans="2:18" x14ac:dyDescent="0.2">
      <c r="B24" s="1" t="s">
        <v>41</v>
      </c>
      <c r="C24" s="2">
        <f>(C9-C17)*0.001</f>
        <v>7.9909999999999995E-2</v>
      </c>
      <c r="D24" s="2">
        <f>(D9-D17)*0.001</f>
        <v>5.0340000000000003E-2</v>
      </c>
    </row>
    <row r="25" spans="2:18" x14ac:dyDescent="0.2">
      <c r="B25" s="1" t="s">
        <v>42</v>
      </c>
      <c r="C25" s="2">
        <f>(C10-C17)*0.001</f>
        <v>8.022E-2</v>
      </c>
      <c r="D25" s="2">
        <f>(D10-D17)*0.001</f>
        <v>2.0320000000000001E-2</v>
      </c>
    </row>
    <row r="28" spans="2:18" x14ac:dyDescent="0.2">
      <c r="B28" s="1" t="s">
        <v>46</v>
      </c>
      <c r="C28" s="15">
        <f>C11*D11*D24*C23</f>
        <v>59359.250000000007</v>
      </c>
      <c r="D28" s="15"/>
    </row>
    <row r="29" spans="2:18" x14ac:dyDescent="0.2">
      <c r="B29" s="1" t="s">
        <v>47</v>
      </c>
      <c r="C29" s="16">
        <v>3.4999999999999999E-9</v>
      </c>
      <c r="D29" s="17"/>
    </row>
    <row r="31" spans="2:18" x14ac:dyDescent="0.2">
      <c r="B31" s="1" t="s">
        <v>45</v>
      </c>
      <c r="C31" s="16">
        <f>C28*C21/(2*PI())</f>
        <v>1.1871850000000001E-2</v>
      </c>
      <c r="D31" s="17"/>
    </row>
  </sheetData>
  <mergeCells count="10">
    <mergeCell ref="C31:D31"/>
    <mergeCell ref="C29:D29"/>
    <mergeCell ref="J4:R7"/>
    <mergeCell ref="C4:D4"/>
    <mergeCell ref="C5:D5"/>
    <mergeCell ref="C19:D19"/>
    <mergeCell ref="C20:D20"/>
    <mergeCell ref="C23:D23"/>
    <mergeCell ref="C28:D28"/>
    <mergeCell ref="C21:D21"/>
  </mergeCells>
  <phoneticPr fontId="3" type="noConversion"/>
  <pageMargins left="0.7" right="0.7" top="0.75" bottom="0.75" header="0.3" footer="0.3"/>
  <pageSetup scale="45" orientation="landscape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4:T35"/>
  <sheetViews>
    <sheetView showGridLines="0" topLeftCell="C14" zoomScale="91" workbookViewId="0">
      <selection activeCell="N11" sqref="N11"/>
    </sheetView>
  </sheetViews>
  <sheetFormatPr baseColWidth="10" defaultRowHeight="16" x14ac:dyDescent="0.2"/>
  <cols>
    <col min="2" max="2" width="28" bestFit="1" customWidth="1"/>
    <col min="3" max="3" width="14.83203125" customWidth="1"/>
    <col min="4" max="4" width="13.5" customWidth="1"/>
    <col min="5" max="5" width="5.33203125" customWidth="1"/>
    <col min="6" max="6" width="3.83203125" customWidth="1"/>
    <col min="7" max="7" width="17.6640625" bestFit="1" customWidth="1"/>
    <col min="8" max="8" width="18.6640625" bestFit="1" customWidth="1"/>
    <col min="9" max="9" width="19.83203125" bestFit="1" customWidth="1"/>
    <col min="10" max="10" width="13" customWidth="1"/>
    <col min="11" max="11" width="19" customWidth="1"/>
    <col min="15" max="15" width="10.6640625" bestFit="1" customWidth="1"/>
    <col min="16" max="16" width="20.1640625" bestFit="1" customWidth="1"/>
    <col min="17" max="18" width="12.6640625" bestFit="1" customWidth="1"/>
    <col min="19" max="19" width="16.5" bestFit="1" customWidth="1"/>
    <col min="20" max="20" width="15" bestFit="1" customWidth="1"/>
  </cols>
  <sheetData>
    <row r="4" spans="2:20" x14ac:dyDescent="0.2">
      <c r="B4" s="1" t="s">
        <v>0</v>
      </c>
      <c r="C4" s="19">
        <v>42431</v>
      </c>
      <c r="D4" s="19"/>
      <c r="G4" s="1" t="s">
        <v>18</v>
      </c>
      <c r="H4" s="13" t="s">
        <v>50</v>
      </c>
    </row>
    <row r="5" spans="2:20" x14ac:dyDescent="0.2">
      <c r="B5" s="1" t="s">
        <v>1</v>
      </c>
      <c r="C5" s="11"/>
      <c r="D5" s="11"/>
      <c r="G5" s="1" t="s">
        <v>17</v>
      </c>
      <c r="H5" s="5">
        <v>200000</v>
      </c>
    </row>
    <row r="6" spans="2:20" x14ac:dyDescent="0.2">
      <c r="G6" s="1" t="s">
        <v>13</v>
      </c>
      <c r="H6" s="6" t="s">
        <v>33</v>
      </c>
    </row>
    <row r="7" spans="2:20" x14ac:dyDescent="0.2">
      <c r="B7" s="4"/>
      <c r="C7" s="8" t="s">
        <v>2</v>
      </c>
      <c r="D7" s="8" t="s">
        <v>3</v>
      </c>
      <c r="G7" s="1" t="s">
        <v>16</v>
      </c>
      <c r="H7" s="3">
        <v>7.37</v>
      </c>
      <c r="I7" s="3" t="s">
        <v>54</v>
      </c>
    </row>
    <row r="8" spans="2:20" x14ac:dyDescent="0.2">
      <c r="B8" s="1" t="s">
        <v>21</v>
      </c>
      <c r="C8" s="7" t="s">
        <v>23</v>
      </c>
      <c r="D8" s="7" t="s">
        <v>52</v>
      </c>
    </row>
    <row r="9" spans="2:20" x14ac:dyDescent="0.2">
      <c r="B9" s="1" t="s">
        <v>39</v>
      </c>
      <c r="C9" s="5">
        <v>80.069999999999993</v>
      </c>
      <c r="D9" s="5">
        <v>50.3</v>
      </c>
    </row>
    <row r="10" spans="2:20" x14ac:dyDescent="0.2">
      <c r="B10" s="1" t="s">
        <v>40</v>
      </c>
      <c r="C10" s="5">
        <v>80.38</v>
      </c>
      <c r="D10" s="5">
        <v>60.75</v>
      </c>
      <c r="G10" s="8" t="s">
        <v>36</v>
      </c>
      <c r="H10" s="8" t="s">
        <v>49</v>
      </c>
      <c r="I10" s="8" t="s">
        <v>51</v>
      </c>
      <c r="K10" s="8" t="s">
        <v>37</v>
      </c>
      <c r="L10" s="8" t="s">
        <v>24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43</v>
      </c>
      <c r="R10" s="8" t="s">
        <v>44</v>
      </c>
      <c r="S10" s="8" t="s">
        <v>56</v>
      </c>
      <c r="T10" s="8" t="s">
        <v>57</v>
      </c>
    </row>
    <row r="11" spans="2:20" x14ac:dyDescent="0.2">
      <c r="B11" s="1" t="s">
        <v>6</v>
      </c>
      <c r="C11" s="3">
        <v>5</v>
      </c>
      <c r="D11" s="3">
        <v>10</v>
      </c>
      <c r="G11" s="3">
        <v>13.2</v>
      </c>
      <c r="H11" s="5">
        <v>188</v>
      </c>
      <c r="I11" s="5" t="s">
        <v>14</v>
      </c>
      <c r="K11" s="18">
        <f>H11/2</f>
        <v>94</v>
      </c>
      <c r="L11" s="2">
        <f>0.001*(G11-$C$19+$C$20)</f>
        <v>2.5400000000000002E-3</v>
      </c>
      <c r="M11" s="2">
        <f>L11+$D$25</f>
        <v>6.3130000000000006E-2</v>
      </c>
      <c r="N11" s="2">
        <f>L11+$C$25</f>
        <v>8.276E-2</v>
      </c>
      <c r="O11" s="2">
        <f>L11+$C$25+$D$25</f>
        <v>0.14335000000000001</v>
      </c>
      <c r="P11" s="12">
        <f>1/L11-1/M11-1/N11+1/O11</f>
        <v>372.75325900596363</v>
      </c>
      <c r="Q11" s="12">
        <f>$C$28*$C$29*P11*1000</f>
        <v>233.74770407136475</v>
      </c>
      <c r="R11" s="12">
        <f>$C$31*(LN(M11/L11)+LN(N11/O11))*1000</f>
        <v>119.31118788290024</v>
      </c>
      <c r="S11" s="12">
        <f>$C$31*LN(M11/L11)*1000</f>
        <v>143.917273043812</v>
      </c>
      <c r="T11" s="12">
        <f>$C$31*(LN(N11/O11))*1000</f>
        <v>-24.606085160911764</v>
      </c>
    </row>
    <row r="12" spans="2:20" x14ac:dyDescent="0.2">
      <c r="B12" s="1" t="s">
        <v>7</v>
      </c>
      <c r="C12" s="3">
        <v>2.2999999999999998</v>
      </c>
      <c r="D12" s="3">
        <v>3</v>
      </c>
      <c r="G12" s="3">
        <v>13.49</v>
      </c>
      <c r="H12" s="5">
        <v>181.6</v>
      </c>
      <c r="I12" s="5" t="s">
        <v>14</v>
      </c>
      <c r="K12" s="18">
        <f t="shared" ref="K12:K21" si="0">H12/2</f>
        <v>90.8</v>
      </c>
      <c r="L12" s="2">
        <f>0.001*(G12-$C$19+$C$20)</f>
        <v>2.8300000000000009E-3</v>
      </c>
      <c r="M12" s="2">
        <f t="shared" ref="M12:M21" si="1">L12+$D$25</f>
        <v>6.3420000000000004E-2</v>
      </c>
      <c r="N12" s="2">
        <f t="shared" ref="N12:N20" si="2">L12+$C$25</f>
        <v>8.3049999999999999E-2</v>
      </c>
      <c r="O12" s="2">
        <f t="shared" ref="O12:O20" si="3">L12+$C$25+$D$25</f>
        <v>0.14363999999999999</v>
      </c>
      <c r="P12" s="12">
        <f t="shared" ref="P12:P20" si="4">1/L12-1/M12-1/N12+1/O12</f>
        <v>332.50990377062044</v>
      </c>
      <c r="Q12" s="12">
        <f t="shared" ref="Q12:Q21" si="5">$C$28*$C$29*P12*1000</f>
        <v>208.51172916540338</v>
      </c>
      <c r="R12" s="12">
        <f t="shared" ref="R12:R21" si="6">$C$31*(LN(M12/L12)+LN(N12/O12))*1000</f>
        <v>114.74008185769046</v>
      </c>
      <c r="S12" s="12">
        <f t="shared" ref="S12:S21" si="7">$C$31*LN(M12/L12)*1000</f>
        <v>139.28000935284481</v>
      </c>
      <c r="T12" s="12">
        <f t="shared" ref="T12:T21" si="8">$C$31*(LN(N12/O12))*1000</f>
        <v>-24.539927495154359</v>
      </c>
    </row>
    <row r="13" spans="2:20" x14ac:dyDescent="0.2">
      <c r="B13" s="1" t="s">
        <v>8</v>
      </c>
      <c r="C13" s="2" t="s">
        <v>9</v>
      </c>
      <c r="D13" s="2" t="s">
        <v>9</v>
      </c>
      <c r="G13" s="3">
        <v>14.77</v>
      </c>
      <c r="H13" s="5">
        <v>150.6</v>
      </c>
      <c r="I13" s="5" t="s">
        <v>14</v>
      </c>
      <c r="K13" s="18">
        <f t="shared" si="0"/>
        <v>75.3</v>
      </c>
      <c r="L13" s="2">
        <f>0.001*(G13-$C$19+$C$20)</f>
        <v>4.1100000000000008E-3</v>
      </c>
      <c r="M13" s="2">
        <f t="shared" si="1"/>
        <v>6.4700000000000008E-2</v>
      </c>
      <c r="N13" s="2">
        <f t="shared" si="2"/>
        <v>8.4330000000000002E-2</v>
      </c>
      <c r="O13" s="2">
        <f t="shared" si="3"/>
        <v>0.14491999999999999</v>
      </c>
      <c r="P13" s="12">
        <f t="shared" si="4"/>
        <v>222.89523449829176</v>
      </c>
      <c r="Q13" s="12">
        <f t="shared" si="5"/>
        <v>139.77409466885595</v>
      </c>
      <c r="R13" s="12">
        <f t="shared" si="6"/>
        <v>99.208940538776375</v>
      </c>
      <c r="S13" s="12">
        <f t="shared" si="7"/>
        <v>123.46116442144547</v>
      </c>
      <c r="T13" s="12">
        <f t="shared" si="8"/>
        <v>-24.252223882669099</v>
      </c>
    </row>
    <row r="14" spans="2:20" x14ac:dyDescent="0.2">
      <c r="B14" s="1" t="s">
        <v>10</v>
      </c>
      <c r="C14" s="6" t="s">
        <v>38</v>
      </c>
      <c r="D14" s="6" t="s">
        <v>38</v>
      </c>
      <c r="G14" s="3">
        <v>17.04</v>
      </c>
      <c r="H14" s="5">
        <v>118.7</v>
      </c>
      <c r="I14" s="5" t="s">
        <v>14</v>
      </c>
      <c r="K14" s="18">
        <f t="shared" si="0"/>
        <v>59.35</v>
      </c>
      <c r="L14" s="2">
        <f>0.001*(G14-$C$19+$C$20)</f>
        <v>6.3800000000000003E-3</v>
      </c>
      <c r="M14" s="2">
        <f t="shared" si="1"/>
        <v>6.6970000000000002E-2</v>
      </c>
      <c r="N14" s="2">
        <f t="shared" si="2"/>
        <v>8.6599999999999996E-2</v>
      </c>
      <c r="O14" s="2">
        <f t="shared" si="3"/>
        <v>0.14718999999999999</v>
      </c>
      <c r="P14" s="12">
        <f t="shared" si="4"/>
        <v>137.05434847611033</v>
      </c>
      <c r="Q14" s="12">
        <f t="shared" si="5"/>
        <v>85.944625607619429</v>
      </c>
      <c r="R14" s="12">
        <f t="shared" si="6"/>
        <v>81.550168145515499</v>
      </c>
      <c r="S14" s="12">
        <f t="shared" si="7"/>
        <v>105.30879882626297</v>
      </c>
      <c r="T14" s="12">
        <f t="shared" si="8"/>
        <v>-23.75863068074748</v>
      </c>
    </row>
    <row r="15" spans="2:20" x14ac:dyDescent="0.2">
      <c r="B15" s="1" t="s">
        <v>11</v>
      </c>
      <c r="C15" s="6" t="s">
        <v>20</v>
      </c>
      <c r="D15" s="6" t="s">
        <v>20</v>
      </c>
      <c r="G15" s="3">
        <v>18.97</v>
      </c>
      <c r="H15" s="5">
        <v>98.9</v>
      </c>
      <c r="I15" s="5" t="s">
        <v>14</v>
      </c>
      <c r="K15" s="18">
        <f t="shared" si="0"/>
        <v>49.45</v>
      </c>
      <c r="L15" s="2">
        <f>0.001*(G15-$C$19+$C$20)</f>
        <v>8.3099999999999997E-3</v>
      </c>
      <c r="M15" s="2">
        <f t="shared" si="1"/>
        <v>6.8900000000000003E-2</v>
      </c>
      <c r="N15" s="2">
        <f t="shared" si="2"/>
        <v>8.8529999999999998E-2</v>
      </c>
      <c r="O15" s="2">
        <f t="shared" si="3"/>
        <v>0.14912</v>
      </c>
      <c r="P15" s="12">
        <f t="shared" si="4"/>
        <v>101.23355791737143</v>
      </c>
      <c r="Q15" s="12">
        <f t="shared" si="5"/>
        <v>63.481971428672388</v>
      </c>
      <c r="R15" s="12">
        <f t="shared" si="6"/>
        <v>71.388468670187109</v>
      </c>
      <c r="S15" s="12">
        <f t="shared" si="7"/>
        <v>94.743320673049396</v>
      </c>
      <c r="T15" s="12">
        <f t="shared" si="8"/>
        <v>-23.354852002862284</v>
      </c>
    </row>
    <row r="16" spans="2:20" x14ac:dyDescent="0.2">
      <c r="B16" s="1" t="s">
        <v>12</v>
      </c>
      <c r="C16" s="3">
        <v>34</v>
      </c>
      <c r="D16" s="3">
        <v>34</v>
      </c>
      <c r="G16" s="3">
        <v>22.84</v>
      </c>
      <c r="H16" s="5">
        <v>76.599999999999994</v>
      </c>
      <c r="I16" s="5" t="s">
        <v>14</v>
      </c>
      <c r="K16" s="18">
        <f t="shared" si="0"/>
        <v>38.299999999999997</v>
      </c>
      <c r="L16" s="2">
        <f>0.001*(G16-$C$19+$C$20)</f>
        <v>1.218E-2</v>
      </c>
      <c r="M16" s="2">
        <f t="shared" si="1"/>
        <v>7.2770000000000001E-2</v>
      </c>
      <c r="N16" s="2">
        <f t="shared" si="2"/>
        <v>9.2399999999999996E-2</v>
      </c>
      <c r="O16" s="2">
        <f t="shared" si="3"/>
        <v>0.15299000000000001</v>
      </c>
      <c r="P16" s="12">
        <f t="shared" si="4"/>
        <v>64.073743725580371</v>
      </c>
      <c r="Q16" s="12">
        <f t="shared" si="5"/>
        <v>40.179636596743499</v>
      </c>
      <c r="R16" s="12">
        <f t="shared" si="6"/>
        <v>57.479571357800687</v>
      </c>
      <c r="S16" s="12">
        <f t="shared" si="7"/>
        <v>80.06560496236122</v>
      </c>
      <c r="T16" s="12">
        <f t="shared" si="8"/>
        <v>-22.586033604560527</v>
      </c>
    </row>
    <row r="17" spans="2:20" x14ac:dyDescent="0.2">
      <c r="B17" s="1" t="s">
        <v>19</v>
      </c>
      <c r="C17" s="3">
        <v>0.16</v>
      </c>
      <c r="D17" s="3">
        <v>0.16</v>
      </c>
      <c r="G17" s="3">
        <v>24.45</v>
      </c>
      <c r="H17" s="5">
        <v>68</v>
      </c>
      <c r="I17" s="5" t="s">
        <v>14</v>
      </c>
      <c r="K17" s="18">
        <f t="shared" si="0"/>
        <v>34</v>
      </c>
      <c r="L17" s="2">
        <f>0.001*(G17-$C$19+$C$20)</f>
        <v>1.379E-2</v>
      </c>
      <c r="M17" s="2">
        <f t="shared" si="1"/>
        <v>7.4380000000000002E-2</v>
      </c>
      <c r="N17" s="2">
        <f t="shared" si="2"/>
        <v>9.4009999999999996E-2</v>
      </c>
      <c r="O17" s="2">
        <f t="shared" si="3"/>
        <v>0.15460000000000002</v>
      </c>
      <c r="P17" s="12">
        <f t="shared" si="4"/>
        <v>54.902980895186175</v>
      </c>
      <c r="Q17" s="12">
        <f t="shared" si="5"/>
        <v>34.428795512471829</v>
      </c>
      <c r="R17" s="12">
        <f t="shared" si="6"/>
        <v>53.203774046832798</v>
      </c>
      <c r="S17" s="12">
        <f t="shared" si="7"/>
        <v>75.484972826376108</v>
      </c>
      <c r="T17" s="12">
        <f t="shared" si="8"/>
        <v>-22.28119877954331</v>
      </c>
    </row>
    <row r="18" spans="2:20" x14ac:dyDescent="0.2">
      <c r="B18" s="1" t="s">
        <v>15</v>
      </c>
      <c r="C18" s="3">
        <v>33</v>
      </c>
      <c r="D18" s="2" t="s">
        <v>14</v>
      </c>
      <c r="G18" s="3">
        <v>26.9</v>
      </c>
      <c r="H18" s="5">
        <v>57.4</v>
      </c>
      <c r="I18" s="5" t="s">
        <v>14</v>
      </c>
      <c r="K18" s="18">
        <f t="shared" si="0"/>
        <v>28.7</v>
      </c>
      <c r="L18" s="2">
        <f>0.001*(G18-$C$19+$C$20)</f>
        <v>1.6239999999999997E-2</v>
      </c>
      <c r="M18" s="2">
        <f t="shared" si="1"/>
        <v>7.6830000000000009E-2</v>
      </c>
      <c r="N18" s="2">
        <f t="shared" si="2"/>
        <v>9.645999999999999E-2</v>
      </c>
      <c r="O18" s="2">
        <f t="shared" si="3"/>
        <v>0.15705</v>
      </c>
      <c r="P18" s="12">
        <f t="shared" si="4"/>
        <v>44.561013041919985</v>
      </c>
      <c r="Q18" s="12">
        <f t="shared" si="5"/>
        <v>27.94351018531616</v>
      </c>
      <c r="R18" s="12">
        <f t="shared" si="6"/>
        <v>47.778537612650588</v>
      </c>
      <c r="S18" s="12">
        <f t="shared" si="7"/>
        <v>69.611632491480378</v>
      </c>
      <c r="T18" s="12">
        <f t="shared" si="8"/>
        <v>-21.833094878829794</v>
      </c>
    </row>
    <row r="19" spans="2:20" x14ac:dyDescent="0.2">
      <c r="B19" s="1" t="s">
        <v>35</v>
      </c>
      <c r="C19" s="11">
        <v>13.2</v>
      </c>
      <c r="D19" s="11"/>
      <c r="G19" s="3">
        <v>32.270000000000003</v>
      </c>
      <c r="H19" s="5">
        <v>42.8</v>
      </c>
      <c r="I19" s="5" t="s">
        <v>14</v>
      </c>
      <c r="K19" s="18">
        <f t="shared" si="0"/>
        <v>21.4</v>
      </c>
      <c r="L19" s="2">
        <f>0.001*(G19-$C$19+$C$20)</f>
        <v>2.1610000000000004E-2</v>
      </c>
      <c r="M19" s="2">
        <f t="shared" si="1"/>
        <v>8.2200000000000009E-2</v>
      </c>
      <c r="N19" s="2">
        <f t="shared" si="2"/>
        <v>0.10183</v>
      </c>
      <c r="O19" s="2">
        <f t="shared" si="3"/>
        <v>0.16242000000000001</v>
      </c>
      <c r="P19" s="12">
        <f t="shared" si="4"/>
        <v>30.446011137825174</v>
      </c>
      <c r="Q19" s="12">
        <f t="shared" si="5"/>
        <v>19.092214567288263</v>
      </c>
      <c r="R19" s="12">
        <f t="shared" si="6"/>
        <v>38.929315794891707</v>
      </c>
      <c r="S19" s="12">
        <f t="shared" si="7"/>
        <v>59.841716833654175</v>
      </c>
      <c r="T19" s="12">
        <f t="shared" si="8"/>
        <v>-20.912401038762464</v>
      </c>
    </row>
    <row r="20" spans="2:20" x14ac:dyDescent="0.2">
      <c r="B20" s="1" t="s">
        <v>34</v>
      </c>
      <c r="C20" s="11">
        <v>2.54</v>
      </c>
      <c r="D20" s="11"/>
      <c r="G20" s="3">
        <v>36.65</v>
      </c>
      <c r="H20" s="5">
        <v>36</v>
      </c>
      <c r="I20" s="5" t="s">
        <v>14</v>
      </c>
      <c r="K20" s="18">
        <f t="shared" si="0"/>
        <v>18</v>
      </c>
      <c r="L20" s="2">
        <f>0.001*(G20-$C$19+$C$20)</f>
        <v>2.5989999999999999E-2</v>
      </c>
      <c r="M20" s="2">
        <f t="shared" si="1"/>
        <v>8.6580000000000004E-2</v>
      </c>
      <c r="N20" s="2">
        <f t="shared" si="2"/>
        <v>0.10621</v>
      </c>
      <c r="O20" s="2">
        <f t="shared" si="3"/>
        <v>0.1668</v>
      </c>
      <c r="P20" s="12">
        <f t="shared" si="4"/>
        <v>23.506220046721218</v>
      </c>
      <c r="Q20" s="12">
        <f t="shared" si="5"/>
        <v>14.740380760103472</v>
      </c>
      <c r="R20" s="12">
        <f t="shared" si="6"/>
        <v>33.682477319565088</v>
      </c>
      <c r="S20" s="12">
        <f t="shared" si="7"/>
        <v>53.900445551402399</v>
      </c>
      <c r="T20" s="12">
        <f t="shared" si="8"/>
        <v>-20.217968231837315</v>
      </c>
    </row>
    <row r="21" spans="2:20" x14ac:dyDescent="0.2">
      <c r="B21" s="1" t="s">
        <v>48</v>
      </c>
      <c r="C21" s="14">
        <f>4*PI()*0.0000001</f>
        <v>1.2566370614359173E-6</v>
      </c>
      <c r="D21" s="14"/>
      <c r="G21" s="3">
        <v>54.5</v>
      </c>
      <c r="H21" s="5">
        <v>16.8</v>
      </c>
      <c r="I21" s="5" t="s">
        <v>14</v>
      </c>
      <c r="K21" s="18">
        <f t="shared" si="0"/>
        <v>8.4</v>
      </c>
      <c r="L21" s="2">
        <f>0.001*(G21-$C$19+$C$20)</f>
        <v>4.3839999999999997E-2</v>
      </c>
      <c r="M21" s="2">
        <f t="shared" si="1"/>
        <v>0.10443</v>
      </c>
      <c r="N21" s="2">
        <f t="shared" ref="N21" si="9">L21+$C$25</f>
        <v>0.12406</v>
      </c>
      <c r="O21" s="2">
        <f t="shared" ref="O21" si="10">L21+$C$25+$D$25</f>
        <v>0.18465000000000001</v>
      </c>
      <c r="P21" s="12">
        <f t="shared" ref="P21" si="11">1/L21-1/M21-1/N21+1/O21</f>
        <v>10.589461982292516</v>
      </c>
      <c r="Q21" s="12">
        <f t="shared" si="5"/>
        <v>6.6404850015604477</v>
      </c>
      <c r="R21" s="12">
        <f t="shared" si="6"/>
        <v>21.064366374712304</v>
      </c>
      <c r="S21" s="12">
        <f t="shared" si="7"/>
        <v>38.877896362213782</v>
      </c>
      <c r="T21" s="12">
        <f t="shared" si="8"/>
        <v>-17.813529987501482</v>
      </c>
    </row>
    <row r="22" spans="2:20" x14ac:dyDescent="0.2">
      <c r="H22" s="11" t="s">
        <v>55</v>
      </c>
      <c r="I22" s="11"/>
    </row>
    <row r="23" spans="2:20" x14ac:dyDescent="0.2">
      <c r="B23" s="1" t="s">
        <v>32</v>
      </c>
      <c r="C23" s="14">
        <f>2*H5*H7/C18</f>
        <v>89333.333333333328</v>
      </c>
      <c r="D23" s="14"/>
    </row>
    <row r="24" spans="2:20" x14ac:dyDescent="0.2">
      <c r="B24" s="1" t="s">
        <v>41</v>
      </c>
      <c r="C24" s="2">
        <f>(C9-C17)*0.001</f>
        <v>7.9909999999999995E-2</v>
      </c>
      <c r="D24" s="2">
        <f>(D9-D17)*0.001</f>
        <v>5.0140000000000004E-2</v>
      </c>
    </row>
    <row r="25" spans="2:20" x14ac:dyDescent="0.2">
      <c r="B25" s="1" t="s">
        <v>42</v>
      </c>
      <c r="C25" s="2">
        <f>(C10-C17)*0.001</f>
        <v>8.022E-2</v>
      </c>
      <c r="D25" s="2">
        <f>(D10-D17)*0.001</f>
        <v>6.0590000000000005E-2</v>
      </c>
    </row>
    <row r="28" spans="2:20" x14ac:dyDescent="0.2">
      <c r="B28" s="1" t="s">
        <v>46</v>
      </c>
      <c r="C28" s="15">
        <f>C11*D11*D24*C23</f>
        <v>223958.66666666666</v>
      </c>
      <c r="D28" s="15"/>
    </row>
    <row r="29" spans="2:20" x14ac:dyDescent="0.2">
      <c r="B29" s="1" t="s">
        <v>47</v>
      </c>
      <c r="C29" s="16">
        <v>2.7999999999999998E-9</v>
      </c>
      <c r="D29" s="17"/>
    </row>
    <row r="31" spans="2:20" x14ac:dyDescent="0.2">
      <c r="B31" s="1" t="s">
        <v>45</v>
      </c>
      <c r="C31" s="16">
        <f>C28*C21/(2*PI())</f>
        <v>4.4791733333333326E-2</v>
      </c>
      <c r="D31" s="17"/>
    </row>
    <row r="35" spans="2:2" x14ac:dyDescent="0.2">
      <c r="B35" t="s">
        <v>53</v>
      </c>
    </row>
  </sheetData>
  <mergeCells count="10">
    <mergeCell ref="C28:D28"/>
    <mergeCell ref="C29:D29"/>
    <mergeCell ref="C31:D31"/>
    <mergeCell ref="H22:I22"/>
    <mergeCell ref="C4:D4"/>
    <mergeCell ref="C5:D5"/>
    <mergeCell ref="C19:D19"/>
    <mergeCell ref="C20:D20"/>
    <mergeCell ref="C21:D21"/>
    <mergeCell ref="C23:D23"/>
  </mergeCells>
  <phoneticPr fontId="3" type="noConversion"/>
  <pageMargins left="0.7" right="0.7" top="0.75" bottom="0.75" header="0.3" footer="0.3"/>
  <pageSetup scale="40" orientation="landscape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P31"/>
  <sheetViews>
    <sheetView showGridLines="0" zoomScale="102" workbookViewId="0">
      <selection activeCell="G10" sqref="G10:P31"/>
    </sheetView>
  </sheetViews>
  <sheetFormatPr baseColWidth="10" defaultRowHeight="16" x14ac:dyDescent="0.2"/>
  <cols>
    <col min="2" max="2" width="24.33203125" bestFit="1" customWidth="1"/>
    <col min="5" max="5" width="5.33203125" customWidth="1"/>
    <col min="6" max="6" width="3.83203125" customWidth="1"/>
    <col min="7" max="7" width="17.6640625" bestFit="1" customWidth="1"/>
    <col min="8" max="9" width="18.6640625" bestFit="1" customWidth="1"/>
    <col min="16" max="16" width="20.1640625" bestFit="1" customWidth="1"/>
  </cols>
  <sheetData>
    <row r="4" spans="2:16" x14ac:dyDescent="0.2">
      <c r="B4" s="1" t="s">
        <v>0</v>
      </c>
      <c r="C4" s="10"/>
      <c r="D4" s="10"/>
      <c r="G4" s="1" t="s">
        <v>18</v>
      </c>
      <c r="H4" s="3"/>
    </row>
    <row r="5" spans="2:16" x14ac:dyDescent="0.2">
      <c r="B5" s="1" t="s">
        <v>1</v>
      </c>
      <c r="C5" s="11"/>
      <c r="D5" s="11"/>
      <c r="G5" s="1" t="s">
        <v>17</v>
      </c>
      <c r="H5" s="3"/>
    </row>
    <row r="6" spans="2:16" x14ac:dyDescent="0.2">
      <c r="G6" s="1" t="s">
        <v>13</v>
      </c>
      <c r="H6" s="3"/>
    </row>
    <row r="7" spans="2:16" x14ac:dyDescent="0.2">
      <c r="B7" s="4"/>
      <c r="C7" s="8" t="s">
        <v>2</v>
      </c>
      <c r="D7" s="8" t="s">
        <v>3</v>
      </c>
      <c r="G7" s="1" t="s">
        <v>16</v>
      </c>
      <c r="H7" s="3"/>
    </row>
    <row r="8" spans="2:16" x14ac:dyDescent="0.2">
      <c r="B8" s="1" t="s">
        <v>21</v>
      </c>
      <c r="C8" s="3"/>
      <c r="D8" s="3"/>
    </row>
    <row r="9" spans="2:16" x14ac:dyDescent="0.2">
      <c r="B9" s="1" t="s">
        <v>4</v>
      </c>
      <c r="C9" s="3"/>
      <c r="D9" s="3"/>
    </row>
    <row r="10" spans="2:16" x14ac:dyDescent="0.2">
      <c r="B10" s="1" t="s">
        <v>5</v>
      </c>
      <c r="C10" s="3"/>
      <c r="D10" s="3"/>
      <c r="G10" s="8" t="s">
        <v>26</v>
      </c>
      <c r="H10" s="8" t="s">
        <v>25</v>
      </c>
      <c r="I10" s="8" t="s">
        <v>27</v>
      </c>
      <c r="L10" s="8" t="s">
        <v>24</v>
      </c>
      <c r="M10" s="8" t="s">
        <v>28</v>
      </c>
      <c r="N10" s="8" t="s">
        <v>29</v>
      </c>
      <c r="O10" s="8" t="s">
        <v>30</v>
      </c>
      <c r="P10" s="8" t="s">
        <v>31</v>
      </c>
    </row>
    <row r="11" spans="2:16" x14ac:dyDescent="0.2">
      <c r="B11" s="1" t="s">
        <v>6</v>
      </c>
      <c r="C11" s="3"/>
      <c r="D11" s="3"/>
      <c r="G11" s="3"/>
      <c r="H11" s="3"/>
      <c r="I11" s="3"/>
      <c r="L11" s="2"/>
      <c r="M11" s="2"/>
      <c r="N11" s="2"/>
      <c r="O11" s="2"/>
      <c r="P11" s="12" t="e">
        <f>1000*(1/L11+1/M11-1/N11-1/O11)</f>
        <v>#DIV/0!</v>
      </c>
    </row>
    <row r="12" spans="2:16" x14ac:dyDescent="0.2">
      <c r="B12" s="1" t="s">
        <v>7</v>
      </c>
      <c r="C12" s="3"/>
      <c r="D12" s="3"/>
      <c r="G12" s="3"/>
      <c r="H12" s="3"/>
      <c r="I12" s="3"/>
      <c r="L12" s="2"/>
      <c r="M12" s="2"/>
      <c r="N12" s="2"/>
      <c r="O12" s="2"/>
      <c r="P12" s="12" t="e">
        <f t="shared" ref="P12:P31" si="0">1000*(1/L12+1/M12-1/N12-1/O12)</f>
        <v>#DIV/0!</v>
      </c>
    </row>
    <row r="13" spans="2:16" x14ac:dyDescent="0.2">
      <c r="B13" s="1" t="s">
        <v>8</v>
      </c>
      <c r="C13" s="9" t="s">
        <v>9</v>
      </c>
      <c r="D13" s="9" t="s">
        <v>9</v>
      </c>
      <c r="G13" s="3"/>
      <c r="H13" s="3"/>
      <c r="I13" s="3"/>
      <c r="L13" s="2"/>
      <c r="M13" s="2"/>
      <c r="N13" s="2"/>
      <c r="O13" s="2"/>
      <c r="P13" s="12" t="e">
        <f t="shared" si="0"/>
        <v>#DIV/0!</v>
      </c>
    </row>
    <row r="14" spans="2:16" x14ac:dyDescent="0.2">
      <c r="B14" s="1" t="s">
        <v>10</v>
      </c>
      <c r="C14" s="3"/>
      <c r="D14" s="3"/>
      <c r="G14" s="3"/>
      <c r="H14" s="3"/>
      <c r="I14" s="3"/>
      <c r="L14" s="2"/>
      <c r="M14" s="2"/>
      <c r="N14" s="2"/>
      <c r="O14" s="2"/>
      <c r="P14" s="12" t="e">
        <f t="shared" si="0"/>
        <v>#DIV/0!</v>
      </c>
    </row>
    <row r="15" spans="2:16" x14ac:dyDescent="0.2">
      <c r="B15" s="1" t="s">
        <v>11</v>
      </c>
      <c r="C15" s="3"/>
      <c r="D15" s="3"/>
      <c r="G15" s="3"/>
      <c r="H15" s="3"/>
      <c r="I15" s="3"/>
      <c r="L15" s="2"/>
      <c r="M15" s="2"/>
      <c r="N15" s="2"/>
      <c r="O15" s="2"/>
      <c r="P15" s="12" t="e">
        <f t="shared" si="0"/>
        <v>#DIV/0!</v>
      </c>
    </row>
    <row r="16" spans="2:16" x14ac:dyDescent="0.2">
      <c r="B16" s="1" t="s">
        <v>12</v>
      </c>
      <c r="C16" s="3"/>
      <c r="D16" s="3"/>
      <c r="G16" s="3"/>
      <c r="H16" s="3"/>
      <c r="I16" s="3"/>
      <c r="L16" s="2"/>
      <c r="M16" s="2"/>
      <c r="N16" s="2"/>
      <c r="O16" s="2"/>
      <c r="P16" s="12" t="e">
        <f t="shared" si="0"/>
        <v>#DIV/0!</v>
      </c>
    </row>
    <row r="17" spans="2:16" x14ac:dyDescent="0.2">
      <c r="B17" s="1" t="s">
        <v>19</v>
      </c>
      <c r="C17" s="3"/>
      <c r="D17" s="3"/>
      <c r="G17" s="3"/>
      <c r="H17" s="3"/>
      <c r="I17" s="3"/>
      <c r="L17" s="2"/>
      <c r="M17" s="2"/>
      <c r="N17" s="2"/>
      <c r="O17" s="2"/>
      <c r="P17" s="12" t="e">
        <f t="shared" si="0"/>
        <v>#DIV/0!</v>
      </c>
    </row>
    <row r="18" spans="2:16" x14ac:dyDescent="0.2">
      <c r="B18" s="1" t="s">
        <v>15</v>
      </c>
      <c r="C18" s="3"/>
      <c r="D18" s="9" t="s">
        <v>14</v>
      </c>
      <c r="G18" s="3"/>
      <c r="H18" s="3"/>
      <c r="I18" s="3"/>
      <c r="L18" s="2"/>
      <c r="M18" s="2"/>
      <c r="N18" s="2"/>
      <c r="O18" s="2"/>
      <c r="P18" s="12" t="e">
        <f t="shared" si="0"/>
        <v>#DIV/0!</v>
      </c>
    </row>
    <row r="19" spans="2:16" x14ac:dyDescent="0.2">
      <c r="G19" s="3"/>
      <c r="H19" s="3"/>
      <c r="I19" s="3"/>
      <c r="L19" s="2"/>
      <c r="M19" s="2"/>
      <c r="N19" s="2"/>
      <c r="O19" s="2"/>
      <c r="P19" s="12" t="e">
        <f t="shared" si="0"/>
        <v>#DIV/0!</v>
      </c>
    </row>
    <row r="20" spans="2:16" x14ac:dyDescent="0.2">
      <c r="G20" s="3"/>
      <c r="H20" s="3"/>
      <c r="I20" s="3"/>
      <c r="L20" s="2"/>
      <c r="M20" s="2"/>
      <c r="N20" s="2"/>
      <c r="O20" s="2"/>
      <c r="P20" s="12" t="e">
        <f t="shared" si="0"/>
        <v>#DIV/0!</v>
      </c>
    </row>
    <row r="21" spans="2:16" x14ac:dyDescent="0.2">
      <c r="G21" s="3"/>
      <c r="H21" s="3"/>
      <c r="I21" s="3"/>
      <c r="L21" s="2"/>
      <c r="M21" s="2"/>
      <c r="N21" s="2"/>
      <c r="O21" s="2"/>
      <c r="P21" s="12" t="e">
        <f t="shared" si="0"/>
        <v>#DIV/0!</v>
      </c>
    </row>
    <row r="22" spans="2:16" x14ac:dyDescent="0.2">
      <c r="G22" s="3"/>
      <c r="H22" s="3"/>
      <c r="I22" s="3"/>
      <c r="L22" s="2"/>
      <c r="M22" s="2"/>
      <c r="N22" s="2"/>
      <c r="O22" s="2"/>
      <c r="P22" s="12" t="e">
        <f t="shared" si="0"/>
        <v>#DIV/0!</v>
      </c>
    </row>
    <row r="23" spans="2:16" x14ac:dyDescent="0.2">
      <c r="G23" s="3"/>
      <c r="H23" s="3"/>
      <c r="I23" s="3"/>
      <c r="L23" s="2"/>
      <c r="M23" s="2"/>
      <c r="N23" s="2"/>
      <c r="O23" s="2"/>
      <c r="P23" s="12" t="e">
        <f t="shared" si="0"/>
        <v>#DIV/0!</v>
      </c>
    </row>
    <row r="24" spans="2:16" x14ac:dyDescent="0.2">
      <c r="G24" s="3"/>
      <c r="H24" s="3"/>
      <c r="I24" s="3"/>
      <c r="L24" s="2"/>
      <c r="M24" s="2"/>
      <c r="N24" s="2"/>
      <c r="O24" s="2"/>
      <c r="P24" s="12" t="e">
        <f t="shared" si="0"/>
        <v>#DIV/0!</v>
      </c>
    </row>
    <row r="25" spans="2:16" x14ac:dyDescent="0.2">
      <c r="G25" s="3"/>
      <c r="H25" s="3"/>
      <c r="I25" s="3"/>
      <c r="L25" s="2"/>
      <c r="M25" s="2"/>
      <c r="N25" s="2"/>
      <c r="O25" s="2"/>
      <c r="P25" s="12" t="e">
        <f t="shared" si="0"/>
        <v>#DIV/0!</v>
      </c>
    </row>
    <row r="26" spans="2:16" x14ac:dyDescent="0.2">
      <c r="G26" s="3"/>
      <c r="H26" s="3"/>
      <c r="I26" s="3"/>
      <c r="L26" s="2"/>
      <c r="M26" s="2"/>
      <c r="N26" s="2"/>
      <c r="O26" s="2"/>
      <c r="P26" s="12" t="e">
        <f t="shared" si="0"/>
        <v>#DIV/0!</v>
      </c>
    </row>
    <row r="27" spans="2:16" x14ac:dyDescent="0.2">
      <c r="G27" s="3"/>
      <c r="H27" s="3"/>
      <c r="I27" s="3"/>
      <c r="L27" s="2"/>
      <c r="M27" s="2"/>
      <c r="N27" s="2"/>
      <c r="O27" s="2"/>
      <c r="P27" s="12" t="e">
        <f t="shared" si="0"/>
        <v>#DIV/0!</v>
      </c>
    </row>
    <row r="28" spans="2:16" x14ac:dyDescent="0.2">
      <c r="G28" s="3"/>
      <c r="H28" s="3"/>
      <c r="I28" s="3"/>
      <c r="L28" s="2"/>
      <c r="M28" s="2"/>
      <c r="N28" s="2"/>
      <c r="O28" s="2"/>
      <c r="P28" s="12" t="e">
        <f t="shared" si="0"/>
        <v>#DIV/0!</v>
      </c>
    </row>
    <row r="29" spans="2:16" x14ac:dyDescent="0.2">
      <c r="G29" s="3"/>
      <c r="H29" s="3"/>
      <c r="I29" s="3"/>
      <c r="L29" s="2"/>
      <c r="M29" s="2"/>
      <c r="N29" s="2"/>
      <c r="O29" s="2"/>
      <c r="P29" s="12" t="e">
        <f t="shared" si="0"/>
        <v>#DIV/0!</v>
      </c>
    </row>
    <row r="30" spans="2:16" x14ac:dyDescent="0.2">
      <c r="G30" s="3"/>
      <c r="H30" s="3"/>
      <c r="I30" s="3"/>
      <c r="L30" s="2"/>
      <c r="M30" s="2"/>
      <c r="N30" s="2"/>
      <c r="O30" s="2"/>
      <c r="P30" s="12" t="e">
        <f t="shared" si="0"/>
        <v>#DIV/0!</v>
      </c>
    </row>
    <row r="31" spans="2:16" x14ac:dyDescent="0.2">
      <c r="G31" s="3"/>
      <c r="H31" s="3"/>
      <c r="I31" s="3"/>
      <c r="L31" s="2"/>
      <c r="M31" s="2"/>
      <c r="N31" s="2"/>
      <c r="O31" s="2"/>
      <c r="P31" s="12" t="e">
        <f t="shared" si="0"/>
        <v>#DIV/0!</v>
      </c>
    </row>
  </sheetData>
  <mergeCells count="2">
    <mergeCell ref="C4:D4"/>
    <mergeCell ref="C5:D5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20x50 5-5</vt:lpstr>
      <vt:lpstr>60x50 5-10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2016-03-03T09:21:23Z</cp:lastPrinted>
  <dcterms:created xsi:type="dcterms:W3CDTF">2016-02-27T10:02:58Z</dcterms:created>
  <dcterms:modified xsi:type="dcterms:W3CDTF">2016-03-03T10:36:23Z</dcterms:modified>
</cp:coreProperties>
</file>