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lgunn/Bach/ExperimentalData/Induced EMF/"/>
    </mc:Choice>
  </mc:AlternateContent>
  <bookViews>
    <workbookView xWindow="1600" yWindow="460" windowWidth="26760" windowHeight="16640" tabRatio="500" activeTab="2"/>
  </bookViews>
  <sheets>
    <sheet name="Data" sheetId="1" r:id="rId1"/>
    <sheet name="Notes" sheetId="2" r:id="rId2"/>
    <sheet name="Updated format" sheetId="3" r:id="rId3"/>
  </sheets>
  <externalReferences>
    <externalReference r:id="rId4"/>
  </externalReferenc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1" i="3" l="1"/>
  <c r="J20" i="3"/>
  <c r="J19" i="3"/>
  <c r="J18" i="3"/>
  <c r="J17" i="3"/>
  <c r="J16" i="3"/>
  <c r="J15" i="3"/>
  <c r="J14" i="3"/>
  <c r="J13" i="3"/>
  <c r="J12" i="3"/>
  <c r="J11" i="3"/>
  <c r="C24" i="3"/>
  <c r="D25" i="3"/>
  <c r="C29" i="3"/>
  <c r="C22" i="3"/>
  <c r="C32" i="3"/>
  <c r="K11" i="3"/>
  <c r="D26" i="3"/>
  <c r="L11" i="3"/>
  <c r="C26" i="3"/>
  <c r="M11" i="3"/>
  <c r="N11" i="3"/>
  <c r="Q11" i="3"/>
  <c r="C25" i="3"/>
  <c r="K21" i="3"/>
  <c r="L21" i="3"/>
  <c r="Q21" i="3"/>
  <c r="M21" i="3"/>
  <c r="N21" i="3"/>
  <c r="O21" i="3"/>
  <c r="P21" i="3"/>
  <c r="K20" i="3"/>
  <c r="L20" i="3"/>
  <c r="Q20" i="3"/>
  <c r="M20" i="3"/>
  <c r="N20" i="3"/>
  <c r="O20" i="3"/>
  <c r="P20" i="3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K19" i="3"/>
  <c r="L19" i="3"/>
  <c r="Q19" i="3"/>
  <c r="M19" i="3"/>
  <c r="N19" i="3"/>
  <c r="O19" i="3"/>
  <c r="P19" i="3"/>
  <c r="K18" i="3"/>
  <c r="L18" i="3"/>
  <c r="Q18" i="3"/>
  <c r="M18" i="3"/>
  <c r="N18" i="3"/>
  <c r="O18" i="3"/>
  <c r="P18" i="3"/>
  <c r="K17" i="3"/>
  <c r="L17" i="3"/>
  <c r="Q17" i="3"/>
  <c r="M17" i="3"/>
  <c r="N17" i="3"/>
  <c r="O17" i="3"/>
  <c r="P17" i="3"/>
  <c r="K16" i="3"/>
  <c r="L16" i="3"/>
  <c r="Q16" i="3"/>
  <c r="M16" i="3"/>
  <c r="N16" i="3"/>
  <c r="O16" i="3"/>
  <c r="P16" i="3"/>
  <c r="K15" i="3"/>
  <c r="L15" i="3"/>
  <c r="Q15" i="3"/>
  <c r="M15" i="3"/>
  <c r="N15" i="3"/>
  <c r="O15" i="3"/>
  <c r="P15" i="3"/>
  <c r="K14" i="3"/>
  <c r="L14" i="3"/>
  <c r="Q14" i="3"/>
  <c r="M14" i="3"/>
  <c r="N14" i="3"/>
  <c r="O14" i="3"/>
  <c r="P14" i="3"/>
  <c r="K13" i="3"/>
  <c r="L13" i="3"/>
  <c r="Q13" i="3"/>
  <c r="M13" i="3"/>
  <c r="N13" i="3"/>
  <c r="O13" i="3"/>
  <c r="P13" i="3"/>
  <c r="K12" i="3"/>
  <c r="L12" i="3"/>
  <c r="Q12" i="3"/>
  <c r="M12" i="3"/>
  <c r="N12" i="3"/>
  <c r="O12" i="3"/>
  <c r="P12" i="3"/>
  <c r="O11" i="3"/>
  <c r="P11" i="3"/>
  <c r="Q2" i="1"/>
  <c r="Q5" i="1"/>
  <c r="R2" i="1"/>
  <c r="S2" i="1"/>
  <c r="T2" i="1"/>
  <c r="U2" i="1"/>
  <c r="Q15" i="1"/>
  <c r="Q14" i="1"/>
  <c r="Q13" i="1"/>
  <c r="Q12" i="1"/>
  <c r="Q11" i="1"/>
  <c r="Q10" i="1"/>
  <c r="Q9" i="1"/>
  <c r="Q8" i="1"/>
  <c r="Q7" i="1"/>
  <c r="Q6" i="1"/>
  <c r="C18" i="1"/>
  <c r="H5" i="1"/>
  <c r="M5" i="1"/>
  <c r="N5" i="1"/>
  <c r="P5" i="1"/>
  <c r="C19" i="1"/>
  <c r="H10" i="1"/>
  <c r="C8" i="1"/>
  <c r="N10" i="1"/>
  <c r="H15" i="1"/>
  <c r="N15" i="1"/>
  <c r="H14" i="1"/>
  <c r="N14" i="1"/>
  <c r="H13" i="1"/>
  <c r="N13" i="1"/>
  <c r="H12" i="1"/>
  <c r="N12" i="1"/>
  <c r="H11" i="1"/>
  <c r="N11" i="1"/>
  <c r="H9" i="1"/>
  <c r="N9" i="1"/>
  <c r="H8" i="1"/>
  <c r="N8" i="1"/>
  <c r="H7" i="1"/>
  <c r="N7" i="1"/>
  <c r="H6" i="1"/>
  <c r="N6" i="1"/>
  <c r="M15" i="1"/>
  <c r="P15" i="1"/>
  <c r="M14" i="1"/>
  <c r="P14" i="1"/>
  <c r="M13" i="1"/>
  <c r="P13" i="1"/>
  <c r="M12" i="1"/>
  <c r="P12" i="1"/>
  <c r="M11" i="1"/>
  <c r="P11" i="1"/>
  <c r="M10" i="1"/>
  <c r="P10" i="1"/>
  <c r="M9" i="1"/>
  <c r="P9" i="1"/>
  <c r="M8" i="1"/>
  <c r="P8" i="1"/>
  <c r="M7" i="1"/>
  <c r="P7" i="1"/>
  <c r="M6" i="1"/>
  <c r="P6" i="1"/>
  <c r="I15" i="1"/>
  <c r="I14" i="1"/>
  <c r="I13" i="1"/>
  <c r="I12" i="1"/>
  <c r="I11" i="1"/>
  <c r="I10" i="1"/>
  <c r="I9" i="1"/>
  <c r="I8" i="1"/>
  <c r="I7" i="1"/>
  <c r="I6" i="1"/>
  <c r="C16" i="1"/>
  <c r="C12" i="1"/>
  <c r="O15" i="1"/>
  <c r="C6" i="1"/>
  <c r="J15" i="1"/>
  <c r="K15" i="1"/>
  <c r="O14" i="1"/>
  <c r="J14" i="1"/>
  <c r="K14" i="1"/>
  <c r="O13" i="1"/>
  <c r="J13" i="1"/>
  <c r="K13" i="1"/>
  <c r="O12" i="1"/>
  <c r="J12" i="1"/>
  <c r="K12" i="1"/>
  <c r="O11" i="1"/>
  <c r="J11" i="1"/>
  <c r="K11" i="1"/>
  <c r="O10" i="1"/>
  <c r="J10" i="1"/>
  <c r="K10" i="1"/>
  <c r="O9" i="1"/>
  <c r="J9" i="1"/>
  <c r="K9" i="1"/>
  <c r="O8" i="1"/>
  <c r="J8" i="1"/>
  <c r="K8" i="1"/>
  <c r="D8" i="1"/>
  <c r="O7" i="1"/>
  <c r="J7" i="1"/>
  <c r="K7" i="1"/>
  <c r="O6" i="1"/>
  <c r="J6" i="1"/>
  <c r="K6" i="1"/>
  <c r="I5" i="1"/>
  <c r="O5" i="1"/>
  <c r="J5" i="1"/>
  <c r="K5" i="1"/>
</calcChain>
</file>

<file path=xl/comments1.xml><?xml version="1.0" encoding="utf-8"?>
<comments xmlns="http://schemas.openxmlformats.org/spreadsheetml/2006/main">
  <authors>
    <author>Microsoft Office User</author>
  </authors>
  <commentList>
    <comment ref="C17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Originally 0.451. This takes into account the separation of wires.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G7" authorId="0">
      <text>
        <r>
          <rPr>
            <b/>
            <sz val="10"/>
            <color indexed="81"/>
            <rFont val="Calibri"/>
          </rPr>
          <t>This is the peak to peak voltage changed as measured across the inline resistor of the driven circuit.</t>
        </r>
      </text>
    </comment>
    <comment ref="B9" authorId="0">
      <text>
        <r>
          <rPr>
            <sz val="10"/>
            <color indexed="81"/>
            <rFont val="Calibri"/>
          </rPr>
          <t>Left to right width of the circuit measured at the wire outer edge, hence the center to center width is this value munus one wire width.</t>
        </r>
      </text>
    </comment>
    <comment ref="B10" authorId="0">
      <text>
        <r>
          <rPr>
            <b/>
            <sz val="10"/>
            <color indexed="81"/>
            <rFont val="Calibri"/>
          </rPr>
          <t>Distance from the front to rear wires of the circuit measured at the wire outer edge, hence the center to center distance is this value munus one wire width.</t>
        </r>
      </text>
    </comment>
    <comment ref="J10" authorId="0">
      <text>
        <r>
          <rPr>
            <b/>
            <sz val="10"/>
            <color indexed="81"/>
            <rFont val="Calibri"/>
          </rPr>
          <t>Distance from driver front (Df) to passive front (Pf) in meters.</t>
        </r>
      </text>
    </comment>
    <comment ref="K10" authorId="0">
      <text>
        <r>
          <rPr>
            <b/>
            <sz val="10"/>
            <color indexed="81"/>
            <rFont val="Calibri"/>
          </rPr>
          <t>Distance from driver front (Df) to passive front (Pf) in meters.</t>
        </r>
      </text>
    </comment>
    <comment ref="L10" authorId="0">
      <text>
        <r>
          <rPr>
            <sz val="10"/>
            <color indexed="81"/>
            <rFont val="Calibri"/>
          </rPr>
          <t>Distance from driver front (Df) to passive rear (Pr) in meters.</t>
        </r>
      </text>
    </comment>
    <comment ref="M10" authorId="0">
      <text>
        <r>
          <rPr>
            <b/>
            <sz val="10"/>
            <color indexed="81"/>
            <rFont val="Calibri"/>
          </rPr>
          <t>Distance from driver rear (Dr) to passive front (Pf) in meters.</t>
        </r>
      </text>
    </comment>
    <comment ref="N10" authorId="0">
      <text>
        <r>
          <rPr>
            <sz val="10"/>
            <color indexed="81"/>
            <rFont val="Calibri"/>
          </rPr>
          <t>Distance from driver rear (Dr) to passive rear (Pr) in meters.</t>
        </r>
      </text>
    </comment>
  </commentList>
</comments>
</file>

<file path=xl/sharedStrings.xml><?xml version="1.0" encoding="utf-8"?>
<sst xmlns="http://schemas.openxmlformats.org/spreadsheetml/2006/main" count="138" uniqueCount="112">
  <si>
    <t>Constants</t>
  </si>
  <si>
    <t>d (in)</t>
  </si>
  <si>
    <t>emf-diff (mV)</t>
  </si>
  <si>
    <t>r</t>
  </si>
  <si>
    <t>emf (V)</t>
  </si>
  <si>
    <t>emf (V) - predicted</t>
  </si>
  <si>
    <t>error(emf/emf(V))</t>
  </si>
  <si>
    <t>1/r</t>
  </si>
  <si>
    <t>1/r error</t>
  </si>
  <si>
    <t>w(d) (in)</t>
  </si>
  <si>
    <t>w(d) (m)</t>
  </si>
  <si>
    <t>w(p) (in)</t>
  </si>
  <si>
    <t>w(p) (m)</t>
  </si>
  <si>
    <t>N (d)</t>
  </si>
  <si>
    <t>N (p)</t>
  </si>
  <si>
    <t>l (in)</t>
  </si>
  <si>
    <t>l (m)</t>
  </si>
  <si>
    <t>f (1/s)</t>
  </si>
  <si>
    <t>R (Ω)</t>
  </si>
  <si>
    <t>a (V)</t>
  </si>
  <si>
    <t>dI/dt (A/s)</t>
  </si>
  <si>
    <t>d(0) (in)</t>
  </si>
  <si>
    <t>d(0) (m)</t>
  </si>
  <si>
    <t>C(dp)</t>
  </si>
  <si>
    <t>Value</t>
  </si>
  <si>
    <t>Definition</t>
  </si>
  <si>
    <t>Units initial</t>
  </si>
  <si>
    <t>Units final</t>
  </si>
  <si>
    <t>w(d)</t>
  </si>
  <si>
    <t>Distance from nearest to farthest parallel wires of the driven circuit</t>
  </si>
  <si>
    <t>inches</t>
  </si>
  <si>
    <t>m</t>
  </si>
  <si>
    <t>w(p)</t>
  </si>
  <si>
    <t>Distance from nearest to farthest parallel wires of the passive circuit</t>
  </si>
  <si>
    <t>Loops/turns of wire in the driven circuit</t>
  </si>
  <si>
    <t>Loops/turns of wire in the passive circuit</t>
  </si>
  <si>
    <t>l</t>
  </si>
  <si>
    <t>Length of passive circuit parallel to the front wires.</t>
  </si>
  <si>
    <t>f</t>
  </si>
  <si>
    <t>Frequency of triangular wave applied to the driven circuit</t>
  </si>
  <si>
    <t>1/s</t>
  </si>
  <si>
    <t>a</t>
  </si>
  <si>
    <t>Amplitude of the triangular wave applied to the driven circuit</t>
  </si>
  <si>
    <t>V</t>
  </si>
  <si>
    <t>d</t>
  </si>
  <si>
    <t>Distance between measuring blocks of circuits</t>
  </si>
  <si>
    <t>d(0)</t>
  </si>
  <si>
    <t>Distance between measuring blocks of circuits when wires overlap</t>
  </si>
  <si>
    <t>emf-diff</t>
  </si>
  <si>
    <t>Electromotive force in passive circuit, the difference between forward and reverse voltages</t>
  </si>
  <si>
    <t>mV</t>
  </si>
  <si>
    <t>emf</t>
  </si>
  <si>
    <t>Actual electromotive force</t>
  </si>
  <si>
    <t>dI/dt</t>
  </si>
  <si>
    <t>The change of current flow rate of the driven circuit</t>
  </si>
  <si>
    <t>A/s</t>
  </si>
  <si>
    <t>R</t>
  </si>
  <si>
    <t>Resistor on driven circuit used for determining current flow rate</t>
  </si>
  <si>
    <t>Ω</t>
  </si>
  <si>
    <t>ln(1/r)</t>
  </si>
  <si>
    <t>1/(r+w)</t>
  </si>
  <si>
    <t>Cf</t>
  </si>
  <si>
    <t>Cr</t>
  </si>
  <si>
    <t>/(dI/dt)</t>
  </si>
  <si>
    <t>/L</t>
  </si>
  <si>
    <t>x</t>
  </si>
  <si>
    <t>/N/N</t>
  </si>
  <si>
    <t>/u0</t>
  </si>
  <si>
    <t>Date:</t>
  </si>
  <si>
    <t>Sweep date/time:</t>
  </si>
  <si>
    <t>Experiment type:</t>
  </si>
  <si>
    <t>Frequency (Hz):</t>
  </si>
  <si>
    <t>Wave type:</t>
  </si>
  <si>
    <t>triangular</t>
  </si>
  <si>
    <t>Driven</t>
  </si>
  <si>
    <t>Passive</t>
  </si>
  <si>
    <t>Amplitude (V):</t>
  </si>
  <si>
    <t>Part Number:</t>
  </si>
  <si>
    <t>Width measured (mm):</t>
  </si>
  <si>
    <t>Length measured (mm):</t>
  </si>
  <si>
    <t>Block sep (mm)</t>
  </si>
  <si>
    <t>EMF (mV)</t>
  </si>
  <si>
    <t>Df to Pf (m)</t>
  </si>
  <si>
    <t>Df to Pr (m)</t>
  </si>
  <si>
    <t>Dr to Pf (m)</t>
  </si>
  <si>
    <t>Dr to Pr (m)</t>
  </si>
  <si>
    <t>Inverse distances (1/m)</t>
  </si>
  <si>
    <t>1/x rule (mv)</t>
  </si>
  <si>
    <t>Maxwell (mv)</t>
  </si>
  <si>
    <t>Num loops:</t>
  </si>
  <si>
    <t>Resistence (Ω):</t>
  </si>
  <si>
    <t>Flow direction from above:</t>
  </si>
  <si>
    <t>Clockwise</t>
  </si>
  <si>
    <t>Flow direction checked:</t>
  </si>
  <si>
    <t>Yes</t>
  </si>
  <si>
    <t>Wire type:</t>
  </si>
  <si>
    <t>Copper</t>
  </si>
  <si>
    <t>Wire gauge:</t>
  </si>
  <si>
    <t>Wire diameter (mm):</t>
  </si>
  <si>
    <t>Measurement resistor (Ω):</t>
  </si>
  <si>
    <t>n/a</t>
  </si>
  <si>
    <t>Reference between blocks (mm):</t>
  </si>
  <si>
    <t>Reference between wires (mm):</t>
  </si>
  <si>
    <t>Permeability (kg m/s^2/A^2):</t>
  </si>
  <si>
    <t>Rate of change of current (A/s):</t>
  </si>
  <si>
    <t>Width on centers (m):</t>
  </si>
  <si>
    <t>Length on centers (m):</t>
  </si>
  <si>
    <t>P coeff (Am/s) :</t>
  </si>
  <si>
    <t>η (kg m^2/ s^2 / A^2)</t>
  </si>
  <si>
    <t>Maxwell coeff:</t>
  </si>
  <si>
    <t>Initial</t>
  </si>
  <si>
    <t>Probe gain: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</si>
</sst>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,##0.0000"/>
    <numFmt numFmtId="165" formatCode="#,##0.0000000000000"/>
    <numFmt numFmtId="166" formatCode="0.00000"/>
    <numFmt numFmtId="167" formatCode="0.000"/>
    <numFmt numFmtId="168" formatCode="0.0000"/>
    <numFmt numFmtId="169" formatCode="0.000000"/>
  </numFmts>
  <fonts count="7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color indexed="81"/>
      <name val="Calibri"/>
    </font>
    <font>
      <b/>
      <sz val="10"/>
      <color indexed="81"/>
      <name val="Calibri"/>
    </font>
    <font>
      <u/>
      <sz val="10"/>
      <color theme="10"/>
      <name val="Arial"/>
    </font>
    <font>
      <u/>
      <sz val="10"/>
      <color theme="11"/>
      <name val="Arial"/>
    </font>
  </fonts>
  <fills count="12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FCE5CD"/>
        <bgColor rgb="FFFCE5CD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4">
    <xf numFmtId="0" fontId="0" fillId="0" borderId="0" xfId="0" applyFont="1" applyAlignment="1"/>
    <xf numFmtId="0" fontId="1" fillId="0" borderId="0" xfId="0" applyFont="1" applyAlignment="1"/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 applyAlignment="1"/>
    <xf numFmtId="0" fontId="1" fillId="3" borderId="3" xfId="0" applyFont="1" applyFill="1" applyBorder="1" applyAlignment="1"/>
    <xf numFmtId="11" fontId="1" fillId="4" borderId="3" xfId="0" applyNumberFormat="1" applyFont="1" applyFill="1" applyBorder="1"/>
    <xf numFmtId="164" fontId="1" fillId="4" borderId="3" xfId="0" applyNumberFormat="1" applyFont="1" applyFill="1" applyBorder="1"/>
    <xf numFmtId="0" fontId="1" fillId="4" borderId="3" xfId="0" applyFont="1" applyFill="1" applyBorder="1"/>
    <xf numFmtId="165" fontId="1" fillId="0" borderId="0" xfId="0" applyNumberFormat="1" applyFont="1"/>
    <xf numFmtId="166" fontId="1" fillId="4" borderId="3" xfId="0" applyNumberFormat="1" applyFont="1" applyFill="1" applyBorder="1"/>
    <xf numFmtId="3" fontId="1" fillId="4" borderId="3" xfId="0" applyNumberFormat="1" applyFont="1" applyFill="1" applyBorder="1"/>
    <xf numFmtId="0" fontId="1" fillId="5" borderId="3" xfId="0" applyFont="1" applyFill="1" applyBorder="1" applyAlignment="1">
      <alignment horizontal="center"/>
    </xf>
    <xf numFmtId="0" fontId="1" fillId="6" borderId="3" xfId="0" applyFont="1" applyFill="1" applyBorder="1" applyAlignment="1"/>
    <xf numFmtId="0" fontId="1" fillId="6" borderId="3" xfId="0" applyFont="1" applyFill="1" applyBorder="1"/>
    <xf numFmtId="0" fontId="2" fillId="6" borderId="3" xfId="0" applyFont="1" applyFill="1" applyBorder="1" applyAlignment="1">
      <alignment horizontal="left"/>
    </xf>
    <xf numFmtId="4" fontId="1" fillId="2" borderId="3" xfId="0" applyNumberFormat="1" applyFont="1" applyFill="1" applyBorder="1" applyAlignment="1">
      <alignment horizontal="center"/>
    </xf>
    <xf numFmtId="0" fontId="0" fillId="7" borderId="4" xfId="0" applyFont="1" applyFill="1" applyBorder="1" applyAlignment="1"/>
    <xf numFmtId="4" fontId="1" fillId="2" borderId="1" xfId="0" applyNumberFormat="1" applyFont="1" applyFill="1" applyBorder="1" applyAlignment="1">
      <alignment horizontal="center"/>
    </xf>
    <xf numFmtId="167" fontId="1" fillId="4" borderId="3" xfId="0" applyNumberFormat="1" applyFont="1" applyFill="1" applyBorder="1"/>
    <xf numFmtId="168" fontId="1" fillId="4" borderId="3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1" fillId="0" borderId="2" xfId="0" applyFont="1" applyBorder="1"/>
    <xf numFmtId="0" fontId="0" fillId="0" borderId="0" xfId="0"/>
    <xf numFmtId="0" fontId="0" fillId="8" borderId="4" xfId="0" applyFill="1" applyBorder="1"/>
    <xf numFmtId="15" fontId="0" fillId="9" borderId="4" xfId="0" applyNumberFormat="1" applyFill="1" applyBorder="1"/>
    <xf numFmtId="0" fontId="0" fillId="9" borderId="4" xfId="0" applyFill="1" applyBorder="1"/>
    <xf numFmtId="15" fontId="0" fillId="9" borderId="4" xfId="0" applyNumberFormat="1" applyFill="1" applyBorder="1" applyAlignment="1">
      <alignment horizontal="right"/>
    </xf>
    <xf numFmtId="0" fontId="0" fillId="9" borderId="4" xfId="0" applyFill="1" applyBorder="1" applyAlignment="1">
      <alignment horizontal="center"/>
    </xf>
    <xf numFmtId="2" fontId="0" fillId="9" borderId="4" xfId="0" applyNumberFormat="1" applyFill="1" applyBorder="1"/>
    <xf numFmtId="0" fontId="0" fillId="9" borderId="4" xfId="0" applyFill="1" applyBorder="1" applyAlignment="1">
      <alignment horizontal="right"/>
    </xf>
    <xf numFmtId="0" fontId="0" fillId="0" borderId="0" xfId="0" applyBorder="1"/>
    <xf numFmtId="0" fontId="0" fillId="8" borderId="4" xfId="0" applyFill="1" applyBorder="1" applyAlignment="1">
      <alignment horizontal="center"/>
    </xf>
    <xf numFmtId="0" fontId="0" fillId="9" borderId="4" xfId="0" applyFill="1" applyBorder="1"/>
    <xf numFmtId="2" fontId="0" fillId="9" borderId="4" xfId="0" applyNumberFormat="1" applyFill="1" applyBorder="1" applyAlignment="1">
      <alignment horizontal="right"/>
    </xf>
    <xf numFmtId="0" fontId="0" fillId="10" borderId="4" xfId="0" applyFill="1" applyBorder="1"/>
    <xf numFmtId="0" fontId="0" fillId="11" borderId="4" xfId="0" applyFill="1" applyBorder="1"/>
    <xf numFmtId="0" fontId="0" fillId="11" borderId="5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169" fontId="1" fillId="4" borderId="3" xfId="0" applyNumberFormat="1" applyFont="1" applyFill="1" applyBorder="1"/>
    <xf numFmtId="2" fontId="0" fillId="10" borderId="4" xfId="0" applyNumberFormat="1" applyFill="1" applyBorder="1"/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6" xfId="0" applyFill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Data!$H$5:$H$15</c:f>
              <c:numCache>
                <c:formatCode>0.0000</c:formatCode>
                <c:ptCount val="11"/>
                <c:pt idx="0">
                  <c:v>0.0035814</c:v>
                </c:pt>
                <c:pt idx="1">
                  <c:v>0.006096</c:v>
                </c:pt>
                <c:pt idx="2">
                  <c:v>0.008636</c:v>
                </c:pt>
                <c:pt idx="3">
                  <c:v>0.011176</c:v>
                </c:pt>
                <c:pt idx="4">
                  <c:v>0.013716</c:v>
                </c:pt>
                <c:pt idx="5">
                  <c:v>0.016256</c:v>
                </c:pt>
                <c:pt idx="6">
                  <c:v>0.018796</c:v>
                </c:pt>
                <c:pt idx="7">
                  <c:v>0.021336</c:v>
                </c:pt>
                <c:pt idx="8">
                  <c:v>0.023876</c:v>
                </c:pt>
                <c:pt idx="9">
                  <c:v>0.026416</c:v>
                </c:pt>
                <c:pt idx="10">
                  <c:v>0.028956</c:v>
                </c:pt>
              </c:numCache>
            </c:numRef>
          </c:xVal>
          <c:yVal>
            <c:numRef>
              <c:f>Data!$I$5:$I$15</c:f>
              <c:numCache>
                <c:formatCode>General</c:formatCode>
                <c:ptCount val="11"/>
                <c:pt idx="0">
                  <c:v>0.148</c:v>
                </c:pt>
                <c:pt idx="1">
                  <c:v>0.097</c:v>
                </c:pt>
                <c:pt idx="2">
                  <c:v>0.071</c:v>
                </c:pt>
                <c:pt idx="3">
                  <c:v>0.056</c:v>
                </c:pt>
                <c:pt idx="4">
                  <c:v>0.045</c:v>
                </c:pt>
                <c:pt idx="5">
                  <c:v>0.0368</c:v>
                </c:pt>
                <c:pt idx="6">
                  <c:v>0.0316</c:v>
                </c:pt>
                <c:pt idx="7">
                  <c:v>0.0276</c:v>
                </c:pt>
                <c:pt idx="8">
                  <c:v>0.024</c:v>
                </c:pt>
                <c:pt idx="9">
                  <c:v>0.021</c:v>
                </c:pt>
                <c:pt idx="10">
                  <c:v>0.0188</c:v>
                </c:pt>
              </c:numCache>
            </c:numRef>
          </c:yVal>
          <c:smooth val="0"/>
        </c:ser>
        <c:ser>
          <c:idx val="1"/>
          <c:order val="1"/>
          <c:tx>
            <c:v>Farraday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Data!$H$5:$H$15</c:f>
              <c:numCache>
                <c:formatCode>0.0000</c:formatCode>
                <c:ptCount val="11"/>
                <c:pt idx="0">
                  <c:v>0.0035814</c:v>
                </c:pt>
                <c:pt idx="1">
                  <c:v>0.006096</c:v>
                </c:pt>
                <c:pt idx="2">
                  <c:v>0.008636</c:v>
                </c:pt>
                <c:pt idx="3">
                  <c:v>0.011176</c:v>
                </c:pt>
                <c:pt idx="4">
                  <c:v>0.013716</c:v>
                </c:pt>
                <c:pt idx="5">
                  <c:v>0.016256</c:v>
                </c:pt>
                <c:pt idx="6">
                  <c:v>0.018796</c:v>
                </c:pt>
                <c:pt idx="7">
                  <c:v>0.021336</c:v>
                </c:pt>
                <c:pt idx="8">
                  <c:v>0.023876</c:v>
                </c:pt>
                <c:pt idx="9">
                  <c:v>0.026416</c:v>
                </c:pt>
                <c:pt idx="10">
                  <c:v>0.028956</c:v>
                </c:pt>
              </c:numCache>
            </c:numRef>
          </c:xVal>
          <c:yVal>
            <c:numRef>
              <c:f>Data!$J$5:$J$15</c:f>
              <c:numCache>
                <c:formatCode>0.0000</c:formatCode>
                <c:ptCount val="11"/>
                <c:pt idx="0">
                  <c:v>0.0215522418884453</c:v>
                </c:pt>
                <c:pt idx="1">
                  <c:v>0.0180317153517649</c:v>
                </c:pt>
                <c:pt idx="2">
                  <c:v>0.0158002833440687</c:v>
                </c:pt>
                <c:pt idx="3">
                  <c:v>0.0141997764221108</c:v>
                </c:pt>
                <c:pt idx="4">
                  <c:v>0.0129666531641752</c:v>
                </c:pt>
                <c:pt idx="5">
                  <c:v>0.0119734167018684</c:v>
                </c:pt>
                <c:pt idx="6">
                  <c:v>0.0111486591859797</c:v>
                </c:pt>
                <c:pt idx="7">
                  <c:v>0.0104483784411448</c:v>
                </c:pt>
                <c:pt idx="8">
                  <c:v>0.00984356340632255</c:v>
                </c:pt>
                <c:pt idx="9">
                  <c:v>0.00931409603070797</c:v>
                </c:pt>
                <c:pt idx="10">
                  <c:v>0.00884546731081037</c:v>
                </c:pt>
              </c:numCache>
            </c:numRef>
          </c:yVal>
          <c:smooth val="0"/>
        </c:ser>
        <c:ser>
          <c:idx val="2"/>
          <c:order val="2"/>
          <c:tx>
            <c:v>Gunn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Data!$H$5:$H$15</c:f>
              <c:numCache>
                <c:formatCode>0.0000</c:formatCode>
                <c:ptCount val="11"/>
                <c:pt idx="0">
                  <c:v>0.0035814</c:v>
                </c:pt>
                <c:pt idx="1">
                  <c:v>0.006096</c:v>
                </c:pt>
                <c:pt idx="2">
                  <c:v>0.008636</c:v>
                </c:pt>
                <c:pt idx="3">
                  <c:v>0.011176</c:v>
                </c:pt>
                <c:pt idx="4">
                  <c:v>0.013716</c:v>
                </c:pt>
                <c:pt idx="5">
                  <c:v>0.016256</c:v>
                </c:pt>
                <c:pt idx="6">
                  <c:v>0.018796</c:v>
                </c:pt>
                <c:pt idx="7">
                  <c:v>0.021336</c:v>
                </c:pt>
                <c:pt idx="8">
                  <c:v>0.023876</c:v>
                </c:pt>
                <c:pt idx="9">
                  <c:v>0.026416</c:v>
                </c:pt>
                <c:pt idx="10">
                  <c:v>0.028956</c:v>
                </c:pt>
              </c:numCache>
            </c:numRef>
          </c:xVal>
          <c:yVal>
            <c:numRef>
              <c:f>Data!$P$5:$P$15</c:f>
              <c:numCache>
                <c:formatCode>#,##0.0000</c:formatCode>
                <c:ptCount val="11"/>
                <c:pt idx="0">
                  <c:v>0.0917182286511252</c:v>
                </c:pt>
                <c:pt idx="1">
                  <c:v>0.0767361929290447</c:v>
                </c:pt>
                <c:pt idx="2">
                  <c:v>0.0672400582735108</c:v>
                </c:pt>
                <c:pt idx="3">
                  <c:v>0.0604289032862171</c:v>
                </c:pt>
                <c:pt idx="4">
                  <c:v>0.0551811948802067</c:v>
                </c:pt>
                <c:pt idx="5">
                  <c:v>0.0509543543767449</c:v>
                </c:pt>
                <c:pt idx="6">
                  <c:v>0.0474444968493679</c:v>
                </c:pt>
                <c:pt idx="7">
                  <c:v>0.0444643656032913</c:v>
                </c:pt>
                <c:pt idx="8">
                  <c:v>0.0418905004832454</c:v>
                </c:pt>
                <c:pt idx="9">
                  <c:v>0.0396372866379626</c:v>
                </c:pt>
                <c:pt idx="10">
                  <c:v>0.0376429792101541</c:v>
                </c:pt>
              </c:numCache>
            </c:numRef>
          </c:yVal>
          <c:smooth val="0"/>
        </c:ser>
        <c:ser>
          <c:idx val="3"/>
          <c:order val="3"/>
          <c:tx>
            <c:v>1/r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Data!$H$5:$H$15</c:f>
              <c:numCache>
                <c:formatCode>0.0000</c:formatCode>
                <c:ptCount val="11"/>
                <c:pt idx="0">
                  <c:v>0.0035814</c:v>
                </c:pt>
                <c:pt idx="1">
                  <c:v>0.006096</c:v>
                </c:pt>
                <c:pt idx="2">
                  <c:v>0.008636</c:v>
                </c:pt>
                <c:pt idx="3">
                  <c:v>0.011176</c:v>
                </c:pt>
                <c:pt idx="4">
                  <c:v>0.013716</c:v>
                </c:pt>
                <c:pt idx="5">
                  <c:v>0.016256</c:v>
                </c:pt>
                <c:pt idx="6">
                  <c:v>0.018796</c:v>
                </c:pt>
                <c:pt idx="7">
                  <c:v>0.021336</c:v>
                </c:pt>
                <c:pt idx="8">
                  <c:v>0.023876</c:v>
                </c:pt>
                <c:pt idx="9">
                  <c:v>0.026416</c:v>
                </c:pt>
                <c:pt idx="10">
                  <c:v>0.028956</c:v>
                </c:pt>
              </c:numCache>
            </c:numRef>
          </c:xVal>
          <c:yVal>
            <c:numRef>
              <c:f>Data!$Q$5:$Q$15</c:f>
              <c:numCache>
                <c:formatCode>General</c:formatCode>
                <c:ptCount val="11"/>
                <c:pt idx="0">
                  <c:v>0.156363433294242</c:v>
                </c:pt>
                <c:pt idx="1">
                  <c:v>0.0918635170603674</c:v>
                </c:pt>
                <c:pt idx="2">
                  <c:v>0.0648448355720241</c:v>
                </c:pt>
                <c:pt idx="3">
                  <c:v>0.0501073729420186</c:v>
                </c:pt>
                <c:pt idx="4">
                  <c:v>0.0408282298046077</c:v>
                </c:pt>
                <c:pt idx="5">
                  <c:v>0.0344488188976378</c:v>
                </c:pt>
                <c:pt idx="6">
                  <c:v>0.0297935731006597</c:v>
                </c:pt>
                <c:pt idx="7">
                  <c:v>0.026246719160105</c:v>
                </c:pt>
                <c:pt idx="8">
                  <c:v>0.0234545149941364</c:v>
                </c:pt>
                <c:pt idx="9">
                  <c:v>0.0211992731677771</c:v>
                </c:pt>
                <c:pt idx="10">
                  <c:v>0.0193396878021826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5877904"/>
        <c:axId val="-2055874592"/>
      </c:scatterChart>
      <c:valAx>
        <c:axId val="-205587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874592"/>
        <c:crosses val="autoZero"/>
        <c:crossBetween val="midCat"/>
      </c:valAx>
      <c:valAx>
        <c:axId val="-205587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87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615460852329"/>
          <c:y val="0.230375084903524"/>
          <c:w val="0.121450394951181"/>
          <c:h val="0.24673357006844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Measured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'Updated format'!$K$11:$K$21</c:f>
              <c:numCache>
                <c:formatCode>General</c:formatCode>
                <c:ptCount val="11"/>
                <c:pt idx="0">
                  <c:v>0.0035814</c:v>
                </c:pt>
                <c:pt idx="1">
                  <c:v>0.006096</c:v>
                </c:pt>
                <c:pt idx="2">
                  <c:v>0.008636</c:v>
                </c:pt>
                <c:pt idx="3">
                  <c:v>0.011176</c:v>
                </c:pt>
                <c:pt idx="4">
                  <c:v>0.013716</c:v>
                </c:pt>
                <c:pt idx="5">
                  <c:v>0.016256</c:v>
                </c:pt>
                <c:pt idx="6">
                  <c:v>0.018796</c:v>
                </c:pt>
                <c:pt idx="7">
                  <c:v>0.021336</c:v>
                </c:pt>
                <c:pt idx="8">
                  <c:v>0.023876</c:v>
                </c:pt>
                <c:pt idx="9">
                  <c:v>0.026416</c:v>
                </c:pt>
                <c:pt idx="10">
                  <c:v>0.028956</c:v>
                </c:pt>
              </c:numCache>
            </c:numRef>
          </c:xVal>
          <c:yVal>
            <c:numRef>
              <c:f>'Updated format'!$J$11:$J$21</c:f>
              <c:numCache>
                <c:formatCode>0.00</c:formatCode>
                <c:ptCount val="11"/>
                <c:pt idx="0">
                  <c:v>14.8</c:v>
                </c:pt>
                <c:pt idx="1">
                  <c:v>9.7</c:v>
                </c:pt>
                <c:pt idx="2">
                  <c:v>7.1</c:v>
                </c:pt>
                <c:pt idx="3">
                  <c:v>5.6</c:v>
                </c:pt>
                <c:pt idx="4">
                  <c:v>4.5</c:v>
                </c:pt>
                <c:pt idx="5">
                  <c:v>3.68</c:v>
                </c:pt>
                <c:pt idx="6">
                  <c:v>3.16</c:v>
                </c:pt>
                <c:pt idx="7">
                  <c:v>2.76</c:v>
                </c:pt>
                <c:pt idx="8">
                  <c:v>2.4</c:v>
                </c:pt>
                <c:pt idx="9">
                  <c:v>2.1</c:v>
                </c:pt>
                <c:pt idx="10">
                  <c:v>1.88</c:v>
                </c:pt>
              </c:numCache>
            </c:numRef>
          </c:yVal>
          <c:smooth val="1"/>
        </c:ser>
        <c:ser>
          <c:idx val="1"/>
          <c:order val="1"/>
          <c:tx>
            <c:v>Maxwell's Law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'Updated format'!$K$11:$K$21</c:f>
              <c:numCache>
                <c:formatCode>General</c:formatCode>
                <c:ptCount val="11"/>
                <c:pt idx="0">
                  <c:v>0.0035814</c:v>
                </c:pt>
                <c:pt idx="1">
                  <c:v>0.006096</c:v>
                </c:pt>
                <c:pt idx="2">
                  <c:v>0.008636</c:v>
                </c:pt>
                <c:pt idx="3">
                  <c:v>0.011176</c:v>
                </c:pt>
                <c:pt idx="4">
                  <c:v>0.013716</c:v>
                </c:pt>
                <c:pt idx="5">
                  <c:v>0.016256</c:v>
                </c:pt>
                <c:pt idx="6">
                  <c:v>0.018796</c:v>
                </c:pt>
                <c:pt idx="7">
                  <c:v>0.021336</c:v>
                </c:pt>
                <c:pt idx="8">
                  <c:v>0.023876</c:v>
                </c:pt>
                <c:pt idx="9">
                  <c:v>0.026416</c:v>
                </c:pt>
                <c:pt idx="10">
                  <c:v>0.028956</c:v>
                </c:pt>
              </c:numCache>
            </c:numRef>
          </c:xVal>
          <c:yVal>
            <c:numRef>
              <c:f>'Updated format'!$Q$11:$Q$21</c:f>
              <c:numCache>
                <c:formatCode>General</c:formatCode>
                <c:ptCount val="11"/>
                <c:pt idx="0">
                  <c:v>26.27088264025483</c:v>
                </c:pt>
                <c:pt idx="1">
                  <c:v>18.0317153517649</c:v>
                </c:pt>
                <c:pt idx="2">
                  <c:v>15.80028334406875</c:v>
                </c:pt>
                <c:pt idx="3">
                  <c:v>14.19977642211085</c:v>
                </c:pt>
                <c:pt idx="4">
                  <c:v>12.96665316417518</c:v>
                </c:pt>
                <c:pt idx="5">
                  <c:v>11.97341670186841</c:v>
                </c:pt>
                <c:pt idx="6">
                  <c:v>11.14865918597975</c:v>
                </c:pt>
                <c:pt idx="7">
                  <c:v>10.44837844114476</c:v>
                </c:pt>
                <c:pt idx="8">
                  <c:v>9.843563406322557</c:v>
                </c:pt>
                <c:pt idx="9">
                  <c:v>9.31409603070798</c:v>
                </c:pt>
                <c:pt idx="10">
                  <c:v>8.845467310810377</c:v>
                </c:pt>
              </c:numCache>
            </c:numRef>
          </c:yVal>
          <c:smooth val="1"/>
        </c:ser>
        <c:ser>
          <c:idx val="2"/>
          <c:order val="2"/>
          <c:tx>
            <c:v>1/r rule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'Updated format'!$K$11:$K$21</c:f>
              <c:numCache>
                <c:formatCode>General</c:formatCode>
                <c:ptCount val="11"/>
                <c:pt idx="0">
                  <c:v>0.0035814</c:v>
                </c:pt>
                <c:pt idx="1">
                  <c:v>0.006096</c:v>
                </c:pt>
                <c:pt idx="2">
                  <c:v>0.008636</c:v>
                </c:pt>
                <c:pt idx="3">
                  <c:v>0.011176</c:v>
                </c:pt>
                <c:pt idx="4">
                  <c:v>0.013716</c:v>
                </c:pt>
                <c:pt idx="5">
                  <c:v>0.016256</c:v>
                </c:pt>
                <c:pt idx="6">
                  <c:v>0.018796</c:v>
                </c:pt>
                <c:pt idx="7">
                  <c:v>0.021336</c:v>
                </c:pt>
                <c:pt idx="8">
                  <c:v>0.023876</c:v>
                </c:pt>
                <c:pt idx="9">
                  <c:v>0.026416</c:v>
                </c:pt>
                <c:pt idx="10">
                  <c:v>0.028956</c:v>
                </c:pt>
              </c:numCache>
            </c:numRef>
          </c:xVal>
          <c:yVal>
            <c:numRef>
              <c:f>'Updated format'!$P$11:$P$21</c:f>
              <c:numCache>
                <c:formatCode>General</c:formatCode>
                <c:ptCount val="11"/>
                <c:pt idx="0">
                  <c:v>12.48635195177742</c:v>
                </c:pt>
                <c:pt idx="1">
                  <c:v>7.213798016565931</c:v>
                </c:pt>
                <c:pt idx="2">
                  <c:v>5.008009284326678</c:v>
                </c:pt>
                <c:pt idx="3">
                  <c:v>3.806962695965503</c:v>
                </c:pt>
                <c:pt idx="4">
                  <c:v>3.052385691010704</c:v>
                </c:pt>
                <c:pt idx="5">
                  <c:v>2.534930438955318</c:v>
                </c:pt>
                <c:pt idx="6">
                  <c:v>2.158413593221475</c:v>
                </c:pt>
                <c:pt idx="7">
                  <c:v>1.872456244516111</c:v>
                </c:pt>
                <c:pt idx="8">
                  <c:v>1.648119667553191</c:v>
                </c:pt>
                <c:pt idx="9">
                  <c:v>1.467597383066903</c:v>
                </c:pt>
                <c:pt idx="10">
                  <c:v>1.319332462895863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756544"/>
        <c:axId val="-2056994400"/>
      </c:scatterChart>
      <c:valAx>
        <c:axId val="-209275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994400"/>
        <c:crosses val="autoZero"/>
        <c:crossBetween val="midCat"/>
      </c:valAx>
      <c:valAx>
        <c:axId val="-205699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756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831850</xdr:colOff>
      <xdr:row>17</xdr:row>
      <xdr:rowOff>76200</xdr:rowOff>
    </xdr:from>
    <xdr:to>
      <xdr:col>13</xdr:col>
      <xdr:colOff>114300</xdr:colOff>
      <xdr:row>38</xdr:row>
      <xdr:rowOff>50800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942340</xdr:colOff>
      <xdr:row>23</xdr:row>
      <xdr:rowOff>119379</xdr:rowOff>
    </xdr:from>
    <xdr:to>
      <xdr:col>15</xdr:col>
      <xdr:colOff>264160</xdr:colOff>
      <xdr:row>45</xdr:row>
      <xdr:rowOff>13546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duced%20Rectangular%202016-02-2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x50 5-5"/>
      <sheetName val="Template"/>
    </sheetNames>
    <sheetDataSet>
      <sheetData sheetId="0">
        <row r="11">
          <cell r="H11">
            <v>46.4</v>
          </cell>
          <cell r="K11">
            <v>2.0499999999999997E-3</v>
          </cell>
          <cell r="P11">
            <v>38.148803377037289</v>
          </cell>
          <cell r="Q11">
            <v>30.00719111254816</v>
          </cell>
        </row>
        <row r="12">
          <cell r="H12">
            <v>36</v>
          </cell>
          <cell r="K12">
            <v>3.3600000000000006E-3</v>
          </cell>
          <cell r="P12">
            <v>23.778110103471668</v>
          </cell>
          <cell r="Q12">
            <v>22.444802782402533</v>
          </cell>
        </row>
        <row r="13">
          <cell r="H13">
            <v>32.799999999999997</v>
          </cell>
          <cell r="K13">
            <v>3.8600000000000006E-3</v>
          </cell>
          <cell r="P13">
            <v>20.841317235038289</v>
          </cell>
          <cell r="Q13">
            <v>21.090415915292187</v>
          </cell>
        </row>
        <row r="14">
          <cell r="H14">
            <v>28</v>
          </cell>
          <cell r="K14">
            <v>5.13E-3</v>
          </cell>
          <cell r="P14">
            <v>15.917191984194897</v>
          </cell>
          <cell r="Q14">
            <v>18.409386786381582</v>
          </cell>
        </row>
        <row r="15">
          <cell r="H15">
            <v>23.2</v>
          </cell>
          <cell r="K15">
            <v>6.9100000000000012E-3</v>
          </cell>
          <cell r="P15">
            <v>12.003251358613769</v>
          </cell>
          <cell r="Q15">
            <v>15.762704499307272</v>
          </cell>
        </row>
        <row r="16">
          <cell r="H16">
            <v>20</v>
          </cell>
          <cell r="K16">
            <v>8.09E-3</v>
          </cell>
          <cell r="P16">
            <v>10.331229166227633</v>
          </cell>
          <cell r="Q16">
            <v>14.438133504101174</v>
          </cell>
        </row>
        <row r="17">
          <cell r="H17">
            <v>17.600000000000001</v>
          </cell>
          <cell r="K17">
            <v>9.7199999999999995E-3</v>
          </cell>
          <cell r="P17">
            <v>8.6653282952431656</v>
          </cell>
          <cell r="Q17">
            <v>12.969526834883233</v>
          </cell>
        </row>
        <row r="18">
          <cell r="H18">
            <v>13.6</v>
          </cell>
          <cell r="K18">
            <v>1.2019999999999999E-2</v>
          </cell>
          <cell r="P18">
            <v>7.052207705635487</v>
          </cell>
          <cell r="Q18">
            <v>11.376287160309106</v>
          </cell>
        </row>
        <row r="19">
          <cell r="H19">
            <v>11.2</v>
          </cell>
          <cell r="K19">
            <v>1.4930000000000001E-2</v>
          </cell>
          <cell r="P19">
            <v>5.691486930020111</v>
          </cell>
          <cell r="Q19">
            <v>9.8746717240016277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32"/>
  <sheetViews>
    <sheetView zoomScale="118" workbookViewId="0">
      <selection activeCell="J5" sqref="J5"/>
    </sheetView>
  </sheetViews>
  <sheetFormatPr baseColWidth="10" defaultColWidth="14.5" defaultRowHeight="15.75" customHeight="1" x14ac:dyDescent="0.15"/>
  <cols>
    <col min="1" max="1" width="3.5" customWidth="1"/>
    <col min="7" max="7" width="3" customWidth="1"/>
    <col min="10" max="10" width="16.5" customWidth="1"/>
    <col min="11" max="11" width="15.33203125" customWidth="1"/>
    <col min="12" max="12" width="3.1640625" customWidth="1"/>
    <col min="13" max="13" width="8.33203125" bestFit="1" customWidth="1"/>
  </cols>
  <sheetData>
    <row r="1" spans="2:21" ht="15.75" customHeight="1" x14ac:dyDescent="0.15">
      <c r="R1" t="s">
        <v>63</v>
      </c>
      <c r="S1" t="s">
        <v>64</v>
      </c>
      <c r="T1" t="s">
        <v>66</v>
      </c>
      <c r="U1" t="s">
        <v>67</v>
      </c>
    </row>
    <row r="2" spans="2:21" ht="15.75" customHeight="1" x14ac:dyDescent="0.15">
      <c r="G2" s="1"/>
      <c r="H2" s="1"/>
      <c r="Q2">
        <f>0.0007/1.25</f>
        <v>5.5999999999999995E-4</v>
      </c>
      <c r="R2">
        <f>Q2/$C$16</f>
        <v>2.441860465116279E-8</v>
      </c>
      <c r="S2">
        <f>R2/C12</f>
        <v>4.7662984027816303E-7</v>
      </c>
      <c r="T2">
        <f>S2/C9*C10</f>
        <v>3.9719153356513586E-7</v>
      </c>
      <c r="U2">
        <f>T2/(4*PI()*0.0000001)</f>
        <v>0.31607497960570918</v>
      </c>
    </row>
    <row r="4" spans="2:21" ht="15.75" customHeight="1" x14ac:dyDescent="0.15">
      <c r="B4" s="20" t="s">
        <v>0</v>
      </c>
      <c r="C4" s="21"/>
      <c r="E4" s="2" t="s">
        <v>1</v>
      </c>
      <c r="F4" s="2" t="s">
        <v>2</v>
      </c>
      <c r="H4" s="2" t="s">
        <v>3</v>
      </c>
      <c r="I4" s="2" t="s">
        <v>4</v>
      </c>
      <c r="J4" s="2" t="s">
        <v>5</v>
      </c>
      <c r="K4" s="2" t="s">
        <v>6</v>
      </c>
      <c r="M4" s="2" t="s">
        <v>7</v>
      </c>
      <c r="N4" s="2" t="s">
        <v>60</v>
      </c>
      <c r="O4" s="1" t="s">
        <v>8</v>
      </c>
      <c r="P4" s="15" t="s">
        <v>59</v>
      </c>
      <c r="T4" t="s">
        <v>65</v>
      </c>
    </row>
    <row r="5" spans="2:21" ht="15.75" customHeight="1" x14ac:dyDescent="0.15">
      <c r="B5" s="3" t="s">
        <v>9</v>
      </c>
      <c r="C5" s="4">
        <v>2.8580000000000001</v>
      </c>
      <c r="E5" s="4">
        <v>0.501</v>
      </c>
      <c r="F5" s="4">
        <v>296</v>
      </c>
      <c r="H5" s="19">
        <f t="shared" ref="H5:H15" si="0">E5*0.0254-$C$18</f>
        <v>3.5814000000000002E-3</v>
      </c>
      <c r="I5" s="7">
        <f t="shared" ref="I5:I15" si="1">F5/2/1000</f>
        <v>0.14799999999999999</v>
      </c>
      <c r="J5" s="19">
        <f t="shared" ref="J5:J15" si="2">$C$19*LN((H5+$C$6)/H5)</f>
        <v>2.1552241888445307E-2</v>
      </c>
      <c r="K5" s="5">
        <f t="shared" ref="K5:K15" si="3">I5/J5</f>
        <v>6.8670350289334161</v>
      </c>
      <c r="M5" s="18">
        <f t="shared" ref="M5:M15" si="4">1/H5</f>
        <v>279.22041659686153</v>
      </c>
      <c r="N5" s="18">
        <f t="shared" ref="N5:N15" si="5">1/(H5+$C$8)</f>
        <v>13.127735491883122</v>
      </c>
      <c r="O5" t="e">
        <f>I5/#REF!</f>
        <v>#REF!</v>
      </c>
      <c r="P5" s="6">
        <f>$P$18*(LN($P$19*M5)-LN($P$19*N5))</f>
        <v>9.1718228651125194E-2</v>
      </c>
      <c r="Q5" s="1">
        <f>M5*$Q$2</f>
        <v>0.15636343329424243</v>
      </c>
    </row>
    <row r="6" spans="2:21" ht="15.75" customHeight="1" x14ac:dyDescent="0.15">
      <c r="B6" s="3" t="s">
        <v>10</v>
      </c>
      <c r="C6" s="7">
        <f>C5*0.0254</f>
        <v>7.2593199999999997E-2</v>
      </c>
      <c r="E6" s="4">
        <v>0.6</v>
      </c>
      <c r="F6" s="4">
        <v>194</v>
      </c>
      <c r="H6" s="19">
        <f t="shared" si="0"/>
        <v>6.095999999999999E-3</v>
      </c>
      <c r="I6" s="7">
        <f t="shared" si="1"/>
        <v>9.7000000000000003E-2</v>
      </c>
      <c r="J6" s="19">
        <f t="shared" si="2"/>
        <v>1.8031715351764895E-2</v>
      </c>
      <c r="K6" s="5">
        <f t="shared" si="3"/>
        <v>5.379410561209081</v>
      </c>
      <c r="M6" s="18">
        <f t="shared" si="4"/>
        <v>164.04199475065619</v>
      </c>
      <c r="N6" s="18">
        <f t="shared" si="5"/>
        <v>12.708224254408483</v>
      </c>
      <c r="O6" t="e">
        <f>I6/#REF!</f>
        <v>#REF!</v>
      </c>
      <c r="P6" s="6">
        <f t="shared" ref="P6:P15" si="6">$P$18*(LN($P$19*M6)-LN($P$19*N6))</f>
        <v>7.6736192929044669E-2</v>
      </c>
      <c r="Q6" s="1">
        <f t="shared" ref="Q6:Q15" si="7">M6*$Q$2</f>
        <v>9.1863517060367453E-2</v>
      </c>
    </row>
    <row r="7" spans="2:21" ht="15.75" customHeight="1" x14ac:dyDescent="0.15">
      <c r="B7" s="3" t="s">
        <v>11</v>
      </c>
      <c r="C7" s="4">
        <v>2.8580000000000001</v>
      </c>
      <c r="E7" s="4">
        <v>0.7</v>
      </c>
      <c r="F7" s="4">
        <v>142</v>
      </c>
      <c r="H7" s="19">
        <f t="shared" si="0"/>
        <v>8.6359999999999978E-3</v>
      </c>
      <c r="I7" s="7">
        <f t="shared" si="1"/>
        <v>7.0999999999999994E-2</v>
      </c>
      <c r="J7" s="19">
        <f t="shared" si="2"/>
        <v>1.5800283344068744E-2</v>
      </c>
      <c r="K7" s="5">
        <f t="shared" si="3"/>
        <v>4.4935903017620644</v>
      </c>
      <c r="M7" s="18">
        <f t="shared" si="4"/>
        <v>115.79434923575732</v>
      </c>
      <c r="N7" s="18">
        <f t="shared" si="5"/>
        <v>12.310843883726541</v>
      </c>
      <c r="O7" t="e">
        <f>I7/#REF!</f>
        <v>#REF!</v>
      </c>
      <c r="P7" s="6">
        <f t="shared" si="6"/>
        <v>6.7240058273510775E-2</v>
      </c>
      <c r="Q7" s="1">
        <f t="shared" si="7"/>
        <v>6.4844835572024098E-2</v>
      </c>
      <c r="R7" s="8"/>
    </row>
    <row r="8" spans="2:21" ht="15.75" customHeight="1" x14ac:dyDescent="0.15">
      <c r="B8" s="3" t="s">
        <v>12</v>
      </c>
      <c r="C8" s="7">
        <f>C7*0.0254</f>
        <v>7.2593199999999997E-2</v>
      </c>
      <c r="D8">
        <f>1/C8</f>
        <v>13.775394940572946</v>
      </c>
      <c r="E8" s="4">
        <v>0.8</v>
      </c>
      <c r="F8" s="4">
        <v>112</v>
      </c>
      <c r="H8" s="19">
        <f t="shared" si="0"/>
        <v>1.1176000000000002E-2</v>
      </c>
      <c r="I8" s="7">
        <f t="shared" si="1"/>
        <v>5.6000000000000001E-2</v>
      </c>
      <c r="J8" s="19">
        <f t="shared" si="2"/>
        <v>1.4199776422110838E-2</v>
      </c>
      <c r="K8" s="5">
        <f t="shared" si="3"/>
        <v>3.9437240654578867</v>
      </c>
      <c r="M8" s="18">
        <f t="shared" si="4"/>
        <v>89.477451682176081</v>
      </c>
      <c r="N8" s="18">
        <f t="shared" si="5"/>
        <v>11.937561776882195</v>
      </c>
      <c r="O8" t="e">
        <f>I8/#REF!</f>
        <v>#REF!</v>
      </c>
      <c r="P8" s="6">
        <f t="shared" si="6"/>
        <v>6.0428903286217119E-2</v>
      </c>
      <c r="Q8" s="1">
        <f t="shared" si="7"/>
        <v>5.0107372942018599E-2</v>
      </c>
    </row>
    <row r="9" spans="2:21" ht="15.75" customHeight="1" x14ac:dyDescent="0.15">
      <c r="B9" s="3" t="s">
        <v>13</v>
      </c>
      <c r="C9" s="4">
        <v>6</v>
      </c>
      <c r="E9" s="4">
        <v>0.9</v>
      </c>
      <c r="F9" s="4">
        <v>90</v>
      </c>
      <c r="H9" s="19">
        <f t="shared" si="0"/>
        <v>1.3715999999999999E-2</v>
      </c>
      <c r="I9" s="7">
        <f t="shared" si="1"/>
        <v>4.4999999999999998E-2</v>
      </c>
      <c r="J9" s="19">
        <f t="shared" si="2"/>
        <v>1.2966653164175175E-2</v>
      </c>
      <c r="K9" s="5">
        <f t="shared" si="3"/>
        <v>3.4704406318453804</v>
      </c>
      <c r="M9" s="18">
        <f t="shared" si="4"/>
        <v>72.907553222513855</v>
      </c>
      <c r="N9" s="18">
        <f t="shared" si="5"/>
        <v>11.586250364966887</v>
      </c>
      <c r="O9" t="e">
        <f>I9/#REF!</f>
        <v>#REF!</v>
      </c>
      <c r="P9" s="6">
        <f t="shared" si="6"/>
        <v>5.5181194880206723E-2</v>
      </c>
      <c r="Q9" s="1">
        <f t="shared" si="7"/>
        <v>4.0828229804607756E-2</v>
      </c>
    </row>
    <row r="10" spans="2:21" ht="15.75" customHeight="1" x14ac:dyDescent="0.15">
      <c r="B10" s="3" t="s">
        <v>14</v>
      </c>
      <c r="C10" s="4">
        <v>5</v>
      </c>
      <c r="E10" s="4">
        <v>1</v>
      </c>
      <c r="F10" s="4">
        <v>73.599999999999994</v>
      </c>
      <c r="H10" s="19">
        <f t="shared" si="0"/>
        <v>1.6256E-2</v>
      </c>
      <c r="I10" s="7">
        <f t="shared" si="1"/>
        <v>3.6799999999999999E-2</v>
      </c>
      <c r="J10" s="19">
        <f t="shared" si="2"/>
        <v>1.1973416701868403E-2</v>
      </c>
      <c r="K10" s="5">
        <f t="shared" si="3"/>
        <v>3.0734752590927124</v>
      </c>
      <c r="M10" s="18">
        <f t="shared" si="4"/>
        <v>61.515748031496067</v>
      </c>
      <c r="N10" s="18">
        <f t="shared" si="5"/>
        <v>11.255025368827182</v>
      </c>
      <c r="O10" t="e">
        <f>I10/#REF!</f>
        <v>#REF!</v>
      </c>
      <c r="P10" s="6">
        <f t="shared" si="6"/>
        <v>5.0954354376744893E-2</v>
      </c>
      <c r="Q10" s="1">
        <f t="shared" si="7"/>
        <v>3.4448818897637797E-2</v>
      </c>
    </row>
    <row r="11" spans="2:21" ht="15.75" customHeight="1" x14ac:dyDescent="0.15">
      <c r="B11" s="3" t="s">
        <v>15</v>
      </c>
      <c r="C11" s="4">
        <v>2.0169999999999999</v>
      </c>
      <c r="E11" s="4">
        <v>1.1000000000000001</v>
      </c>
      <c r="F11" s="4">
        <v>63.2</v>
      </c>
      <c r="H11" s="19">
        <f t="shared" si="0"/>
        <v>1.8796E-2</v>
      </c>
      <c r="I11" s="7">
        <f t="shared" si="1"/>
        <v>3.1600000000000003E-2</v>
      </c>
      <c r="J11" s="19">
        <f t="shared" si="2"/>
        <v>1.1148659185979749E-2</v>
      </c>
      <c r="K11" s="5">
        <f t="shared" si="3"/>
        <v>2.8344215634234566</v>
      </c>
      <c r="M11" s="18">
        <f t="shared" si="4"/>
        <v>53.20280910832092</v>
      </c>
      <c r="N11" s="18">
        <f t="shared" si="5"/>
        <v>10.94221199003821</v>
      </c>
      <c r="O11" t="e">
        <f>I11/#REF!</f>
        <v>#REF!</v>
      </c>
      <c r="P11" s="6">
        <f t="shared" si="6"/>
        <v>4.7444496849367884E-2</v>
      </c>
      <c r="Q11" s="1">
        <f t="shared" si="7"/>
        <v>2.9793573100659713E-2</v>
      </c>
    </row>
    <row r="12" spans="2:21" ht="15.75" customHeight="1" x14ac:dyDescent="0.15">
      <c r="B12" s="3" t="s">
        <v>16</v>
      </c>
      <c r="C12" s="9">
        <f>C11*0.0254</f>
        <v>5.1231799999999994E-2</v>
      </c>
      <c r="E12" s="4">
        <v>1.2</v>
      </c>
      <c r="F12" s="4">
        <v>55.2</v>
      </c>
      <c r="H12" s="19">
        <f t="shared" si="0"/>
        <v>2.1335999999999997E-2</v>
      </c>
      <c r="I12" s="7">
        <f t="shared" si="1"/>
        <v>2.7600000000000003E-2</v>
      </c>
      <c r="J12" s="19">
        <f t="shared" si="2"/>
        <v>1.0448378441144756E-2</v>
      </c>
      <c r="K12" s="5">
        <f t="shared" si="3"/>
        <v>2.6415582241272708</v>
      </c>
      <c r="M12" s="18">
        <f t="shared" si="4"/>
        <v>46.869141357330342</v>
      </c>
      <c r="N12" s="18">
        <f t="shared" si="5"/>
        <v>10.646316587387098</v>
      </c>
      <c r="O12" t="e">
        <f>I12/#REF!</f>
        <v>#REF!</v>
      </c>
      <c r="P12" s="6">
        <f t="shared" si="6"/>
        <v>4.4464365603291325E-2</v>
      </c>
      <c r="Q12" s="1">
        <f t="shared" si="7"/>
        <v>2.624671916010499E-2</v>
      </c>
    </row>
    <row r="13" spans="2:21" ht="15.75" customHeight="1" x14ac:dyDescent="0.15">
      <c r="B13" s="3" t="s">
        <v>17</v>
      </c>
      <c r="C13" s="4">
        <v>200000</v>
      </c>
      <c r="E13" s="4">
        <v>1.3</v>
      </c>
      <c r="F13" s="4">
        <v>48</v>
      </c>
      <c r="H13" s="19">
        <f t="shared" si="0"/>
        <v>2.3876000000000001E-2</v>
      </c>
      <c r="I13" s="7">
        <f t="shared" si="1"/>
        <v>2.4E-2</v>
      </c>
      <c r="J13" s="19">
        <f t="shared" si="2"/>
        <v>9.8435634063225533E-3</v>
      </c>
      <c r="K13" s="5">
        <f t="shared" si="3"/>
        <v>2.4381414544030591</v>
      </c>
      <c r="M13" s="18">
        <f t="shared" si="4"/>
        <v>41.88306248952923</v>
      </c>
      <c r="N13" s="18">
        <f t="shared" si="5"/>
        <v>10.366002827845572</v>
      </c>
      <c r="O13" t="e">
        <f>I13/#REF!</f>
        <v>#REF!</v>
      </c>
      <c r="P13" s="6">
        <f t="shared" si="6"/>
        <v>4.1890500483245441E-2</v>
      </c>
      <c r="Q13" s="1">
        <f t="shared" si="7"/>
        <v>2.3454514994136366E-2</v>
      </c>
    </row>
    <row r="14" spans="2:21" ht="15.75" customHeight="1" x14ac:dyDescent="0.15">
      <c r="B14" s="3" t="s">
        <v>18</v>
      </c>
      <c r="C14" s="4">
        <v>120</v>
      </c>
      <c r="E14" s="4">
        <v>1.4</v>
      </c>
      <c r="F14" s="4">
        <v>42</v>
      </c>
      <c r="H14" s="19">
        <f t="shared" si="0"/>
        <v>2.6415999999999995E-2</v>
      </c>
      <c r="I14" s="7">
        <f t="shared" si="1"/>
        <v>2.1000000000000001E-2</v>
      </c>
      <c r="J14" s="19">
        <f t="shared" si="2"/>
        <v>9.3140960307079752E-3</v>
      </c>
      <c r="K14" s="5">
        <f t="shared" si="3"/>
        <v>2.2546471424349024</v>
      </c>
      <c r="M14" s="18">
        <f t="shared" si="4"/>
        <v>37.855844942459122</v>
      </c>
      <c r="N14" s="18">
        <f t="shared" si="5"/>
        <v>10.10007150850628</v>
      </c>
      <c r="O14" t="e">
        <f>I14/#REF!</f>
        <v>#REF!</v>
      </c>
      <c r="P14" s="6">
        <f t="shared" si="6"/>
        <v>3.9637286637962642E-2</v>
      </c>
      <c r="Q14" s="1">
        <f t="shared" si="7"/>
        <v>2.1199273167777106E-2</v>
      </c>
    </row>
    <row r="15" spans="2:21" ht="15.75" customHeight="1" x14ac:dyDescent="0.15">
      <c r="B15" s="3" t="s">
        <v>19</v>
      </c>
      <c r="C15" s="4">
        <v>6.88</v>
      </c>
      <c r="E15" s="4">
        <v>1.5</v>
      </c>
      <c r="F15" s="4">
        <v>37.6</v>
      </c>
      <c r="H15" s="19">
        <f t="shared" si="0"/>
        <v>2.8955999999999996E-2</v>
      </c>
      <c r="I15" s="7">
        <f t="shared" si="1"/>
        <v>1.8800000000000001E-2</v>
      </c>
      <c r="J15" s="19">
        <f t="shared" si="2"/>
        <v>8.8454673108103767E-3</v>
      </c>
      <c r="K15" s="5">
        <f t="shared" si="3"/>
        <v>2.125382338706268</v>
      </c>
      <c r="M15" s="18">
        <f t="shared" si="4"/>
        <v>34.535156789611833</v>
      </c>
      <c r="N15" s="18">
        <f t="shared" si="5"/>
        <v>9.8474434067427428</v>
      </c>
      <c r="O15" t="e">
        <f>I15/#REF!</f>
        <v>#REF!</v>
      </c>
      <c r="P15" s="6">
        <f t="shared" si="6"/>
        <v>3.764297921015413E-2</v>
      </c>
      <c r="Q15" s="1">
        <f t="shared" si="7"/>
        <v>1.9339687802182624E-2</v>
      </c>
    </row>
    <row r="16" spans="2:21" ht="15.75" customHeight="1" x14ac:dyDescent="0.15">
      <c r="B16" s="3" t="s">
        <v>20</v>
      </c>
      <c r="C16" s="10">
        <f>2*C15*C13/C14</f>
        <v>22933.333333333332</v>
      </c>
    </row>
    <row r="17" spans="2:16" ht="15.75" customHeight="1" x14ac:dyDescent="0.15">
      <c r="B17" s="3" t="s">
        <v>21</v>
      </c>
      <c r="C17" s="4">
        <v>0.36</v>
      </c>
    </row>
    <row r="18" spans="2:16" ht="15.75" customHeight="1" x14ac:dyDescent="0.15">
      <c r="B18" s="3" t="s">
        <v>22</v>
      </c>
      <c r="C18" s="38">
        <f>C17*0.0254</f>
        <v>9.1439999999999994E-3</v>
      </c>
      <c r="O18" s="17" t="s">
        <v>61</v>
      </c>
      <c r="P18" s="16">
        <v>0.03</v>
      </c>
    </row>
    <row r="19" spans="2:16" ht="15.75" customHeight="1" x14ac:dyDescent="0.15">
      <c r="B19" s="3" t="s">
        <v>23</v>
      </c>
      <c r="C19" s="5">
        <f>0.0000002*C16*C12*C9*C10</f>
        <v>7.0494956799999975E-3</v>
      </c>
      <c r="O19" s="17" t="s">
        <v>62</v>
      </c>
      <c r="P19" s="16">
        <v>1</v>
      </c>
    </row>
    <row r="20" spans="2:16" ht="15.75" customHeight="1" x14ac:dyDescent="0.15">
      <c r="D20">
        <f>E5*25.4</f>
        <v>12.725399999999999</v>
      </c>
    </row>
    <row r="21" spans="2:16" ht="15.75" customHeight="1" x14ac:dyDescent="0.15">
      <c r="D21">
        <f t="shared" ref="D21:D32" si="8">E6*25.4</f>
        <v>15.239999999999998</v>
      </c>
    </row>
    <row r="22" spans="2:16" ht="15.75" customHeight="1" x14ac:dyDescent="0.15">
      <c r="D22">
        <f t="shared" si="8"/>
        <v>17.779999999999998</v>
      </c>
    </row>
    <row r="23" spans="2:16" ht="15.75" customHeight="1" x14ac:dyDescent="0.15">
      <c r="D23">
        <f t="shared" si="8"/>
        <v>20.32</v>
      </c>
    </row>
    <row r="24" spans="2:16" ht="15.75" customHeight="1" x14ac:dyDescent="0.15">
      <c r="D24">
        <f t="shared" si="8"/>
        <v>22.86</v>
      </c>
    </row>
    <row r="25" spans="2:16" ht="15.75" customHeight="1" x14ac:dyDescent="0.15">
      <c r="D25">
        <f t="shared" si="8"/>
        <v>25.4</v>
      </c>
    </row>
    <row r="26" spans="2:16" ht="15.75" customHeight="1" x14ac:dyDescent="0.15">
      <c r="D26">
        <f t="shared" si="8"/>
        <v>27.94</v>
      </c>
    </row>
    <row r="27" spans="2:16" ht="15.75" customHeight="1" x14ac:dyDescent="0.15">
      <c r="D27">
        <f t="shared" si="8"/>
        <v>30.479999999999997</v>
      </c>
    </row>
    <row r="28" spans="2:16" ht="15.75" customHeight="1" x14ac:dyDescent="0.15">
      <c r="D28">
        <f t="shared" si="8"/>
        <v>33.019999999999996</v>
      </c>
    </row>
    <row r="29" spans="2:16" ht="15.75" customHeight="1" x14ac:dyDescent="0.15">
      <c r="D29">
        <f t="shared" si="8"/>
        <v>35.559999999999995</v>
      </c>
    </row>
    <row r="30" spans="2:16" ht="15.75" customHeight="1" x14ac:dyDescent="0.15">
      <c r="D30">
        <f t="shared" si="8"/>
        <v>38.099999999999994</v>
      </c>
    </row>
    <row r="31" spans="2:16" ht="15.75" customHeight="1" x14ac:dyDescent="0.15">
      <c r="D31">
        <f t="shared" si="8"/>
        <v>0</v>
      </c>
    </row>
    <row r="32" spans="2:16" ht="15.75" customHeight="1" x14ac:dyDescent="0.15">
      <c r="D32">
        <f t="shared" si="8"/>
        <v>0</v>
      </c>
    </row>
  </sheetData>
  <mergeCells count="1">
    <mergeCell ref="B4:C4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6"/>
  <sheetViews>
    <sheetView workbookViewId="0">
      <selection activeCell="C12" sqref="C12"/>
    </sheetView>
  </sheetViews>
  <sheetFormatPr baseColWidth="10" defaultColWidth="14.5" defaultRowHeight="15.75" customHeight="1" x14ac:dyDescent="0.15"/>
  <cols>
    <col min="1" max="1" width="6.6640625" customWidth="1"/>
    <col min="3" max="3" width="75.33203125" customWidth="1"/>
  </cols>
  <sheetData>
    <row r="3" spans="2:5" ht="15.75" customHeight="1" x14ac:dyDescent="0.15">
      <c r="B3" s="11" t="s">
        <v>24</v>
      </c>
      <c r="C3" s="11" t="s">
        <v>25</v>
      </c>
      <c r="D3" s="11" t="s">
        <v>26</v>
      </c>
      <c r="E3" s="11" t="s">
        <v>27</v>
      </c>
    </row>
    <row r="4" spans="2:5" ht="15.75" customHeight="1" x14ac:dyDescent="0.15">
      <c r="B4" s="12" t="s">
        <v>28</v>
      </c>
      <c r="C4" s="12" t="s">
        <v>29</v>
      </c>
      <c r="D4" s="12" t="s">
        <v>30</v>
      </c>
      <c r="E4" s="12" t="s">
        <v>31</v>
      </c>
    </row>
    <row r="5" spans="2:5" ht="15.75" customHeight="1" x14ac:dyDescent="0.15">
      <c r="B5" s="12" t="s">
        <v>32</v>
      </c>
      <c r="C5" s="12" t="s">
        <v>33</v>
      </c>
      <c r="D5" s="12" t="s">
        <v>30</v>
      </c>
      <c r="E5" s="12" t="s">
        <v>31</v>
      </c>
    </row>
    <row r="6" spans="2:5" ht="15.75" customHeight="1" x14ac:dyDescent="0.15">
      <c r="B6" s="12" t="s">
        <v>13</v>
      </c>
      <c r="C6" s="12" t="s">
        <v>34</v>
      </c>
      <c r="D6" s="13"/>
      <c r="E6" s="13"/>
    </row>
    <row r="7" spans="2:5" ht="15.75" customHeight="1" x14ac:dyDescent="0.15">
      <c r="B7" s="12" t="s">
        <v>14</v>
      </c>
      <c r="C7" s="12" t="s">
        <v>35</v>
      </c>
      <c r="D7" s="13"/>
      <c r="E7" s="13"/>
    </row>
    <row r="8" spans="2:5" ht="15.75" customHeight="1" x14ac:dyDescent="0.15">
      <c r="B8" s="12" t="s">
        <v>36</v>
      </c>
      <c r="C8" s="12" t="s">
        <v>37</v>
      </c>
      <c r="D8" s="12" t="s">
        <v>30</v>
      </c>
      <c r="E8" s="12" t="s">
        <v>31</v>
      </c>
    </row>
    <row r="9" spans="2:5" ht="15.75" customHeight="1" x14ac:dyDescent="0.15">
      <c r="B9" s="12" t="s">
        <v>38</v>
      </c>
      <c r="C9" s="12" t="s">
        <v>39</v>
      </c>
      <c r="D9" s="12" t="s">
        <v>40</v>
      </c>
      <c r="E9" s="12" t="s">
        <v>40</v>
      </c>
    </row>
    <row r="10" spans="2:5" ht="15.75" customHeight="1" x14ac:dyDescent="0.15">
      <c r="B10" s="12" t="s">
        <v>41</v>
      </c>
      <c r="C10" s="12" t="s">
        <v>42</v>
      </c>
      <c r="D10" s="12"/>
      <c r="E10" s="12" t="s">
        <v>43</v>
      </c>
    </row>
    <row r="11" spans="2:5" ht="15.75" customHeight="1" x14ac:dyDescent="0.15">
      <c r="B11" s="12" t="s">
        <v>44</v>
      </c>
      <c r="C11" s="12" t="s">
        <v>45</v>
      </c>
      <c r="D11" s="12" t="s">
        <v>30</v>
      </c>
      <c r="E11" s="12" t="s">
        <v>31</v>
      </c>
    </row>
    <row r="12" spans="2:5" ht="15.75" customHeight="1" x14ac:dyDescent="0.15">
      <c r="B12" s="12" t="s">
        <v>46</v>
      </c>
      <c r="C12" s="12" t="s">
        <v>47</v>
      </c>
      <c r="D12" s="12" t="s">
        <v>30</v>
      </c>
      <c r="E12" s="12" t="s">
        <v>31</v>
      </c>
    </row>
    <row r="13" spans="2:5" ht="15.75" customHeight="1" x14ac:dyDescent="0.15">
      <c r="B13" s="12" t="s">
        <v>48</v>
      </c>
      <c r="C13" s="12" t="s">
        <v>49</v>
      </c>
      <c r="D13" s="12" t="s">
        <v>50</v>
      </c>
      <c r="E13" s="12" t="s">
        <v>43</v>
      </c>
    </row>
    <row r="14" spans="2:5" ht="15.75" customHeight="1" x14ac:dyDescent="0.15">
      <c r="B14" s="12" t="s">
        <v>51</v>
      </c>
      <c r="C14" s="12" t="s">
        <v>52</v>
      </c>
      <c r="D14" s="12"/>
      <c r="E14" s="12" t="s">
        <v>43</v>
      </c>
    </row>
    <row r="15" spans="2:5" ht="15.75" customHeight="1" x14ac:dyDescent="0.15">
      <c r="B15" s="12" t="s">
        <v>53</v>
      </c>
      <c r="C15" s="12" t="s">
        <v>54</v>
      </c>
      <c r="D15" s="13"/>
      <c r="E15" s="12" t="s">
        <v>55</v>
      </c>
    </row>
    <row r="16" spans="2:5" ht="15.75" customHeight="1" x14ac:dyDescent="0.15">
      <c r="B16" s="12" t="s">
        <v>56</v>
      </c>
      <c r="C16" s="12" t="s">
        <v>57</v>
      </c>
      <c r="D16" s="14"/>
      <c r="E16" s="14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2"/>
  <sheetViews>
    <sheetView tabSelected="1" zoomScale="89" workbookViewId="0">
      <selection activeCell="C31" sqref="C31"/>
    </sheetView>
  </sheetViews>
  <sheetFormatPr baseColWidth="10" defaultRowHeight="13" x14ac:dyDescent="0.15"/>
  <cols>
    <col min="2" max="2" width="25.5" bestFit="1" customWidth="1"/>
    <col min="5" max="5" width="5.1640625" customWidth="1"/>
    <col min="6" max="6" width="3.83203125" customWidth="1"/>
    <col min="7" max="7" width="14.33203125" bestFit="1" customWidth="1"/>
    <col min="15" max="15" width="18.33203125" bestFit="1" customWidth="1"/>
    <col min="16" max="17" width="12.1640625" bestFit="1" customWidth="1"/>
  </cols>
  <sheetData>
    <row r="1" spans="1:19" x14ac:dyDescent="0.1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</row>
    <row r="2" spans="1:19" x14ac:dyDescent="0.1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</row>
    <row r="3" spans="1:19" x14ac:dyDescent="0.1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</row>
    <row r="4" spans="1:19" x14ac:dyDescent="0.15">
      <c r="A4" s="22"/>
      <c r="B4" s="23" t="s">
        <v>68</v>
      </c>
      <c r="C4" s="24">
        <v>42337</v>
      </c>
      <c r="D4" s="25"/>
      <c r="E4" s="22"/>
      <c r="F4" s="22"/>
      <c r="G4" s="23" t="s">
        <v>69</v>
      </c>
      <c r="H4" s="26" t="s">
        <v>100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</row>
    <row r="5" spans="1:19" x14ac:dyDescent="0.15">
      <c r="A5" s="22"/>
      <c r="B5" s="23" t="s">
        <v>70</v>
      </c>
      <c r="C5" s="27" t="s">
        <v>110</v>
      </c>
      <c r="D5" s="27"/>
      <c r="E5" s="22"/>
      <c r="F5" s="22"/>
      <c r="G5" s="23" t="s">
        <v>71</v>
      </c>
      <c r="H5" s="28">
        <v>200000</v>
      </c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</row>
    <row r="6" spans="1:19" x14ac:dyDescent="0.15">
      <c r="A6" s="22"/>
      <c r="B6" s="22"/>
      <c r="C6" s="22"/>
      <c r="D6" s="22"/>
      <c r="E6" s="22"/>
      <c r="F6" s="22"/>
      <c r="G6" s="23" t="s">
        <v>72</v>
      </c>
      <c r="H6" s="29" t="s">
        <v>73</v>
      </c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</row>
    <row r="7" spans="1:19" x14ac:dyDescent="0.15">
      <c r="A7" s="22"/>
      <c r="B7" s="30"/>
      <c r="C7" s="31" t="s">
        <v>74</v>
      </c>
      <c r="D7" s="31" t="s">
        <v>75</v>
      </c>
      <c r="E7" s="22"/>
      <c r="F7" s="22"/>
      <c r="G7" s="23" t="s">
        <v>76</v>
      </c>
      <c r="H7" s="4">
        <v>6.88</v>
      </c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</row>
    <row r="8" spans="1:19" x14ac:dyDescent="0.15">
      <c r="A8" s="22"/>
      <c r="B8" s="23" t="s">
        <v>77</v>
      </c>
      <c r="C8" s="33" t="s">
        <v>100</v>
      </c>
      <c r="D8" s="33" t="s">
        <v>100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</row>
    <row r="9" spans="1:19" x14ac:dyDescent="0.15">
      <c r="A9" s="22"/>
      <c r="B9" s="23" t="s">
        <v>78</v>
      </c>
      <c r="C9" s="28">
        <v>51.2318</v>
      </c>
      <c r="D9" s="28">
        <v>51.2318</v>
      </c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</row>
    <row r="10" spans="1:19" x14ac:dyDescent="0.15">
      <c r="A10" s="22"/>
      <c r="B10" s="23" t="s">
        <v>79</v>
      </c>
      <c r="C10" s="28">
        <v>72.593199999999996</v>
      </c>
      <c r="D10" s="28">
        <v>72.593199999999996</v>
      </c>
      <c r="E10" s="22"/>
      <c r="F10" s="22"/>
      <c r="G10" s="31" t="s">
        <v>80</v>
      </c>
      <c r="H10" s="31" t="s">
        <v>81</v>
      </c>
      <c r="I10" s="22"/>
      <c r="J10" s="31" t="s">
        <v>81</v>
      </c>
      <c r="K10" s="31" t="s">
        <v>82</v>
      </c>
      <c r="L10" s="31" t="s">
        <v>83</v>
      </c>
      <c r="M10" s="31" t="s">
        <v>84</v>
      </c>
      <c r="N10" s="31" t="s">
        <v>85</v>
      </c>
      <c r="O10" s="31" t="s">
        <v>86</v>
      </c>
      <c r="P10" s="31" t="s">
        <v>87</v>
      </c>
      <c r="Q10" s="31" t="s">
        <v>88</v>
      </c>
      <c r="R10" s="22"/>
      <c r="S10" s="22"/>
    </row>
    <row r="11" spans="1:19" x14ac:dyDescent="0.15">
      <c r="A11" s="22"/>
      <c r="B11" s="23" t="s">
        <v>89</v>
      </c>
      <c r="C11" s="32">
        <v>6</v>
      </c>
      <c r="D11" s="32">
        <v>5</v>
      </c>
      <c r="E11" s="22"/>
      <c r="F11" s="22"/>
      <c r="G11" s="32">
        <v>12.725399999999999</v>
      </c>
      <c r="H11" s="4">
        <v>296</v>
      </c>
      <c r="I11" s="22"/>
      <c r="J11" s="39">
        <f>H11/2/$D$18</f>
        <v>14.8</v>
      </c>
      <c r="K11" s="34">
        <f>0.001*(G11-$C$20+$C$21)</f>
        <v>3.5813999999999985E-3</v>
      </c>
      <c r="L11" s="34">
        <f>K11+$D$26</f>
        <v>7.6174599999999995E-2</v>
      </c>
      <c r="M11" s="34">
        <f>K11+$C$26</f>
        <v>7.6174599999999995E-2</v>
      </c>
      <c r="N11" s="34">
        <f>K11+$C$26+$D$26</f>
        <v>0.14876780000000001</v>
      </c>
      <c r="O11" s="35">
        <f>1/K11+1/L11-1/M11-1/N11</f>
        <v>272.49853188793946</v>
      </c>
      <c r="P11" s="35">
        <f>$C$29*$C$30*O11*1000</f>
        <v>12.486351951777415</v>
      </c>
      <c r="Q11" s="35">
        <f>$C$32*(LN(L11/K11)-LN(M11/N11))*1000</f>
        <v>26.270882640254829</v>
      </c>
      <c r="R11" s="22"/>
      <c r="S11" s="22"/>
    </row>
    <row r="12" spans="1:19" x14ac:dyDescent="0.15">
      <c r="A12" s="22"/>
      <c r="B12" s="23" t="s">
        <v>90</v>
      </c>
      <c r="C12" s="32" t="s">
        <v>100</v>
      </c>
      <c r="D12" s="32" t="s">
        <v>100</v>
      </c>
      <c r="E12" s="22"/>
      <c r="F12" s="22"/>
      <c r="G12" s="32">
        <v>15.239999999999998</v>
      </c>
      <c r="H12" s="4">
        <v>194</v>
      </c>
      <c r="I12" s="22"/>
      <c r="J12" s="39">
        <f t="shared" ref="J12:J21" si="0">H12/2/$D$18</f>
        <v>9.6999999999999993</v>
      </c>
      <c r="K12" s="34">
        <f>0.001*(G12-$C$20+$C$21)</f>
        <v>6.0959999999999981E-3</v>
      </c>
      <c r="L12" s="34">
        <f>K12+$D$26</f>
        <v>7.8689200000000001E-2</v>
      </c>
      <c r="M12" s="34">
        <f>K12+$C$26</f>
        <v>7.8689200000000001E-2</v>
      </c>
      <c r="N12" s="34">
        <f>K12+$C$26+$D$26</f>
        <v>0.15128239999999998</v>
      </c>
      <c r="O12" s="35">
        <f t="shared" ref="O12:O19" si="1">1/K12+1/L12-1/M12-1/N12</f>
        <v>157.43184049609653</v>
      </c>
      <c r="P12" s="35">
        <f>$C$29*$C$30*O12*1000</f>
        <v>7.2137980165659306</v>
      </c>
      <c r="Q12" s="35">
        <f>$C$32*LN(L12/K12)*1000</f>
        <v>18.031715351764902</v>
      </c>
      <c r="R12" s="22"/>
      <c r="S12" s="22"/>
    </row>
    <row r="13" spans="1:19" x14ac:dyDescent="0.15">
      <c r="A13" s="22"/>
      <c r="B13" s="23" t="s">
        <v>91</v>
      </c>
      <c r="C13" s="34" t="s">
        <v>92</v>
      </c>
      <c r="D13" s="34" t="s">
        <v>92</v>
      </c>
      <c r="E13" s="22"/>
      <c r="F13" s="22"/>
      <c r="G13" s="32">
        <v>17.779999999999998</v>
      </c>
      <c r="H13" s="4">
        <v>142</v>
      </c>
      <c r="I13" s="22"/>
      <c r="J13" s="39">
        <f t="shared" si="0"/>
        <v>7.1</v>
      </c>
      <c r="K13" s="34">
        <f>0.001*(G13-$C$20+$C$21)</f>
        <v>8.6359999999999978E-3</v>
      </c>
      <c r="L13" s="34">
        <f>K13+$D$26</f>
        <v>8.1229200000000001E-2</v>
      </c>
      <c r="M13" s="34">
        <f>K13+$C$26</f>
        <v>8.1229200000000001E-2</v>
      </c>
      <c r="N13" s="34">
        <f>K13+$C$26+$D$26</f>
        <v>0.1538224</v>
      </c>
      <c r="O13" s="35">
        <f t="shared" si="1"/>
        <v>109.29334548077756</v>
      </c>
      <c r="P13" s="35">
        <f>$C$29*$C$30*O13*1000</f>
        <v>5.0080092843266781</v>
      </c>
      <c r="Q13" s="35">
        <f>$C$32*LN(L13/K13)*1000</f>
        <v>15.800283344068751</v>
      </c>
      <c r="R13" s="22"/>
      <c r="S13" s="22"/>
    </row>
    <row r="14" spans="1:19" x14ac:dyDescent="0.15">
      <c r="A14" s="22"/>
      <c r="B14" s="23" t="s">
        <v>93</v>
      </c>
      <c r="C14" s="29" t="s">
        <v>94</v>
      </c>
      <c r="D14" s="29" t="s">
        <v>94</v>
      </c>
      <c r="E14" s="22"/>
      <c r="F14" s="22"/>
      <c r="G14" s="32">
        <v>20.32</v>
      </c>
      <c r="H14" s="4">
        <v>112</v>
      </c>
      <c r="I14" s="22"/>
      <c r="J14" s="39">
        <f t="shared" si="0"/>
        <v>5.6</v>
      </c>
      <c r="K14" s="34">
        <f>0.001*(G14-$C$20+$C$21)</f>
        <v>1.1176E-2</v>
      </c>
      <c r="L14" s="34">
        <f>K14+$D$26</f>
        <v>8.3769200000000002E-2</v>
      </c>
      <c r="M14" s="34">
        <f>K14+$C$26</f>
        <v>8.3769200000000002E-2</v>
      </c>
      <c r="N14" s="34">
        <f>K14+$C$26+$D$26</f>
        <v>0.15636240000000001</v>
      </c>
      <c r="O14" s="35">
        <f t="shared" si="1"/>
        <v>83.082052276692423</v>
      </c>
      <c r="P14" s="35">
        <f>$C$29*$C$30*O14*1000</f>
        <v>3.8069626959655034</v>
      </c>
      <c r="Q14" s="35">
        <f>$C$32*LN(L14/K14)*1000</f>
        <v>14.199776422110848</v>
      </c>
      <c r="R14" s="22"/>
      <c r="S14" s="22"/>
    </row>
    <row r="15" spans="1:19" x14ac:dyDescent="0.15">
      <c r="A15" s="22"/>
      <c r="B15" s="23" t="s">
        <v>95</v>
      </c>
      <c r="C15" s="29" t="s">
        <v>96</v>
      </c>
      <c r="D15" s="29" t="s">
        <v>96</v>
      </c>
      <c r="E15" s="22"/>
      <c r="F15" s="22"/>
      <c r="G15" s="32">
        <v>22.86</v>
      </c>
      <c r="H15" s="4">
        <v>90</v>
      </c>
      <c r="I15" s="22"/>
      <c r="J15" s="39">
        <f t="shared" si="0"/>
        <v>4.5</v>
      </c>
      <c r="K15" s="34">
        <f>0.001*(G15-$C$20+$C$21)</f>
        <v>1.3715999999999999E-2</v>
      </c>
      <c r="L15" s="34">
        <f>K15+$D$26</f>
        <v>8.6309200000000003E-2</v>
      </c>
      <c r="M15" s="34">
        <f>K15+$C$26</f>
        <v>8.6309200000000003E-2</v>
      </c>
      <c r="N15" s="34">
        <f>K15+$C$26+$D$26</f>
        <v>0.1589024</v>
      </c>
      <c r="O15" s="35">
        <f t="shared" si="1"/>
        <v>66.614382068396608</v>
      </c>
      <c r="P15" s="35">
        <f>$C$29*$C$30*O15*1000</f>
        <v>3.0523856910107039</v>
      </c>
      <c r="Q15" s="35">
        <f>$C$32*LN(L15/K15)*1000</f>
        <v>12.966653164175181</v>
      </c>
      <c r="R15" s="22"/>
      <c r="S15" s="22"/>
    </row>
    <row r="16" spans="1:19" x14ac:dyDescent="0.15">
      <c r="A16" s="22"/>
      <c r="B16" s="23" t="s">
        <v>97</v>
      </c>
      <c r="C16" s="29" t="s">
        <v>100</v>
      </c>
      <c r="D16" s="29" t="s">
        <v>100</v>
      </c>
      <c r="E16" s="22"/>
      <c r="F16" s="22"/>
      <c r="G16" s="32">
        <v>25.4</v>
      </c>
      <c r="H16" s="4">
        <v>73.599999999999994</v>
      </c>
      <c r="I16" s="22"/>
      <c r="J16" s="39">
        <f t="shared" si="0"/>
        <v>3.6799999999999997</v>
      </c>
      <c r="K16" s="34">
        <f>0.001*(G16-$C$20+$C$21)</f>
        <v>1.6256E-2</v>
      </c>
      <c r="L16" s="34">
        <f>K16+$D$26</f>
        <v>8.8849199999999989E-2</v>
      </c>
      <c r="M16" s="34">
        <f>K16+$C$26</f>
        <v>8.8849199999999989E-2</v>
      </c>
      <c r="N16" s="34">
        <f>K16+$C$26+$D$26</f>
        <v>0.16144239999999999</v>
      </c>
      <c r="O16" s="35">
        <f t="shared" si="1"/>
        <v>55.321588380747563</v>
      </c>
      <c r="P16" s="35">
        <f>$C$29*$C$30*O16*1000</f>
        <v>2.534930438955318</v>
      </c>
      <c r="Q16" s="35">
        <f>$C$32*LN(L16/K16)*1000</f>
        <v>11.973416701868407</v>
      </c>
      <c r="R16" s="22"/>
      <c r="S16" s="22"/>
    </row>
    <row r="17" spans="1:19" x14ac:dyDescent="0.15">
      <c r="A17" s="22"/>
      <c r="B17" s="23" t="s">
        <v>98</v>
      </c>
      <c r="C17" s="29" t="s">
        <v>100</v>
      </c>
      <c r="D17" s="29" t="s">
        <v>100</v>
      </c>
      <c r="E17" s="22"/>
      <c r="F17" s="22"/>
      <c r="G17" s="32">
        <v>27.94</v>
      </c>
      <c r="H17" s="4">
        <v>63.2</v>
      </c>
      <c r="I17" s="22"/>
      <c r="J17" s="39">
        <f t="shared" si="0"/>
        <v>3.16</v>
      </c>
      <c r="K17" s="34">
        <f>0.001*(G17-$C$20+$C$21)</f>
        <v>1.8796E-2</v>
      </c>
      <c r="L17" s="34">
        <f>K17+$D$26</f>
        <v>9.1389200000000004E-2</v>
      </c>
      <c r="M17" s="34">
        <f>K17+$C$26</f>
        <v>9.1389200000000004E-2</v>
      </c>
      <c r="N17" s="34">
        <f>K17+$C$26+$D$26</f>
        <v>0.1639824</v>
      </c>
      <c r="O17" s="35">
        <f t="shared" si="1"/>
        <v>47.104593690080918</v>
      </c>
      <c r="P17" s="35">
        <f>$C$29*$C$30*O17*1000</f>
        <v>2.1584135932214745</v>
      </c>
      <c r="Q17" s="35">
        <f>$C$32*LN(L17/K17)*1000</f>
        <v>11.148659185979753</v>
      </c>
      <c r="R17" s="22"/>
      <c r="S17" s="22"/>
    </row>
    <row r="18" spans="1:19" x14ac:dyDescent="0.15">
      <c r="A18" s="22"/>
      <c r="B18" s="23" t="s">
        <v>111</v>
      </c>
      <c r="C18" s="32">
        <v>1</v>
      </c>
      <c r="D18" s="32">
        <v>10</v>
      </c>
      <c r="E18" s="22"/>
      <c r="F18" s="22"/>
      <c r="G18" s="32">
        <v>30.479999999999997</v>
      </c>
      <c r="H18" s="4">
        <v>55.2</v>
      </c>
      <c r="I18" s="22"/>
      <c r="J18" s="39">
        <f t="shared" si="0"/>
        <v>2.7600000000000002</v>
      </c>
      <c r="K18" s="34">
        <f>0.001*(G18-$C$20+$C$21)</f>
        <v>2.1335999999999997E-2</v>
      </c>
      <c r="L18" s="34">
        <f>K18+$D$26</f>
        <v>9.392919999999999E-2</v>
      </c>
      <c r="M18" s="34">
        <f>K18+$C$26</f>
        <v>9.392919999999999E-2</v>
      </c>
      <c r="N18" s="34">
        <f>K18+$C$26+$D$26</f>
        <v>0.16652239999999999</v>
      </c>
      <c r="O18" s="35">
        <f t="shared" si="1"/>
        <v>40.863943257855439</v>
      </c>
      <c r="P18" s="35">
        <f>$C$29*$C$30*O18*1000</f>
        <v>1.8724562445161108</v>
      </c>
      <c r="Q18" s="35">
        <f>$C$32*LN(L18/K18)*1000</f>
        <v>10.448378441144762</v>
      </c>
      <c r="R18" s="22"/>
      <c r="S18" s="22"/>
    </row>
    <row r="19" spans="1:19" x14ac:dyDescent="0.15">
      <c r="A19" s="22"/>
      <c r="B19" s="23" t="s">
        <v>99</v>
      </c>
      <c r="C19" s="32">
        <v>120</v>
      </c>
      <c r="D19" s="34" t="s">
        <v>100</v>
      </c>
      <c r="E19" s="22"/>
      <c r="F19" s="22"/>
      <c r="G19" s="32">
        <v>33.019999999999996</v>
      </c>
      <c r="H19" s="4">
        <v>48</v>
      </c>
      <c r="I19" s="22"/>
      <c r="J19" s="39">
        <f t="shared" si="0"/>
        <v>2.4</v>
      </c>
      <c r="K19" s="34">
        <f>0.001*(G19-$C$20+$C$21)</f>
        <v>2.3875999999999998E-2</v>
      </c>
      <c r="L19" s="34">
        <f>K19+$D$26</f>
        <v>9.6469199999999991E-2</v>
      </c>
      <c r="M19" s="34">
        <f>K19+$C$26</f>
        <v>9.6469199999999991E-2</v>
      </c>
      <c r="N19" s="34">
        <f>K19+$C$26+$D$26</f>
        <v>0.1690624</v>
      </c>
      <c r="O19" s="35">
        <f t="shared" si="1"/>
        <v>35.968086717269998</v>
      </c>
      <c r="P19" s="35">
        <f>$C$29*$C$30*O19*1000</f>
        <v>1.6481196675531915</v>
      </c>
      <c r="Q19" s="35">
        <f>$C$32*LN(L19/K19)*1000</f>
        <v>9.8435634063225574</v>
      </c>
      <c r="R19" s="22"/>
      <c r="S19" s="22"/>
    </row>
    <row r="20" spans="1:19" x14ac:dyDescent="0.15">
      <c r="A20" s="22"/>
      <c r="B20" s="23" t="s">
        <v>101</v>
      </c>
      <c r="C20" s="40">
        <v>9.1440000000000001</v>
      </c>
      <c r="D20" s="41"/>
      <c r="E20" s="22"/>
      <c r="F20" s="22"/>
      <c r="G20" s="4">
        <v>35.559999999999995</v>
      </c>
      <c r="H20" s="4">
        <v>42</v>
      </c>
      <c r="I20" s="22"/>
      <c r="J20" s="39">
        <f t="shared" si="0"/>
        <v>2.1</v>
      </c>
      <c r="K20" s="34">
        <f>0.001*(G20-$C$20+$C$21)</f>
        <v>2.6415999999999999E-2</v>
      </c>
      <c r="L20" s="34">
        <f>K20+$D$26</f>
        <v>9.9009199999999992E-2</v>
      </c>
      <c r="M20" s="34">
        <f>K20+$C$26</f>
        <v>9.9009199999999992E-2</v>
      </c>
      <c r="N20" s="34">
        <f>K20+$C$26+$D$26</f>
        <v>0.17160239999999999</v>
      </c>
      <c r="O20" s="35">
        <f t="shared" ref="O20:O21" si="2">1/K20+1/L20-1/M20-1/N20</f>
        <v>32.028420617391397</v>
      </c>
      <c r="P20" s="35">
        <f>$C$29*$C$30*O20*1000</f>
        <v>1.4675973830669033</v>
      </c>
      <c r="Q20" s="35">
        <f>$C$32*LN(L20/K20)*1000</f>
        <v>9.3140960307079794</v>
      </c>
      <c r="R20" s="22"/>
      <c r="S20" s="22"/>
    </row>
    <row r="21" spans="1:19" x14ac:dyDescent="0.15">
      <c r="A21" s="22"/>
      <c r="B21" s="23" t="s">
        <v>102</v>
      </c>
      <c r="C21" s="40">
        <v>0</v>
      </c>
      <c r="D21" s="41"/>
      <c r="E21" s="22"/>
      <c r="F21" s="22"/>
      <c r="G21" s="4">
        <v>38.099999999999994</v>
      </c>
      <c r="H21" s="4">
        <v>37.6</v>
      </c>
      <c r="I21" s="22"/>
      <c r="J21" s="39">
        <f t="shared" si="0"/>
        <v>1.8800000000000001</v>
      </c>
      <c r="K21" s="34">
        <f>0.001*(G21-$C$20+$C$21)</f>
        <v>2.8955999999999996E-2</v>
      </c>
      <c r="L21" s="34">
        <f>K21+$D$26</f>
        <v>0.10154919999999999</v>
      </c>
      <c r="M21" s="34">
        <f>K21+$C$26</f>
        <v>0.10154919999999999</v>
      </c>
      <c r="N21" s="34">
        <f>K21+$C$26+$D$26</f>
        <v>0.17414239999999997</v>
      </c>
      <c r="O21" s="35">
        <f t="shared" si="2"/>
        <v>28.792729902190963</v>
      </c>
      <c r="P21" s="35">
        <f>$C$29*$C$30*O21*1000</f>
        <v>1.3193324628958631</v>
      </c>
      <c r="Q21" s="35">
        <f>$C$32*LN(L21/K21)*1000</f>
        <v>8.8454673108103776</v>
      </c>
      <c r="R21" s="22"/>
      <c r="S21" s="22"/>
    </row>
    <row r="22" spans="1:19" x14ac:dyDescent="0.15">
      <c r="A22" s="22"/>
      <c r="B22" s="23" t="s">
        <v>103</v>
      </c>
      <c r="C22" s="42">
        <f>4*PI()*0.0000001</f>
        <v>1.2566370614359173E-6</v>
      </c>
      <c r="D22" s="43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</row>
    <row r="23" spans="1:19" x14ac:dyDescent="0.1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</row>
    <row r="24" spans="1:19" x14ac:dyDescent="0.15">
      <c r="A24" s="22"/>
      <c r="B24" s="23" t="s">
        <v>104</v>
      </c>
      <c r="C24" s="42">
        <f>2*H5*H7*C18/C19</f>
        <v>22933.333333333332</v>
      </c>
      <c r="D24" s="43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</row>
    <row r="25" spans="1:19" x14ac:dyDescent="0.15">
      <c r="A25" s="22"/>
      <c r="B25" s="23" t="s">
        <v>105</v>
      </c>
      <c r="C25" s="39">
        <f>C9*0.001</f>
        <v>5.1231800000000001E-2</v>
      </c>
      <c r="D25" s="39">
        <f>D9*0.001</f>
        <v>5.1231800000000001E-2</v>
      </c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</row>
    <row r="26" spans="1:19" x14ac:dyDescent="0.15">
      <c r="A26" s="22"/>
      <c r="B26" s="23" t="s">
        <v>106</v>
      </c>
      <c r="C26" s="39">
        <f>C10*0.001</f>
        <v>7.2593199999999997E-2</v>
      </c>
      <c r="D26" s="39">
        <f>D10*0.001</f>
        <v>7.2593199999999997E-2</v>
      </c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</row>
    <row r="27" spans="1:19" x14ac:dyDescent="0.15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</row>
    <row r="28" spans="1:19" x14ac:dyDescent="0.15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</row>
    <row r="29" spans="1:19" x14ac:dyDescent="0.15">
      <c r="A29" s="22"/>
      <c r="B29" s="23" t="s">
        <v>107</v>
      </c>
      <c r="C29" s="36">
        <f>C11*D11*D25*C24</f>
        <v>35247.4784</v>
      </c>
      <c r="D29" s="37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</row>
    <row r="30" spans="1:19" x14ac:dyDescent="0.15">
      <c r="A30" s="22"/>
      <c r="B30" s="23" t="s">
        <v>108</v>
      </c>
      <c r="C30" s="36">
        <v>1.3000000000000001E-9</v>
      </c>
      <c r="D30" s="37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</row>
    <row r="31" spans="1:19" x14ac:dyDescent="0.15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</row>
    <row r="32" spans="1:19" x14ac:dyDescent="0.15">
      <c r="A32" s="22"/>
      <c r="B32" s="23" t="s">
        <v>109</v>
      </c>
      <c r="C32" s="36">
        <f>C29*C22/(2*PI())</f>
        <v>7.0494956800000001E-3</v>
      </c>
      <c r="D32" s="37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</row>
    <row r="33" spans="1:19" x14ac:dyDescent="0.15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</row>
    <row r="34" spans="1:19" x14ac:dyDescent="0.1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</row>
    <row r="35" spans="1:19" x14ac:dyDescent="0.1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</row>
    <row r="36" spans="1:19" x14ac:dyDescent="0.1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</row>
    <row r="37" spans="1:19" x14ac:dyDescent="0.15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</row>
    <row r="38" spans="1:19" x14ac:dyDescent="0.15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</row>
    <row r="39" spans="1:19" x14ac:dyDescent="0.15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</row>
    <row r="40" spans="1:19" x14ac:dyDescent="0.15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</row>
    <row r="41" spans="1:19" x14ac:dyDescent="0.15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</row>
    <row r="42" spans="1:19" x14ac:dyDescent="0.15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</row>
    <row r="43" spans="1:19" x14ac:dyDescent="0.15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</row>
    <row r="44" spans="1:19" x14ac:dyDescent="0.15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</row>
    <row r="45" spans="1:19" x14ac:dyDescent="0.1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</row>
    <row r="46" spans="1:19" x14ac:dyDescent="0.15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</row>
    <row r="47" spans="1:19" x14ac:dyDescent="0.15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</row>
    <row r="48" spans="1:19" x14ac:dyDescent="0.15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</row>
    <row r="49" spans="1:19" x14ac:dyDescent="0.1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</row>
    <row r="50" spans="1:19" x14ac:dyDescent="0.1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</row>
    <row r="51" spans="1:19" x14ac:dyDescent="0.1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</row>
    <row r="52" spans="1:19" x14ac:dyDescent="0.1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</row>
  </sheetData>
  <mergeCells count="9">
    <mergeCell ref="C20:D20"/>
    <mergeCell ref="C22:D22"/>
    <mergeCell ref="C21:D21"/>
    <mergeCell ref="C24:D24"/>
    <mergeCell ref="C29:D29"/>
    <mergeCell ref="C30:D30"/>
    <mergeCell ref="C32:D32"/>
    <mergeCell ref="C4:D4"/>
    <mergeCell ref="C5:D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Notes</vt:lpstr>
      <vt:lpstr>Updated format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2016-03-02T05:16:56Z</dcterms:created>
  <dcterms:modified xsi:type="dcterms:W3CDTF">2016-03-02T05:16:56Z</dcterms:modified>
</cp:coreProperties>
</file>