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HR\17. File Personal\"/>
    </mc:Choice>
  </mc:AlternateContent>
  <bookViews>
    <workbookView xWindow="0" yWindow="60" windowWidth="20730" windowHeight="11700" tabRatio="546" activeTab="2"/>
  </bookViews>
  <sheets>
    <sheet name="Financial KPI result" sheetId="1" r:id="rId1"/>
    <sheet name="Salary rising" sheetId="7" r:id="rId2"/>
    <sheet name="Salary table" sheetId="4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" i="4" l="1"/>
  <c r="U23" i="4"/>
  <c r="C6" i="1" l="1"/>
  <c r="C8" i="1" s="1"/>
  <c r="C34" i="1"/>
  <c r="R32" i="1"/>
  <c r="R46" i="1" s="1"/>
  <c r="B6" i="1"/>
  <c r="AC6" i="1" s="1"/>
  <c r="F34" i="1"/>
  <c r="B34" i="1" s="1"/>
  <c r="I34" i="1"/>
  <c r="L34" i="1"/>
  <c r="Q32" i="1"/>
  <c r="C31" i="1"/>
  <c r="C32" i="1"/>
  <c r="C44" i="1" s="1"/>
  <c r="C33" i="1"/>
  <c r="AD33" i="1" s="1"/>
  <c r="AE33" i="1" s="1"/>
  <c r="B31" i="1"/>
  <c r="B32" i="1"/>
  <c r="B33" i="1"/>
  <c r="B44" i="1"/>
  <c r="C27" i="1"/>
  <c r="C28" i="1"/>
  <c r="C29" i="1"/>
  <c r="C30" i="1"/>
  <c r="B27" i="1"/>
  <c r="B28" i="1"/>
  <c r="B29" i="1"/>
  <c r="B30" i="1"/>
  <c r="D42" i="1"/>
  <c r="C21" i="1"/>
  <c r="C22" i="1"/>
  <c r="C23" i="1"/>
  <c r="C24" i="1"/>
  <c r="B21" i="1"/>
  <c r="B22" i="1"/>
  <c r="B23" i="1"/>
  <c r="B24" i="1"/>
  <c r="C18" i="1"/>
  <c r="AD18" i="1" s="1"/>
  <c r="C19" i="1"/>
  <c r="C20" i="1"/>
  <c r="B18" i="1"/>
  <c r="B19" i="1"/>
  <c r="B20" i="1"/>
  <c r="C13" i="1"/>
  <c r="C14" i="1"/>
  <c r="AD14" i="1" s="1"/>
  <c r="C15" i="1"/>
  <c r="C16" i="1"/>
  <c r="AD16" i="1" s="1"/>
  <c r="B13" i="1"/>
  <c r="B14" i="1"/>
  <c r="B15" i="1"/>
  <c r="AC15" i="1" s="1"/>
  <c r="B16" i="1"/>
  <c r="R13" i="1"/>
  <c r="R14" i="1"/>
  <c r="R15" i="1"/>
  <c r="R16" i="1"/>
  <c r="R17" i="1"/>
  <c r="R18" i="1"/>
  <c r="R19" i="1"/>
  <c r="R20" i="1"/>
  <c r="R21" i="1"/>
  <c r="AD21" i="1" s="1"/>
  <c r="R22" i="1"/>
  <c r="R23" i="1"/>
  <c r="R24" i="1"/>
  <c r="R25" i="1"/>
  <c r="Q13" i="1"/>
  <c r="Q14" i="1"/>
  <c r="Q15" i="1"/>
  <c r="Q16" i="1"/>
  <c r="AC16" i="1" s="1"/>
  <c r="Q17" i="1"/>
  <c r="Q18" i="1"/>
  <c r="AC18" i="1" s="1"/>
  <c r="Q19" i="1"/>
  <c r="Q20" i="1"/>
  <c r="Q21" i="1"/>
  <c r="Q22" i="1"/>
  <c r="AC22" i="1" s="1"/>
  <c r="Q23" i="1"/>
  <c r="Q24" i="1"/>
  <c r="Q25" i="1"/>
  <c r="R31" i="1"/>
  <c r="AD31" i="1" s="1"/>
  <c r="Q31" i="1"/>
  <c r="R29" i="1"/>
  <c r="Q29" i="1"/>
  <c r="AC29" i="1" s="1"/>
  <c r="R28" i="1"/>
  <c r="Q28" i="1"/>
  <c r="R27" i="1"/>
  <c r="B26" i="1"/>
  <c r="Q26" i="1"/>
  <c r="AC13" i="1"/>
  <c r="Q6" i="1"/>
  <c r="R6" i="1"/>
  <c r="AD6" i="1"/>
  <c r="AE6" i="1" s="1"/>
  <c r="L5" i="1"/>
  <c r="B5" i="1" s="1"/>
  <c r="Q5" i="1"/>
  <c r="C5" i="1"/>
  <c r="R5" i="1"/>
  <c r="C26" i="1"/>
  <c r="AD26" i="1" s="1"/>
  <c r="C25" i="1"/>
  <c r="B25" i="1"/>
  <c r="C17" i="1"/>
  <c r="B17" i="1"/>
  <c r="R8" i="1"/>
  <c r="R34" i="1"/>
  <c r="R36" i="1" s="1"/>
  <c r="U34" i="1"/>
  <c r="X34" i="1"/>
  <c r="AA34" i="1"/>
  <c r="R30" i="1"/>
  <c r="R33" i="1"/>
  <c r="Q27" i="1"/>
  <c r="Q43" i="1" s="1"/>
  <c r="Q30" i="1"/>
  <c r="Q33" i="1"/>
  <c r="R26" i="1"/>
  <c r="AD22" i="1"/>
  <c r="AC33" i="1"/>
  <c r="D35" i="4"/>
  <c r="D36" i="4" s="1"/>
  <c r="D37" i="4" s="1"/>
  <c r="J63" i="4"/>
  <c r="K63" i="4"/>
  <c r="L63" i="4"/>
  <c r="M63" i="4"/>
  <c r="J62" i="4"/>
  <c r="K62" i="4"/>
  <c r="L62" i="4"/>
  <c r="M62" i="4"/>
  <c r="J61" i="4"/>
  <c r="K61" i="4"/>
  <c r="L61" i="4"/>
  <c r="M61" i="4"/>
  <c r="J60" i="4"/>
  <c r="K60" i="4"/>
  <c r="L60" i="4"/>
  <c r="M60" i="4"/>
  <c r="J59" i="4"/>
  <c r="K59" i="4"/>
  <c r="L59" i="4"/>
  <c r="M59" i="4"/>
  <c r="J58" i="4"/>
  <c r="K58" i="4"/>
  <c r="L58" i="4"/>
  <c r="M58" i="4"/>
  <c r="J57" i="4"/>
  <c r="K57" i="4"/>
  <c r="L57" i="4"/>
  <c r="M57" i="4"/>
  <c r="J56" i="4"/>
  <c r="K56" i="4"/>
  <c r="L56" i="4"/>
  <c r="M56" i="4"/>
  <c r="J55" i="4"/>
  <c r="K55" i="4"/>
  <c r="L55" i="4"/>
  <c r="M55" i="4"/>
  <c r="J54" i="4"/>
  <c r="K54" i="4"/>
  <c r="L54" i="4"/>
  <c r="M54" i="4"/>
  <c r="J53" i="4"/>
  <c r="K53" i="4"/>
  <c r="L53" i="4"/>
  <c r="M53" i="4"/>
  <c r="J52" i="4"/>
  <c r="K52" i="4"/>
  <c r="L52" i="4"/>
  <c r="M52" i="4"/>
  <c r="J51" i="4"/>
  <c r="K51" i="4"/>
  <c r="L51" i="4"/>
  <c r="M51" i="4"/>
  <c r="J50" i="4"/>
  <c r="K50" i="4"/>
  <c r="L50" i="4"/>
  <c r="M50" i="4"/>
  <c r="J49" i="4"/>
  <c r="K49" i="4"/>
  <c r="L49" i="4"/>
  <c r="M49" i="4"/>
  <c r="J48" i="4"/>
  <c r="K48" i="4"/>
  <c r="L48" i="4"/>
  <c r="M48" i="4"/>
  <c r="J47" i="4"/>
  <c r="K47" i="4"/>
  <c r="L47" i="4"/>
  <c r="M47" i="4"/>
  <c r="J46" i="4"/>
  <c r="K46" i="4"/>
  <c r="L46" i="4"/>
  <c r="M46" i="4"/>
  <c r="J45" i="4"/>
  <c r="K45" i="4"/>
  <c r="L45" i="4"/>
  <c r="M45" i="4"/>
  <c r="J44" i="4"/>
  <c r="K44" i="4"/>
  <c r="L44" i="4"/>
  <c r="M44" i="4"/>
  <c r="J43" i="4"/>
  <c r="K43" i="4"/>
  <c r="L43" i="4"/>
  <c r="M43" i="4"/>
  <c r="J42" i="4"/>
  <c r="K42" i="4"/>
  <c r="L42" i="4"/>
  <c r="M42" i="4"/>
  <c r="J41" i="4"/>
  <c r="K41" i="4"/>
  <c r="L41" i="4"/>
  <c r="M41" i="4"/>
  <c r="J40" i="4"/>
  <c r="K40" i="4"/>
  <c r="L40" i="4"/>
  <c r="M40" i="4"/>
  <c r="J39" i="4"/>
  <c r="K39" i="4"/>
  <c r="L39" i="4"/>
  <c r="M39" i="4"/>
  <c r="J38" i="4"/>
  <c r="K38" i="4"/>
  <c r="L38" i="4"/>
  <c r="M38" i="4"/>
  <c r="J37" i="4"/>
  <c r="K37" i="4"/>
  <c r="L37" i="4"/>
  <c r="M37" i="4"/>
  <c r="J36" i="4"/>
  <c r="H36" i="4"/>
  <c r="F36" i="4" s="1"/>
  <c r="N36" i="4" s="1"/>
  <c r="K36" i="4"/>
  <c r="L36" i="4"/>
  <c r="M36" i="4"/>
  <c r="J35" i="4"/>
  <c r="H35" i="4"/>
  <c r="G35" i="4" s="1"/>
  <c r="F35" i="4"/>
  <c r="K35" i="4"/>
  <c r="L35" i="4"/>
  <c r="M35" i="4"/>
  <c r="J34" i="4"/>
  <c r="H34" i="4"/>
  <c r="K34" i="4"/>
  <c r="L34" i="4"/>
  <c r="M34" i="4"/>
  <c r="D33" i="4"/>
  <c r="J33" i="4"/>
  <c r="H33" i="4"/>
  <c r="K33" i="4"/>
  <c r="L33" i="4"/>
  <c r="M33" i="4"/>
  <c r="J32" i="4"/>
  <c r="H32" i="4"/>
  <c r="F32" i="4"/>
  <c r="N32" i="4" s="1"/>
  <c r="O32" i="4" s="1"/>
  <c r="P32" i="4" s="1"/>
  <c r="Q32" i="4" s="1"/>
  <c r="S32" i="4" s="1"/>
  <c r="T32" i="4" s="1"/>
  <c r="U32" i="4" s="1"/>
  <c r="V32" i="4" s="1"/>
  <c r="K32" i="4"/>
  <c r="L32" i="4"/>
  <c r="M32" i="4"/>
  <c r="D31" i="4"/>
  <c r="H31" i="4" s="1"/>
  <c r="J31" i="4"/>
  <c r="K31" i="4"/>
  <c r="L31" i="4"/>
  <c r="M31" i="4"/>
  <c r="J30" i="4"/>
  <c r="H30" i="4"/>
  <c r="F30" i="4" s="1"/>
  <c r="K30" i="4"/>
  <c r="L30" i="4"/>
  <c r="M30" i="4"/>
  <c r="D29" i="4"/>
  <c r="H29" i="4" s="1"/>
  <c r="J29" i="4"/>
  <c r="K29" i="4"/>
  <c r="L29" i="4"/>
  <c r="M29" i="4"/>
  <c r="J28" i="4"/>
  <c r="H28" i="4"/>
  <c r="F28" i="4" s="1"/>
  <c r="N28" i="4" s="1"/>
  <c r="K28" i="4"/>
  <c r="L28" i="4"/>
  <c r="M28" i="4"/>
  <c r="D27" i="4"/>
  <c r="J27" i="4"/>
  <c r="H27" i="4"/>
  <c r="F27" i="4" s="1"/>
  <c r="N27" i="4" s="1"/>
  <c r="K27" i="4"/>
  <c r="L27" i="4"/>
  <c r="M27" i="4"/>
  <c r="J26" i="4"/>
  <c r="H26" i="4"/>
  <c r="G26" i="4" s="1"/>
  <c r="F26" i="4"/>
  <c r="K26" i="4"/>
  <c r="L26" i="4"/>
  <c r="M26" i="4"/>
  <c r="D25" i="4"/>
  <c r="H25" i="4" s="1"/>
  <c r="J25" i="4"/>
  <c r="K25" i="4"/>
  <c r="L25" i="4"/>
  <c r="M25" i="4"/>
  <c r="J24" i="4"/>
  <c r="H24" i="4"/>
  <c r="F24" i="4" s="1"/>
  <c r="N24" i="4" s="1"/>
  <c r="K24" i="4"/>
  <c r="L24" i="4"/>
  <c r="M24" i="4"/>
  <c r="D23" i="4"/>
  <c r="H23" i="4" s="1"/>
  <c r="J23" i="4"/>
  <c r="K23" i="4"/>
  <c r="L23" i="4"/>
  <c r="M23" i="4"/>
  <c r="J22" i="4"/>
  <c r="H22" i="4"/>
  <c r="F22" i="4" s="1"/>
  <c r="K22" i="4"/>
  <c r="L22" i="4"/>
  <c r="M22" i="4"/>
  <c r="D21" i="4"/>
  <c r="H21" i="4" s="1"/>
  <c r="J21" i="4"/>
  <c r="K21" i="4"/>
  <c r="L21" i="4"/>
  <c r="M21" i="4"/>
  <c r="J20" i="4"/>
  <c r="H20" i="4"/>
  <c r="F20" i="4" s="1"/>
  <c r="K20" i="4"/>
  <c r="L20" i="4"/>
  <c r="M20" i="4"/>
  <c r="D19" i="4"/>
  <c r="H19" i="4" s="1"/>
  <c r="F19" i="4" s="1"/>
  <c r="N19" i="4" s="1"/>
  <c r="J19" i="4"/>
  <c r="K19" i="4"/>
  <c r="L19" i="4"/>
  <c r="M19" i="4"/>
  <c r="J18" i="4"/>
  <c r="H18" i="4"/>
  <c r="F18" i="4" s="1"/>
  <c r="K18" i="4"/>
  <c r="L18" i="4"/>
  <c r="M18" i="4"/>
  <c r="D17" i="4"/>
  <c r="H17" i="4" s="1"/>
  <c r="F17" i="4" s="1"/>
  <c r="G17" i="4" s="1"/>
  <c r="J17" i="4"/>
  <c r="K17" i="4"/>
  <c r="L17" i="4"/>
  <c r="M17" i="4"/>
  <c r="J16" i="4"/>
  <c r="H16" i="4"/>
  <c r="F16" i="4" s="1"/>
  <c r="N16" i="4" s="1"/>
  <c r="K16" i="4"/>
  <c r="L16" i="4"/>
  <c r="M16" i="4"/>
  <c r="D15" i="4"/>
  <c r="H15" i="4" s="1"/>
  <c r="J15" i="4"/>
  <c r="K15" i="4"/>
  <c r="L15" i="4"/>
  <c r="M15" i="4"/>
  <c r="J14" i="4"/>
  <c r="H14" i="4"/>
  <c r="F14" i="4" s="1"/>
  <c r="G14" i="4" s="1"/>
  <c r="K14" i="4"/>
  <c r="L14" i="4"/>
  <c r="M14" i="4"/>
  <c r="D13" i="4"/>
  <c r="H13" i="4" s="1"/>
  <c r="J13" i="4"/>
  <c r="K13" i="4"/>
  <c r="L13" i="4"/>
  <c r="M13" i="4"/>
  <c r="J12" i="4"/>
  <c r="H12" i="4"/>
  <c r="F12" i="4" s="1"/>
  <c r="N12" i="4" s="1"/>
  <c r="K12" i="4"/>
  <c r="L12" i="4"/>
  <c r="M12" i="4"/>
  <c r="D11" i="4"/>
  <c r="J11" i="4"/>
  <c r="H11" i="4"/>
  <c r="F11" i="4" s="1"/>
  <c r="N11" i="4" s="1"/>
  <c r="K11" i="4"/>
  <c r="L11" i="4"/>
  <c r="M11" i="4"/>
  <c r="J10" i="4"/>
  <c r="H10" i="4"/>
  <c r="F10" i="4"/>
  <c r="G10" i="4" s="1"/>
  <c r="K10" i="4"/>
  <c r="L10" i="4"/>
  <c r="M10" i="4"/>
  <c r="D9" i="4"/>
  <c r="J9" i="4"/>
  <c r="H9" i="4"/>
  <c r="G9" i="4" s="1"/>
  <c r="F9" i="4"/>
  <c r="K9" i="4"/>
  <c r="L9" i="4"/>
  <c r="M9" i="4"/>
  <c r="J8" i="4"/>
  <c r="H8" i="4"/>
  <c r="F8" i="4" s="1"/>
  <c r="N8" i="4" s="1"/>
  <c r="K8" i="4"/>
  <c r="L8" i="4"/>
  <c r="M8" i="4"/>
  <c r="D7" i="4"/>
  <c r="H7" i="4" s="1"/>
  <c r="J7" i="4"/>
  <c r="K7" i="4"/>
  <c r="L7" i="4"/>
  <c r="M7" i="4"/>
  <c r="J6" i="4"/>
  <c r="H6" i="4"/>
  <c r="G6" i="4" s="1"/>
  <c r="F6" i="4"/>
  <c r="K6" i="4"/>
  <c r="L6" i="4"/>
  <c r="M6" i="4"/>
  <c r="D5" i="4"/>
  <c r="J5" i="4"/>
  <c r="H5" i="4"/>
  <c r="F5" i="4" s="1"/>
  <c r="G5" i="4" s="1"/>
  <c r="K5" i="4"/>
  <c r="L5" i="4"/>
  <c r="M5" i="4"/>
  <c r="J4" i="4"/>
  <c r="F4" i="4"/>
  <c r="G4" i="4" s="1"/>
  <c r="K4" i="4"/>
  <c r="L4" i="4"/>
  <c r="M4" i="4"/>
  <c r="J26" i="7"/>
  <c r="J25" i="7"/>
  <c r="J24" i="7"/>
  <c r="J23" i="7"/>
  <c r="N13" i="7"/>
  <c r="M13" i="7"/>
  <c r="L13" i="7"/>
  <c r="K13" i="7"/>
  <c r="N6" i="7"/>
  <c r="M6" i="7"/>
  <c r="L6" i="7"/>
  <c r="K6" i="7"/>
  <c r="F13" i="4" l="1"/>
  <c r="G13" i="4" s="1"/>
  <c r="F25" i="4"/>
  <c r="G25" i="4" s="1"/>
  <c r="D38" i="4"/>
  <c r="H38" i="4" s="1"/>
  <c r="F38" i="4" s="1"/>
  <c r="G38" i="4" s="1"/>
  <c r="H37" i="4"/>
  <c r="F21" i="4"/>
  <c r="G21" i="4"/>
  <c r="Q34" i="1"/>
  <c r="AF18" i="1"/>
  <c r="AC30" i="1"/>
  <c r="G22" i="4"/>
  <c r="N22" i="4"/>
  <c r="G30" i="4"/>
  <c r="N30" i="4"/>
  <c r="G32" i="4"/>
  <c r="N9" i="4"/>
  <c r="O9" i="4" s="1"/>
  <c r="P9" i="4" s="1"/>
  <c r="Q9" i="4" s="1"/>
  <c r="S9" i="4" s="1"/>
  <c r="T9" i="4" s="1"/>
  <c r="U9" i="4" s="1"/>
  <c r="V9" i="4" s="1"/>
  <c r="N10" i="4"/>
  <c r="N13" i="4"/>
  <c r="N14" i="4"/>
  <c r="G18" i="4"/>
  <c r="N18" i="4"/>
  <c r="N21" i="4"/>
  <c r="AF29" i="1"/>
  <c r="N5" i="4"/>
  <c r="N4" i="4"/>
  <c r="AF6" i="1"/>
  <c r="AC31" i="1"/>
  <c r="AF31" i="1" s="1"/>
  <c r="AC24" i="1"/>
  <c r="AE24" i="1" s="1"/>
  <c r="AC23" i="1"/>
  <c r="N26" i="4"/>
  <c r="N35" i="4"/>
  <c r="N6" i="4"/>
  <c r="O6" i="4" s="1"/>
  <c r="P6" i="4" s="1"/>
  <c r="Q6" i="4" s="1"/>
  <c r="S6" i="4" s="1"/>
  <c r="T6" i="4" s="1"/>
  <c r="U6" i="4" s="1"/>
  <c r="V6" i="4" s="1"/>
  <c r="N17" i="4"/>
  <c r="O17" i="4" s="1"/>
  <c r="P17" i="4" s="1"/>
  <c r="Q17" i="4" s="1"/>
  <c r="S17" i="4" s="1"/>
  <c r="T17" i="4" s="1"/>
  <c r="U17" i="4" s="1"/>
  <c r="V17" i="4" s="1"/>
  <c r="N20" i="4"/>
  <c r="AF16" i="1"/>
  <c r="AD29" i="1"/>
  <c r="AE29" i="1" s="1"/>
  <c r="O12" i="4"/>
  <c r="P12" i="4" s="1"/>
  <c r="Q12" i="4" s="1"/>
  <c r="S12" i="4" s="1"/>
  <c r="T12" i="4" s="1"/>
  <c r="U12" i="4" s="1"/>
  <c r="V12" i="4" s="1"/>
  <c r="S13" i="4"/>
  <c r="T13" i="4" s="1"/>
  <c r="U13" i="4" s="1"/>
  <c r="V13" i="4" s="1"/>
  <c r="O13" i="4"/>
  <c r="P13" i="4" s="1"/>
  <c r="Q13" i="4" s="1"/>
  <c r="F15" i="4"/>
  <c r="N15" i="4" s="1"/>
  <c r="O16" i="4"/>
  <c r="P16" i="4" s="1"/>
  <c r="Q16" i="4" s="1"/>
  <c r="S16" i="4" s="1"/>
  <c r="T16" i="4" s="1"/>
  <c r="U16" i="4" s="1"/>
  <c r="V16" i="4" s="1"/>
  <c r="O28" i="4"/>
  <c r="P28" i="4" s="1"/>
  <c r="Q28" i="4" s="1"/>
  <c r="S28" i="4" s="1"/>
  <c r="T28" i="4" s="1"/>
  <c r="U28" i="4" s="1"/>
  <c r="V28" i="4" s="1"/>
  <c r="O36" i="4"/>
  <c r="P36" i="4" s="1"/>
  <c r="Q36" i="4" s="1"/>
  <c r="S36" i="4" s="1"/>
  <c r="T36" i="4" s="1"/>
  <c r="U36" i="4" s="1"/>
  <c r="V36" i="4" s="1"/>
  <c r="O5" i="4"/>
  <c r="P5" i="4" s="1"/>
  <c r="Q5" i="4" s="1"/>
  <c r="S5" i="4" s="1"/>
  <c r="T5" i="4" s="1"/>
  <c r="U5" i="4" s="1"/>
  <c r="V5" i="4" s="1"/>
  <c r="O30" i="4"/>
  <c r="P30" i="4" s="1"/>
  <c r="Q30" i="4" s="1"/>
  <c r="S30" i="4" s="1"/>
  <c r="T30" i="4" s="1"/>
  <c r="U30" i="4" s="1"/>
  <c r="V30" i="4" s="1"/>
  <c r="O20" i="4"/>
  <c r="P20" i="4" s="1"/>
  <c r="Q20" i="4" s="1"/>
  <c r="S20" i="4" s="1"/>
  <c r="T20" i="4" s="1"/>
  <c r="U20" i="4" s="1"/>
  <c r="V20" i="4" s="1"/>
  <c r="O21" i="4"/>
  <c r="P21" i="4" s="1"/>
  <c r="Q21" i="4" s="1"/>
  <c r="S21" i="4" s="1"/>
  <c r="T21" i="4" s="1"/>
  <c r="U21" i="4" s="1"/>
  <c r="V21" i="4" s="1"/>
  <c r="O22" i="4"/>
  <c r="P22" i="4" s="1"/>
  <c r="Q22" i="4" s="1"/>
  <c r="S22" i="4" s="1"/>
  <c r="T22" i="4" s="1"/>
  <c r="U22" i="4" s="1"/>
  <c r="V22" i="4" s="1"/>
  <c r="O4" i="4"/>
  <c r="P4" i="4" s="1"/>
  <c r="Q4" i="4" s="1"/>
  <c r="S4" i="4" s="1"/>
  <c r="T4" i="4" s="1"/>
  <c r="U4" i="4" s="1"/>
  <c r="V4" i="4" s="1"/>
  <c r="F7" i="4"/>
  <c r="N7" i="4" s="1"/>
  <c r="O8" i="4"/>
  <c r="P8" i="4" s="1"/>
  <c r="Q8" i="4" s="1"/>
  <c r="S8" i="4" s="1"/>
  <c r="T8" i="4" s="1"/>
  <c r="U8" i="4" s="1"/>
  <c r="V8" i="4" s="1"/>
  <c r="O11" i="4"/>
  <c r="P11" i="4" s="1"/>
  <c r="Q11" i="4" s="1"/>
  <c r="S11" i="4" s="1"/>
  <c r="T11" i="4" s="1"/>
  <c r="U11" i="4" s="1"/>
  <c r="V11" i="4" s="1"/>
  <c r="F23" i="4"/>
  <c r="N23" i="4" s="1"/>
  <c r="O24" i="4"/>
  <c r="P24" i="4" s="1"/>
  <c r="Q24" i="4" s="1"/>
  <c r="S24" i="4" s="1"/>
  <c r="T24" i="4" s="1"/>
  <c r="U24" i="4" s="1"/>
  <c r="V24" i="4" s="1"/>
  <c r="O26" i="4"/>
  <c r="P26" i="4" s="1"/>
  <c r="Q26" i="4" s="1"/>
  <c r="S26" i="4" s="1"/>
  <c r="T26" i="4" s="1"/>
  <c r="U26" i="4" s="1"/>
  <c r="V26" i="4" s="1"/>
  <c r="S27" i="4"/>
  <c r="T27" i="4" s="1"/>
  <c r="U27" i="4" s="1"/>
  <c r="V27" i="4" s="1"/>
  <c r="O27" i="4"/>
  <c r="P27" i="4" s="1"/>
  <c r="Q27" i="4" s="1"/>
  <c r="F29" i="4"/>
  <c r="N29" i="4" s="1"/>
  <c r="F31" i="4"/>
  <c r="N31" i="4" s="1"/>
  <c r="O14" i="4"/>
  <c r="P14" i="4" s="1"/>
  <c r="Q14" i="4" s="1"/>
  <c r="S14" i="4" s="1"/>
  <c r="T14" i="4" s="1"/>
  <c r="U14" i="4" s="1"/>
  <c r="V14" i="4" s="1"/>
  <c r="O19" i="4"/>
  <c r="P19" i="4" s="1"/>
  <c r="Q19" i="4" s="1"/>
  <c r="S19" i="4" s="1"/>
  <c r="T19" i="4" s="1"/>
  <c r="U19" i="4" s="1"/>
  <c r="V19" i="4" s="1"/>
  <c r="F33" i="4"/>
  <c r="G33" i="4" s="1"/>
  <c r="D20" i="1"/>
  <c r="C40" i="1"/>
  <c r="D23" i="1"/>
  <c r="D30" i="1"/>
  <c r="D44" i="1"/>
  <c r="Q46" i="1"/>
  <c r="AC32" i="1"/>
  <c r="Q44" i="1"/>
  <c r="AC44" i="1" s="1"/>
  <c r="G8" i="4"/>
  <c r="G16" i="4"/>
  <c r="G24" i="4"/>
  <c r="AE18" i="1"/>
  <c r="AC20" i="1"/>
  <c r="B40" i="1"/>
  <c r="S35" i="4"/>
  <c r="T35" i="4" s="1"/>
  <c r="U35" i="4" s="1"/>
  <c r="V35" i="4" s="1"/>
  <c r="AD28" i="1"/>
  <c r="R43" i="1"/>
  <c r="AF22" i="1"/>
  <c r="AF15" i="1"/>
  <c r="AD15" i="1"/>
  <c r="AE15" i="1" s="1"/>
  <c r="G11" i="4"/>
  <c r="G12" i="4"/>
  <c r="G19" i="4"/>
  <c r="G20" i="4"/>
  <c r="G27" i="4"/>
  <c r="G28" i="4"/>
  <c r="F34" i="4"/>
  <c r="N34" i="4" s="1"/>
  <c r="G34" i="4"/>
  <c r="O35" i="4"/>
  <c r="P35" i="4" s="1"/>
  <c r="Q35" i="4" s="1"/>
  <c r="AC26" i="1"/>
  <c r="AF26" i="1" s="1"/>
  <c r="G36" i="4"/>
  <c r="AE16" i="1"/>
  <c r="Q41" i="1"/>
  <c r="Q39" i="1"/>
  <c r="AC14" i="1"/>
  <c r="AF14" i="1" s="1"/>
  <c r="D14" i="1"/>
  <c r="B41" i="1"/>
  <c r="AC41" i="1" s="1"/>
  <c r="D22" i="1"/>
  <c r="D33" i="1"/>
  <c r="AF33" i="1"/>
  <c r="AC5" i="1"/>
  <c r="C36" i="1"/>
  <c r="AD34" i="1"/>
  <c r="R40" i="1"/>
  <c r="D16" i="1"/>
  <c r="AD24" i="1"/>
  <c r="D27" i="1"/>
  <c r="D31" i="1"/>
  <c r="D6" i="1"/>
  <c r="C46" i="1"/>
  <c r="AD46" i="1" s="1"/>
  <c r="D5" i="1"/>
  <c r="AD27" i="1"/>
  <c r="R41" i="1"/>
  <c r="R39" i="1"/>
  <c r="R38" i="1" s="1"/>
  <c r="D13" i="1"/>
  <c r="D18" i="1"/>
  <c r="D21" i="1"/>
  <c r="B43" i="1"/>
  <c r="AC43" i="1" s="1"/>
  <c r="D28" i="1"/>
  <c r="D32" i="1"/>
  <c r="AC34" i="1"/>
  <c r="B46" i="1"/>
  <c r="D34" i="1"/>
  <c r="AD30" i="1"/>
  <c r="D24" i="1"/>
  <c r="D29" i="1"/>
  <c r="AC27" i="1"/>
  <c r="AD20" i="1"/>
  <c r="AC28" i="1"/>
  <c r="Q40" i="1"/>
  <c r="B39" i="1"/>
  <c r="D15" i="1"/>
  <c r="D26" i="1"/>
  <c r="AE22" i="1"/>
  <c r="R44" i="1"/>
  <c r="AD5" i="1"/>
  <c r="C39" i="1"/>
  <c r="C41" i="1"/>
  <c r="C43" i="1"/>
  <c r="AD32" i="1"/>
  <c r="AE32" i="1" s="1"/>
  <c r="AC21" i="1"/>
  <c r="AD40" i="1"/>
  <c r="AD44" i="1"/>
  <c r="AD13" i="1"/>
  <c r="AD23" i="1"/>
  <c r="F37" i="4" l="1"/>
  <c r="N37" i="4" s="1"/>
  <c r="AE5" i="1"/>
  <c r="AE30" i="1"/>
  <c r="O18" i="4"/>
  <c r="P18" i="4" s="1"/>
  <c r="Q18" i="4" s="1"/>
  <c r="S18" i="4" s="1"/>
  <c r="T18" i="4" s="1"/>
  <c r="U18" i="4" s="1"/>
  <c r="V18" i="4" s="1"/>
  <c r="O10" i="4"/>
  <c r="P10" i="4" s="1"/>
  <c r="Q10" i="4" s="1"/>
  <c r="S10" i="4" s="1"/>
  <c r="T10" i="4" s="1"/>
  <c r="U10" i="4" s="1"/>
  <c r="V10" i="4" s="1"/>
  <c r="N25" i="4"/>
  <c r="AF28" i="1"/>
  <c r="AE31" i="1"/>
  <c r="N38" i="4"/>
  <c r="O38" i="4" s="1"/>
  <c r="P38" i="4" s="1"/>
  <c r="Q38" i="4" s="1"/>
  <c r="S38" i="4" s="1"/>
  <c r="T38" i="4" s="1"/>
  <c r="U38" i="4" s="1"/>
  <c r="V38" i="4" s="1"/>
  <c r="AE27" i="1"/>
  <c r="AF24" i="1"/>
  <c r="AC40" i="1"/>
  <c r="AE40" i="1" s="1"/>
  <c r="AE14" i="1"/>
  <c r="D39" i="4"/>
  <c r="H39" i="4" s="1"/>
  <c r="O29" i="4"/>
  <c r="P29" i="4" s="1"/>
  <c r="Q29" i="4" s="1"/>
  <c r="S29" i="4" s="1"/>
  <c r="T29" i="4" s="1"/>
  <c r="U29" i="4" s="1"/>
  <c r="V29" i="4" s="1"/>
  <c r="AE26" i="1"/>
  <c r="AE44" i="1"/>
  <c r="R42" i="1"/>
  <c r="AD42" i="1" s="1"/>
  <c r="AE42" i="1" s="1"/>
  <c r="AF27" i="1"/>
  <c r="AF30" i="1"/>
  <c r="Q42" i="1"/>
  <c r="AC42" i="1" s="1"/>
  <c r="AF42" i="1" s="1"/>
  <c r="G31" i="4"/>
  <c r="G23" i="4"/>
  <c r="AF40" i="1"/>
  <c r="O31" i="4"/>
  <c r="P31" i="4" s="1"/>
  <c r="Q31" i="4" s="1"/>
  <c r="S31" i="4" s="1"/>
  <c r="T31" i="4" s="1"/>
  <c r="U31" i="4" s="1"/>
  <c r="V31" i="4" s="1"/>
  <c r="O23" i="4"/>
  <c r="P23" i="4" s="1"/>
  <c r="Q23" i="4" s="1"/>
  <c r="S23" i="4" s="1"/>
  <c r="T23" i="4" s="1"/>
  <c r="V23" i="4" s="1"/>
  <c r="N33" i="4"/>
  <c r="O34" i="4"/>
  <c r="P34" i="4" s="1"/>
  <c r="Q34" i="4" s="1"/>
  <c r="S34" i="4" s="1"/>
  <c r="T34" i="4" s="1"/>
  <c r="U34" i="4" s="1"/>
  <c r="V34" i="4" s="1"/>
  <c r="D40" i="1"/>
  <c r="G29" i="4"/>
  <c r="G7" i="4"/>
  <c r="G15" i="4"/>
  <c r="O7" i="4"/>
  <c r="P7" i="4" s="1"/>
  <c r="Q7" i="4" s="1"/>
  <c r="S7" i="4"/>
  <c r="T7" i="4" s="1"/>
  <c r="U7" i="4" s="1"/>
  <c r="V7" i="4" s="1"/>
  <c r="O15" i="4"/>
  <c r="P15" i="4" s="1"/>
  <c r="Q15" i="4" s="1"/>
  <c r="S15" i="4" s="1"/>
  <c r="T15" i="4" s="1"/>
  <c r="U15" i="4" s="1"/>
  <c r="V15" i="4" s="1"/>
  <c r="AE34" i="1"/>
  <c r="AF34" i="1"/>
  <c r="AD43" i="1"/>
  <c r="D43" i="1"/>
  <c r="B38" i="1"/>
  <c r="AC39" i="1"/>
  <c r="AC46" i="1"/>
  <c r="D46" i="1"/>
  <c r="Q38" i="1"/>
  <c r="AF23" i="1"/>
  <c r="AE23" i="1"/>
  <c r="AE21" i="1"/>
  <c r="AF21" i="1"/>
  <c r="C38" i="1"/>
  <c r="AD39" i="1"/>
  <c r="D39" i="1"/>
  <c r="AE28" i="1"/>
  <c r="AF44" i="1"/>
  <c r="AF32" i="1"/>
  <c r="D41" i="1"/>
  <c r="AD41" i="1"/>
  <c r="AE41" i="1" s="1"/>
  <c r="AF13" i="1"/>
  <c r="AE13" i="1"/>
  <c r="AE20" i="1"/>
  <c r="AF20" i="1"/>
  <c r="AF5" i="1"/>
  <c r="O25" i="4" l="1"/>
  <c r="P25" i="4" s="1"/>
  <c r="Q25" i="4" s="1"/>
  <c r="S25" i="4" s="1"/>
  <c r="T25" i="4" s="1"/>
  <c r="U25" i="4" s="1"/>
  <c r="V25" i="4" s="1"/>
  <c r="G37" i="4"/>
  <c r="D40" i="4"/>
  <c r="O37" i="4"/>
  <c r="P37" i="4" s="1"/>
  <c r="Q37" i="4" s="1"/>
  <c r="S37" i="4" s="1"/>
  <c r="T37" i="4" s="1"/>
  <c r="U37" i="4" s="1"/>
  <c r="V37" i="4" s="1"/>
  <c r="AF39" i="1"/>
  <c r="O33" i="4"/>
  <c r="P33" i="4" s="1"/>
  <c r="Q33" i="4" s="1"/>
  <c r="S33" i="4" s="1"/>
  <c r="T33" i="4" s="1"/>
  <c r="U33" i="4" s="1"/>
  <c r="V33" i="4" s="1"/>
  <c r="F39" i="4"/>
  <c r="N39" i="4" s="1"/>
  <c r="G39" i="4"/>
  <c r="D41" i="4"/>
  <c r="H40" i="4"/>
  <c r="AF41" i="1"/>
  <c r="AC38" i="1"/>
  <c r="AE39" i="1"/>
  <c r="AD38" i="1"/>
  <c r="D38" i="1"/>
  <c r="AF46" i="1"/>
  <c r="AE46" i="1"/>
  <c r="AE43" i="1"/>
  <c r="AF43" i="1"/>
  <c r="O39" i="4" l="1"/>
  <c r="P39" i="4" s="1"/>
  <c r="Q39" i="4" s="1"/>
  <c r="S39" i="4" s="1"/>
  <c r="T39" i="4" s="1"/>
  <c r="U39" i="4" s="1"/>
  <c r="V39" i="4" s="1"/>
  <c r="F40" i="4"/>
  <c r="N40" i="4" s="1"/>
  <c r="D42" i="4"/>
  <c r="H41" i="4"/>
  <c r="AE38" i="1"/>
  <c r="AF38" i="1"/>
  <c r="F41" i="4" l="1"/>
  <c r="N41" i="4" s="1"/>
  <c r="H42" i="4"/>
  <c r="D43" i="4"/>
  <c r="G40" i="4"/>
  <c r="O40" i="4"/>
  <c r="P40" i="4" s="1"/>
  <c r="Q40" i="4" s="1"/>
  <c r="S40" i="4" s="1"/>
  <c r="T40" i="4" s="1"/>
  <c r="U40" i="4" s="1"/>
  <c r="V40" i="4" s="1"/>
  <c r="D44" i="4" l="1"/>
  <c r="H43" i="4"/>
  <c r="F42" i="4"/>
  <c r="N42" i="4" s="1"/>
  <c r="G41" i="4"/>
  <c r="O41" i="4"/>
  <c r="P41" i="4" s="1"/>
  <c r="Q41" i="4" s="1"/>
  <c r="S41" i="4" s="1"/>
  <c r="T41" i="4" s="1"/>
  <c r="U41" i="4" s="1"/>
  <c r="V41" i="4" s="1"/>
  <c r="G42" i="4" l="1"/>
  <c r="O42" i="4"/>
  <c r="P42" i="4" s="1"/>
  <c r="Q42" i="4" s="1"/>
  <c r="S42" i="4" s="1"/>
  <c r="T42" i="4" s="1"/>
  <c r="U42" i="4" s="1"/>
  <c r="V42" i="4" s="1"/>
  <c r="F43" i="4"/>
  <c r="N43" i="4" s="1"/>
  <c r="D45" i="4"/>
  <c r="H44" i="4"/>
  <c r="G43" i="4" l="1"/>
  <c r="O43" i="4"/>
  <c r="P43" i="4" s="1"/>
  <c r="Q43" i="4" s="1"/>
  <c r="S43" i="4" s="1"/>
  <c r="T43" i="4" s="1"/>
  <c r="U43" i="4" s="1"/>
  <c r="V43" i="4" s="1"/>
  <c r="F44" i="4"/>
  <c r="N44" i="4" s="1"/>
  <c r="H45" i="4"/>
  <c r="D46" i="4"/>
  <c r="G44" i="4" l="1"/>
  <c r="F45" i="4"/>
  <c r="N45" i="4" s="1"/>
  <c r="G45" i="4"/>
  <c r="O44" i="4"/>
  <c r="P44" i="4" s="1"/>
  <c r="Q44" i="4" s="1"/>
  <c r="S44" i="4" s="1"/>
  <c r="T44" i="4" s="1"/>
  <c r="U44" i="4" s="1"/>
  <c r="V44" i="4" s="1"/>
  <c r="H46" i="4"/>
  <c r="D47" i="4"/>
  <c r="D48" i="4" l="1"/>
  <c r="H47" i="4"/>
  <c r="F46" i="4"/>
  <c r="N46" i="4" s="1"/>
  <c r="O45" i="4"/>
  <c r="P45" i="4" s="1"/>
  <c r="Q45" i="4" s="1"/>
  <c r="S45" i="4" s="1"/>
  <c r="T45" i="4" s="1"/>
  <c r="U45" i="4" s="1"/>
  <c r="V45" i="4" s="1"/>
  <c r="O46" i="4" l="1"/>
  <c r="P46" i="4" s="1"/>
  <c r="Q46" i="4" s="1"/>
  <c r="S46" i="4" s="1"/>
  <c r="T46" i="4" s="1"/>
  <c r="U46" i="4" s="1"/>
  <c r="V46" i="4" s="1"/>
  <c r="H48" i="4"/>
  <c r="D49" i="4"/>
  <c r="G46" i="4"/>
  <c r="F47" i="4"/>
  <c r="N47" i="4" s="1"/>
  <c r="G47" i="4"/>
  <c r="F48" i="4" l="1"/>
  <c r="N48" i="4" s="1"/>
  <c r="O47" i="4"/>
  <c r="P47" i="4" s="1"/>
  <c r="Q47" i="4" s="1"/>
  <c r="S47" i="4" s="1"/>
  <c r="T47" i="4" s="1"/>
  <c r="U47" i="4" s="1"/>
  <c r="V47" i="4" s="1"/>
  <c r="D50" i="4"/>
  <c r="H49" i="4"/>
  <c r="H50" i="4" l="1"/>
  <c r="D51" i="4"/>
  <c r="O48" i="4"/>
  <c r="P48" i="4" s="1"/>
  <c r="Q48" i="4" s="1"/>
  <c r="S48" i="4" s="1"/>
  <c r="T48" i="4" s="1"/>
  <c r="U48" i="4" s="1"/>
  <c r="V48" i="4" s="1"/>
  <c r="F49" i="4"/>
  <c r="N49" i="4" s="1"/>
  <c r="G48" i="4"/>
  <c r="O49" i="4" l="1"/>
  <c r="P49" i="4" s="1"/>
  <c r="Q49" i="4" s="1"/>
  <c r="S49" i="4" s="1"/>
  <c r="T49" i="4" s="1"/>
  <c r="U49" i="4" s="1"/>
  <c r="V49" i="4" s="1"/>
  <c r="D52" i="4"/>
  <c r="H51" i="4"/>
  <c r="F50" i="4"/>
  <c r="N50" i="4" s="1"/>
  <c r="G49" i="4"/>
  <c r="G50" i="4" l="1"/>
  <c r="O50" i="4"/>
  <c r="P50" i="4" s="1"/>
  <c r="Q50" i="4" s="1"/>
  <c r="S50" i="4" s="1"/>
  <c r="T50" i="4" s="1"/>
  <c r="U50" i="4" s="1"/>
  <c r="V50" i="4" s="1"/>
  <c r="D53" i="4"/>
  <c r="H52" i="4"/>
  <c r="F51" i="4"/>
  <c r="N51" i="4" s="1"/>
  <c r="O51" i="4" l="1"/>
  <c r="P51" i="4" s="1"/>
  <c r="Q51" i="4" s="1"/>
  <c r="S51" i="4" s="1"/>
  <c r="T51" i="4" s="1"/>
  <c r="U51" i="4" s="1"/>
  <c r="V51" i="4" s="1"/>
  <c r="F52" i="4"/>
  <c r="N52" i="4" s="1"/>
  <c r="H53" i="4"/>
  <c r="D54" i="4"/>
  <c r="G51" i="4"/>
  <c r="G52" i="4" l="1"/>
  <c r="O52" i="4"/>
  <c r="P52" i="4" s="1"/>
  <c r="Q52" i="4" s="1"/>
  <c r="S52" i="4" s="1"/>
  <c r="T52" i="4" s="1"/>
  <c r="U52" i="4" s="1"/>
  <c r="V52" i="4" s="1"/>
  <c r="H54" i="4"/>
  <c r="D55" i="4"/>
  <c r="F53" i="4"/>
  <c r="N53" i="4" s="1"/>
  <c r="O53" i="4" l="1"/>
  <c r="P53" i="4" s="1"/>
  <c r="Q53" i="4" s="1"/>
  <c r="S53" i="4" s="1"/>
  <c r="T53" i="4" s="1"/>
  <c r="U53" i="4" s="1"/>
  <c r="V53" i="4" s="1"/>
  <c r="F54" i="4"/>
  <c r="N54" i="4" s="1"/>
  <c r="D56" i="4"/>
  <c r="H55" i="4"/>
  <c r="G53" i="4"/>
  <c r="G54" i="4" l="1"/>
  <c r="F55" i="4"/>
  <c r="N55" i="4" s="1"/>
  <c r="O54" i="4"/>
  <c r="P54" i="4" s="1"/>
  <c r="Q54" i="4" s="1"/>
  <c r="S54" i="4" s="1"/>
  <c r="T54" i="4" s="1"/>
  <c r="U54" i="4" s="1"/>
  <c r="V54" i="4" s="1"/>
  <c r="D57" i="4"/>
  <c r="H56" i="4"/>
  <c r="F56" i="4" l="1"/>
  <c r="N56" i="4" s="1"/>
  <c r="O55" i="4"/>
  <c r="P55" i="4" s="1"/>
  <c r="Q55" i="4" s="1"/>
  <c r="S55" i="4" s="1"/>
  <c r="T55" i="4" s="1"/>
  <c r="U55" i="4" s="1"/>
  <c r="V55" i="4" s="1"/>
  <c r="H57" i="4"/>
  <c r="D58" i="4"/>
  <c r="G55" i="4"/>
  <c r="O56" i="4" l="1"/>
  <c r="P56" i="4" s="1"/>
  <c r="Q56" i="4" s="1"/>
  <c r="S56" i="4" s="1"/>
  <c r="T56" i="4" s="1"/>
  <c r="U56" i="4" s="1"/>
  <c r="V56" i="4" s="1"/>
  <c r="H58" i="4"/>
  <c r="D59" i="4"/>
  <c r="F57" i="4"/>
  <c r="N57" i="4" s="1"/>
  <c r="G57" i="4"/>
  <c r="G56" i="4"/>
  <c r="F58" i="4" l="1"/>
  <c r="N58" i="4" s="1"/>
  <c r="O57" i="4"/>
  <c r="P57" i="4" s="1"/>
  <c r="Q57" i="4" s="1"/>
  <c r="S57" i="4" s="1"/>
  <c r="T57" i="4" s="1"/>
  <c r="U57" i="4" s="1"/>
  <c r="V57" i="4" s="1"/>
  <c r="D60" i="4"/>
  <c r="H59" i="4"/>
  <c r="D61" i="4" l="1"/>
  <c r="H60" i="4"/>
  <c r="O58" i="4"/>
  <c r="P58" i="4" s="1"/>
  <c r="Q58" i="4" s="1"/>
  <c r="S58" i="4" s="1"/>
  <c r="T58" i="4" s="1"/>
  <c r="U58" i="4" s="1"/>
  <c r="V58" i="4" s="1"/>
  <c r="F59" i="4"/>
  <c r="N59" i="4" s="1"/>
  <c r="G58" i="4"/>
  <c r="G59" i="4" l="1"/>
  <c r="O59" i="4"/>
  <c r="P59" i="4" s="1"/>
  <c r="Q59" i="4" s="1"/>
  <c r="S59" i="4" s="1"/>
  <c r="T59" i="4" s="1"/>
  <c r="U59" i="4" s="1"/>
  <c r="V59" i="4" s="1"/>
  <c r="F60" i="4"/>
  <c r="N60" i="4" s="1"/>
  <c r="G60" i="4"/>
  <c r="H61" i="4"/>
  <c r="D62" i="4"/>
  <c r="O60" i="4" l="1"/>
  <c r="P60" i="4" s="1"/>
  <c r="Q60" i="4" s="1"/>
  <c r="S60" i="4" s="1"/>
  <c r="T60" i="4" s="1"/>
  <c r="U60" i="4" s="1"/>
  <c r="V60" i="4" s="1"/>
  <c r="H62" i="4"/>
  <c r="D63" i="4"/>
  <c r="F61" i="4"/>
  <c r="N61" i="4" s="1"/>
  <c r="G61" i="4"/>
  <c r="O61" i="4" l="1"/>
  <c r="P61" i="4" s="1"/>
  <c r="Q61" i="4" s="1"/>
  <c r="S61" i="4" s="1"/>
  <c r="T61" i="4" s="1"/>
  <c r="U61" i="4" s="1"/>
  <c r="V61" i="4" s="1"/>
  <c r="F62" i="4"/>
  <c r="N62" i="4" s="1"/>
  <c r="G62" i="4"/>
  <c r="H63" i="4"/>
  <c r="O62" i="4" l="1"/>
  <c r="P62" i="4" s="1"/>
  <c r="Q62" i="4" s="1"/>
  <c r="S62" i="4" s="1"/>
  <c r="T62" i="4" s="1"/>
  <c r="U62" i="4" s="1"/>
  <c r="V62" i="4" s="1"/>
  <c r="F63" i="4"/>
  <c r="N63" i="4" s="1"/>
  <c r="G63" i="4"/>
  <c r="O63" i="4" l="1"/>
  <c r="P63" i="4" s="1"/>
  <c r="Q63" i="4" s="1"/>
  <c r="S63" i="4" s="1"/>
  <c r="T63" i="4" s="1"/>
  <c r="U63" i="4" s="1"/>
  <c r="V63" i="4" s="1"/>
</calcChain>
</file>

<file path=xl/sharedStrings.xml><?xml version="1.0" encoding="utf-8"?>
<sst xmlns="http://schemas.openxmlformats.org/spreadsheetml/2006/main" count="465" uniqueCount="162">
  <si>
    <t>【Hanoi】</t>
  </si>
  <si>
    <t>※USD</t>
  </si>
  <si>
    <t>Quynh</t>
  </si>
  <si>
    <t>Total Hanoi</t>
  </si>
  <si>
    <t>【Hochiminh】</t>
  </si>
  <si>
    <t>Vien</t>
  </si>
  <si>
    <t>Thanh</t>
  </si>
  <si>
    <t>Tsujino</t>
  </si>
  <si>
    <t>Nakazono</t>
  </si>
  <si>
    <t>Genda</t>
  </si>
  <si>
    <t>Total HCM</t>
  </si>
  <si>
    <t>HCM RA</t>
  </si>
  <si>
    <t>Total HR</t>
  </si>
  <si>
    <t>Huong</t>
  </si>
  <si>
    <t>Tu</t>
  </si>
  <si>
    <t>Trang</t>
  </si>
  <si>
    <t>Thu</t>
  </si>
  <si>
    <t>Trinh</t>
  </si>
  <si>
    <t>Phuong</t>
  </si>
  <si>
    <t>Giang</t>
  </si>
  <si>
    <t>HCM CA</t>
  </si>
  <si>
    <t>JPN CA</t>
  </si>
  <si>
    <t>IT CA</t>
  </si>
  <si>
    <t>JPN RA</t>
  </si>
  <si>
    <t>VN RA</t>
  </si>
  <si>
    <t>J</t>
  </si>
  <si>
    <t>Company rate</t>
  </si>
  <si>
    <t>〜59%</t>
  </si>
  <si>
    <t>60%〜79%</t>
  </si>
  <si>
    <t>Basic</t>
  </si>
  <si>
    <t>120%〜129%</t>
    <phoneticPr fontId="4"/>
  </si>
  <si>
    <t>130%〜</t>
    <phoneticPr fontId="4"/>
  </si>
  <si>
    <t>Bonus for all</t>
    <phoneticPr fontId="4"/>
  </si>
  <si>
    <t>Personal rate</t>
  </si>
  <si>
    <t>80%〜119%</t>
    <phoneticPr fontId="4"/>
  </si>
  <si>
    <t>Rank riseing bonus</t>
    <phoneticPr fontId="4"/>
  </si>
  <si>
    <t>Amount</t>
    <phoneticPr fontId="4"/>
  </si>
  <si>
    <t>200%〜</t>
  </si>
  <si>
    <t>Leader evaluation</t>
  </si>
  <si>
    <t>±1</t>
  </si>
  <si>
    <t>※Next tab</t>
    <phoneticPr fontId="4"/>
  </si>
  <si>
    <t>※Next tab</t>
    <phoneticPr fontId="4"/>
  </si>
  <si>
    <t>190%〜199%</t>
  </si>
  <si>
    <t>Action KPI evaluation</t>
    <phoneticPr fontId="4"/>
  </si>
  <si>
    <t>180%〜199%</t>
  </si>
  <si>
    <t>CEO evaluation</t>
    <phoneticPr fontId="4"/>
  </si>
  <si>
    <t>※Almost choosing 0</t>
    <phoneticPr fontId="4"/>
  </si>
  <si>
    <t>170%〜179%</t>
  </si>
  <si>
    <t>Bonus for Leader</t>
    <phoneticPr fontId="4"/>
  </si>
  <si>
    <t>160%〜169%</t>
  </si>
  <si>
    <t>6th month Total KPI</t>
    <phoneticPr fontId="4"/>
  </si>
  <si>
    <t>25,000USD〜49,999USD</t>
    <phoneticPr fontId="4"/>
  </si>
  <si>
    <t>50,000USD
〜74,999USD</t>
    <phoneticPr fontId="4"/>
  </si>
  <si>
    <t>75,000USD
〜99,999USD</t>
    <phoneticPr fontId="4"/>
  </si>
  <si>
    <t>100,000USD〜</t>
    <phoneticPr fontId="4"/>
  </si>
  <si>
    <t>150%〜159%</t>
  </si>
  <si>
    <t>6th month achievement rate</t>
    <phoneticPr fontId="4"/>
  </si>
  <si>
    <t>140%〜149%</t>
  </si>
  <si>
    <t>100%〜109%</t>
    <phoneticPr fontId="4"/>
  </si>
  <si>
    <t>130%〜139%</t>
  </si>
  <si>
    <t>110%〜119%</t>
    <phoneticPr fontId="4"/>
  </si>
  <si>
    <t>120%〜129%</t>
  </si>
  <si>
    <t>110%〜119%</t>
  </si>
  <si>
    <t>100%〜109%</t>
  </si>
  <si>
    <t>Bonus for high KPI member</t>
    <phoneticPr fontId="4"/>
  </si>
  <si>
    <t>90%〜99%</t>
  </si>
  <si>
    <t>15,000USD〜24,999USD</t>
    <phoneticPr fontId="4"/>
  </si>
  <si>
    <t>25,000USD
〜34,999USD</t>
    <phoneticPr fontId="4"/>
  </si>
  <si>
    <t>35,000USD
〜44,999USD</t>
    <phoneticPr fontId="4"/>
  </si>
  <si>
    <t>45,000USD〜</t>
    <phoneticPr fontId="4"/>
  </si>
  <si>
    <t>80%〜89%</t>
  </si>
  <si>
    <t>6th month achievement rate</t>
    <phoneticPr fontId="4"/>
  </si>
  <si>
    <t>70%〜79%</t>
  </si>
  <si>
    <t>100%〜119%</t>
    <phoneticPr fontId="4"/>
  </si>
  <si>
    <t>60%〜69%</t>
  </si>
  <si>
    <t>120%〜139%</t>
    <phoneticPr fontId="4"/>
  </si>
  <si>
    <t>50%〜59%</t>
  </si>
  <si>
    <t>140%〜159%</t>
    <phoneticPr fontId="4"/>
  </si>
  <si>
    <t>40%〜49%</t>
  </si>
  <si>
    <t>160%〜</t>
    <phoneticPr fontId="4"/>
  </si>
  <si>
    <t>30%〜39%</t>
  </si>
  <si>
    <t>Evaluation to maternity leave (Evaluate by KPI of working month)</t>
    <phoneticPr fontId="4"/>
  </si>
  <si>
    <t>20%〜29%</t>
  </si>
  <si>
    <t>Working month from last evaluation</t>
    <phoneticPr fontId="4"/>
  </si>
  <si>
    <t>Evaluation decrease</t>
    <phoneticPr fontId="4"/>
  </si>
  <si>
    <t>10%〜19%</t>
  </si>
  <si>
    <t>1 month</t>
    <phoneticPr fontId="4"/>
  </si>
  <si>
    <t>0%〜9%</t>
  </si>
  <si>
    <t>2 month</t>
  </si>
  <si>
    <t>3 month</t>
  </si>
  <si>
    <t>4 month</t>
  </si>
  <si>
    <t>5 month</t>
  </si>
  <si>
    <t>6 month</t>
  </si>
  <si>
    <t>※Raising salary when return from maternity leave</t>
    <phoneticPr fontId="4"/>
  </si>
  <si>
    <t>Financial KPI</t>
  </si>
  <si>
    <t>KPI amount</t>
  </si>
  <si>
    <t>Result amount</t>
  </si>
  <si>
    <t>Kuwahara</t>
  </si>
  <si>
    <r>
      <rPr>
        <b/>
        <sz val="12"/>
        <color rgb="FF008000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rofessional
</t>
    </r>
    <r>
      <rPr>
        <b/>
        <sz val="12"/>
        <color rgb="FF008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ank</t>
    </r>
  </si>
  <si>
    <t>Stage</t>
    <phoneticPr fontId="12"/>
  </si>
  <si>
    <t>Salary(NET)</t>
    <phoneticPr fontId="12"/>
  </si>
  <si>
    <t>Basic</t>
    <phoneticPr fontId="12"/>
  </si>
  <si>
    <t>Allowance(VND)</t>
  </si>
  <si>
    <t>Number of dependents</t>
  </si>
  <si>
    <t>Family stutus deduction</t>
  </si>
  <si>
    <t>Percentage of Social Insurance to be paid Employee shall be paid Company</t>
  </si>
  <si>
    <t>Income as basic for conversion</t>
  </si>
  <si>
    <t>Taxable income after conversion</t>
  </si>
  <si>
    <t>Taxable income after conversion excluding house renting fee</t>
  </si>
  <si>
    <t>15% Taxable income after conversion excluding house renting fee</t>
  </si>
  <si>
    <t>Company pay renting house fee</t>
  </si>
  <si>
    <t>Taxable income before conversion including renting house fee</t>
  </si>
  <si>
    <t>Taxable income after conversion including house renting fee</t>
  </si>
  <si>
    <t>PIT payable</t>
  </si>
  <si>
    <t>Total of Gross Salary</t>
  </si>
  <si>
    <t>Allowance are deducted when calculating PIT</t>
  </si>
  <si>
    <t>Other Allowance</t>
  </si>
  <si>
    <t>Total Allowance</t>
  </si>
  <si>
    <t>Social Insurance(8%)</t>
  </si>
  <si>
    <t>Health Insurance(1.5%)</t>
  </si>
  <si>
    <t>Unemployment insurance(1%)</t>
  </si>
  <si>
    <t>PR1
(Rising amount：315,000VND)</t>
    <phoneticPr fontId="12"/>
  </si>
  <si>
    <t>A</t>
    <phoneticPr fontId="12"/>
  </si>
  <si>
    <t>B</t>
    <phoneticPr fontId="12"/>
  </si>
  <si>
    <t>C</t>
    <phoneticPr fontId="12"/>
  </si>
  <si>
    <t>D</t>
    <phoneticPr fontId="12"/>
  </si>
  <si>
    <t>E</t>
    <phoneticPr fontId="12"/>
  </si>
  <si>
    <t>F</t>
    <phoneticPr fontId="12"/>
  </si>
  <si>
    <t>G</t>
    <phoneticPr fontId="12"/>
  </si>
  <si>
    <t>H</t>
    <phoneticPr fontId="12"/>
  </si>
  <si>
    <t>I</t>
    <phoneticPr fontId="12"/>
  </si>
  <si>
    <t>PR2
(Rising amount：420,000VND)</t>
    <phoneticPr fontId="12"/>
  </si>
  <si>
    <t>A</t>
    <phoneticPr fontId="12"/>
  </si>
  <si>
    <t>C</t>
    <phoneticPr fontId="12"/>
  </si>
  <si>
    <t>G</t>
    <phoneticPr fontId="12"/>
  </si>
  <si>
    <t>PR3
(Rising amount：525,000VND)</t>
    <phoneticPr fontId="12"/>
  </si>
  <si>
    <t>PR4
(Rising amount：630,00VND)</t>
    <phoneticPr fontId="12"/>
  </si>
  <si>
    <t>J</t>
    <phoneticPr fontId="12"/>
  </si>
  <si>
    <t>PR5
(Rising amount：735,000VND)</t>
    <phoneticPr fontId="12"/>
  </si>
  <si>
    <t>PR6
(Rising amount：840,000VND)</t>
    <phoneticPr fontId="12"/>
  </si>
  <si>
    <t>Performance</t>
  </si>
  <si>
    <t>Lenka</t>
  </si>
  <si>
    <t>Trang Pham</t>
  </si>
  <si>
    <t>MAGE CA</t>
  </si>
  <si>
    <t>【Hanoi】</t>
    <phoneticPr fontId="4"/>
  </si>
  <si>
    <t>Half year</t>
    <phoneticPr fontId="4"/>
  </si>
  <si>
    <t>Half year</t>
    <phoneticPr fontId="4"/>
  </si>
  <si>
    <t>%</t>
    <phoneticPr fontId="4"/>
  </si>
  <si>
    <t>Remain</t>
    <phoneticPr fontId="4"/>
  </si>
  <si>
    <t>2019/2Q</t>
  </si>
  <si>
    <t>2019/3Q</t>
  </si>
  <si>
    <t>2019/04</t>
  </si>
  <si>
    <t>2019/05</t>
  </si>
  <si>
    <t>2019/06</t>
  </si>
  <si>
    <t>Giang Do</t>
  </si>
  <si>
    <t>Kawahara</t>
  </si>
  <si>
    <t>Past ITCA</t>
  </si>
  <si>
    <t>Past JPCA</t>
  </si>
  <si>
    <t>Past MAGECA</t>
  </si>
  <si>
    <t>2019/07</t>
  </si>
  <si>
    <t>2019/08</t>
  </si>
  <si>
    <t>2019/09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</si>
</sst>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[$VND]\ #,##0_);[Red]\([$VND]\ #,##0\)"/>
    <numFmt numFmtId="166" formatCode="0_);[Red]\(0\)"/>
    <numFmt numFmtId="167" formatCode="_-* #,##0\ _₫_-;\-* #,##0\ _₫_-;_-* &quot;-&quot;??\ _₫_-;_-@_-"/>
    <numFmt numFmtId="168" formatCode="_(* #,##0_);_(* \(#,##0\);_(* &quot;-&quot;??_);_(@_)"/>
  </numFmts>
  <fonts count="16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b/>
      <sz val="12"/>
      <color rgb="FF008000"/>
      <name val="Calibri"/>
      <family val="2"/>
      <scheme val="minor"/>
    </font>
    <font>
      <sz val="12"/>
      <color rgb="FF000000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.5"/>
      <name val="Times New Roman"/>
      <family val="1"/>
    </font>
    <font>
      <b/>
      <sz val="15"/>
      <name val="Times New Roman"/>
      <family val="1"/>
    </font>
    <font>
      <b/>
      <sz val="12"/>
      <color theme="1"/>
      <name val="Calibri"/>
      <family val="2"/>
      <charset val="163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E850"/>
        <bgColor indexed="64"/>
      </patternFill>
    </fill>
    <fill>
      <patternFill patternType="solid">
        <fgColor rgb="FF2AF419"/>
        <bgColor indexed="64"/>
      </patternFill>
    </fill>
    <fill>
      <patternFill patternType="solid">
        <fgColor rgb="FF29CE10"/>
        <bgColor indexed="64"/>
      </patternFill>
    </fill>
    <fill>
      <patternFill patternType="solid">
        <fgColor rgb="FF259F12"/>
        <bgColor indexed="64"/>
      </patternFill>
    </fill>
    <fill>
      <patternFill patternType="solid">
        <fgColor rgb="FF1A822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</borders>
  <cellStyleXfs count="438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0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1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9" fillId="0" borderId="35" xfId="0" applyFont="1" applyBorder="1"/>
    <xf numFmtId="0" fontId="9" fillId="0" borderId="16" xfId="0" applyFont="1" applyBorder="1" applyAlignment="1">
      <alignment horizontal="right" vertical="top"/>
    </xf>
    <xf numFmtId="0" fontId="9" fillId="0" borderId="22" xfId="0" applyFont="1" applyBorder="1"/>
    <xf numFmtId="0" fontId="9" fillId="0" borderId="36" xfId="0" applyFont="1" applyBorder="1"/>
    <xf numFmtId="0" fontId="9" fillId="3" borderId="8" xfId="0" applyFont="1" applyFill="1" applyBorder="1"/>
    <xf numFmtId="0" fontId="9" fillId="3" borderId="9" xfId="0" applyFont="1" applyFill="1" applyBorder="1"/>
    <xf numFmtId="166" fontId="9" fillId="0" borderId="6" xfId="0" applyNumberFormat="1" applyFont="1" applyBorder="1"/>
    <xf numFmtId="166" fontId="9" fillId="0" borderId="11" xfId="0" applyNumberFormat="1" applyFont="1" applyBorder="1"/>
    <xf numFmtId="0" fontId="9" fillId="0" borderId="0" xfId="0" applyFont="1"/>
    <xf numFmtId="0" fontId="9" fillId="0" borderId="2" xfId="0" applyFont="1" applyBorder="1" applyAlignment="1">
      <alignment horizontal="left"/>
    </xf>
    <xf numFmtId="0" fontId="9" fillId="0" borderId="5" xfId="0" applyFont="1" applyBorder="1" applyAlignment="1">
      <alignment horizontal="right"/>
    </xf>
    <xf numFmtId="0" fontId="9" fillId="0" borderId="2" xfId="0" applyFont="1" applyBorder="1"/>
    <xf numFmtId="0" fontId="9" fillId="0" borderId="12" xfId="0" applyFont="1" applyBorder="1"/>
    <xf numFmtId="0" fontId="9" fillId="0" borderId="13" xfId="0" applyFont="1" applyBorder="1" applyAlignment="1">
      <alignment horizontal="right"/>
    </xf>
    <xf numFmtId="0" fontId="9" fillId="0" borderId="0" xfId="0" applyFont="1" applyBorder="1"/>
    <xf numFmtId="0" fontId="0" fillId="4" borderId="35" xfId="0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44" xfId="0" applyFill="1" applyBorder="1"/>
    <xf numFmtId="0" fontId="0" fillId="0" borderId="23" xfId="0" applyBorder="1"/>
    <xf numFmtId="0" fontId="0" fillId="0" borderId="5" xfId="0" applyBorder="1"/>
    <xf numFmtId="0" fontId="0" fillId="0" borderId="25" xfId="0" applyBorder="1"/>
    <xf numFmtId="0" fontId="0" fillId="0" borderId="13" xfId="0" applyBorder="1"/>
    <xf numFmtId="0" fontId="0" fillId="4" borderId="33" xfId="0" applyFill="1" applyBorder="1" applyAlignment="1"/>
    <xf numFmtId="0" fontId="0" fillId="4" borderId="9" xfId="0" applyFill="1" applyBorder="1" applyAlignment="1"/>
    <xf numFmtId="0" fontId="0" fillId="2" borderId="0" xfId="0" applyFill="1" applyBorder="1" applyAlignment="1"/>
    <xf numFmtId="0" fontId="0" fillId="0" borderId="2" xfId="0" applyBorder="1"/>
    <xf numFmtId="9" fontId="0" fillId="0" borderId="5" xfId="234" applyFont="1" applyBorder="1"/>
    <xf numFmtId="9" fontId="0" fillId="2" borderId="0" xfId="234" applyFont="1" applyFill="1" applyBorder="1"/>
    <xf numFmtId="166" fontId="9" fillId="0" borderId="1" xfId="0" applyNumberFormat="1" applyFont="1" applyBorder="1"/>
    <xf numFmtId="166" fontId="9" fillId="0" borderId="17" xfId="0" applyNumberFormat="1" applyFont="1" applyBorder="1"/>
    <xf numFmtId="0" fontId="0" fillId="0" borderId="12" xfId="0" applyBorder="1"/>
    <xf numFmtId="9" fontId="0" fillId="0" borderId="13" xfId="234" applyFont="1" applyBorder="1"/>
    <xf numFmtId="165" fontId="0" fillId="0" borderId="28" xfId="0" applyNumberFormat="1" applyBorder="1" applyAlignment="1">
      <alignment horizontal="center" vertical="center" wrapText="1"/>
    </xf>
    <xf numFmtId="165" fontId="0" fillId="0" borderId="26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65" fontId="0" fillId="4" borderId="24" xfId="0" applyNumberFormat="1" applyFill="1" applyBorder="1" applyAlignment="1">
      <alignment horizontal="right" vertical="center"/>
    </xf>
    <xf numFmtId="165" fontId="0" fillId="0" borderId="24" xfId="0" applyNumberFormat="1" applyBorder="1" applyAlignment="1">
      <alignment horizontal="center" vertical="center" wrapText="1"/>
    </xf>
    <xf numFmtId="0" fontId="0" fillId="0" borderId="24" xfId="0" applyBorder="1"/>
    <xf numFmtId="167" fontId="11" fillId="12" borderId="24" xfId="0" applyNumberFormat="1" applyFont="1" applyFill="1" applyBorder="1" applyAlignment="1">
      <alignment vertical="center"/>
    </xf>
    <xf numFmtId="3" fontId="11" fillId="0" borderId="24" xfId="0" quotePrefix="1" applyNumberFormat="1" applyFont="1" applyFill="1" applyBorder="1" applyAlignment="1" applyProtection="1">
      <alignment vertical="center"/>
      <protection locked="0"/>
    </xf>
    <xf numFmtId="3" fontId="11" fillId="12" borderId="24" xfId="0" quotePrefix="1" applyNumberFormat="1" applyFont="1" applyFill="1" applyBorder="1" applyAlignment="1" applyProtection="1">
      <alignment vertical="center"/>
      <protection locked="0"/>
    </xf>
    <xf numFmtId="167" fontId="11" fillId="0" borderId="24" xfId="0" applyNumberFormat="1" applyFont="1" applyBorder="1" applyAlignment="1">
      <alignment vertical="center"/>
    </xf>
    <xf numFmtId="168" fontId="11" fillId="12" borderId="24" xfId="311" applyNumberFormat="1" applyFont="1" applyFill="1" applyBorder="1" applyAlignment="1"/>
    <xf numFmtId="168" fontId="11" fillId="12" borderId="24" xfId="311" applyNumberFormat="1" applyFont="1" applyFill="1" applyBorder="1"/>
    <xf numFmtId="168" fontId="11" fillId="0" borderId="24" xfId="311" applyNumberFormat="1" applyFont="1" applyBorder="1"/>
    <xf numFmtId="165" fontId="0" fillId="0" borderId="23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center" vertical="center" wrapText="1"/>
    </xf>
    <xf numFmtId="167" fontId="11" fillId="12" borderId="23" xfId="0" applyNumberFormat="1" applyFont="1" applyFill="1" applyBorder="1" applyAlignment="1">
      <alignment vertical="center"/>
    </xf>
    <xf numFmtId="3" fontId="11" fillId="0" borderId="23" xfId="0" quotePrefix="1" applyNumberFormat="1" applyFont="1" applyFill="1" applyBorder="1" applyAlignment="1" applyProtection="1">
      <alignment vertical="center"/>
      <protection locked="0"/>
    </xf>
    <xf numFmtId="3" fontId="11" fillId="12" borderId="23" xfId="0" quotePrefix="1" applyNumberFormat="1" applyFont="1" applyFill="1" applyBorder="1" applyAlignment="1" applyProtection="1">
      <alignment vertical="center"/>
      <protection locked="0"/>
    </xf>
    <xf numFmtId="167" fontId="11" fillId="0" borderId="23" xfId="0" applyNumberFormat="1" applyFont="1" applyBorder="1" applyAlignment="1">
      <alignment vertical="center"/>
    </xf>
    <xf numFmtId="168" fontId="11" fillId="12" borderId="23" xfId="311" applyNumberFormat="1" applyFont="1" applyFill="1" applyBorder="1" applyAlignment="1"/>
    <xf numFmtId="168" fontId="11" fillId="12" borderId="23" xfId="311" applyNumberFormat="1" applyFont="1" applyFill="1" applyBorder="1"/>
    <xf numFmtId="168" fontId="11" fillId="0" borderId="23" xfId="311" applyNumberFormat="1" applyFont="1" applyBorder="1"/>
    <xf numFmtId="165" fontId="0" fillId="4" borderId="23" xfId="0" applyNumberFormat="1" applyFill="1" applyBorder="1" applyAlignment="1">
      <alignment horizontal="right" vertical="center"/>
    </xf>
    <xf numFmtId="165" fontId="0" fillId="2" borderId="25" xfId="0" applyNumberFormat="1" applyFill="1" applyBorder="1" applyAlignment="1">
      <alignment horizontal="right" vertical="center"/>
    </xf>
    <xf numFmtId="165" fontId="0" fillId="0" borderId="25" xfId="0" applyNumberFormat="1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/>
    </xf>
    <xf numFmtId="167" fontId="11" fillId="12" borderId="25" xfId="0" applyNumberFormat="1" applyFont="1" applyFill="1" applyBorder="1" applyAlignment="1">
      <alignment vertical="center"/>
    </xf>
    <xf numFmtId="3" fontId="11" fillId="0" borderId="25" xfId="0" quotePrefix="1" applyNumberFormat="1" applyFont="1" applyFill="1" applyBorder="1" applyAlignment="1" applyProtection="1">
      <alignment vertical="center"/>
      <protection locked="0"/>
    </xf>
    <xf numFmtId="3" fontId="11" fillId="12" borderId="25" xfId="0" quotePrefix="1" applyNumberFormat="1" applyFont="1" applyFill="1" applyBorder="1" applyAlignment="1" applyProtection="1">
      <alignment vertical="center"/>
      <protection locked="0"/>
    </xf>
    <xf numFmtId="167" fontId="11" fillId="0" borderId="25" xfId="0" applyNumberFormat="1" applyFont="1" applyBorder="1" applyAlignment="1">
      <alignment vertical="center"/>
    </xf>
    <xf numFmtId="168" fontId="11" fillId="12" borderId="25" xfId="311" applyNumberFormat="1" applyFont="1" applyFill="1" applyBorder="1" applyAlignment="1"/>
    <xf numFmtId="168" fontId="11" fillId="12" borderId="25" xfId="311" applyNumberFormat="1" applyFont="1" applyFill="1" applyBorder="1"/>
    <xf numFmtId="168" fontId="11" fillId="0" borderId="25" xfId="311" applyNumberFormat="1" applyFont="1" applyBorder="1"/>
    <xf numFmtId="165" fontId="0" fillId="2" borderId="23" xfId="0" applyNumberFormat="1" applyFill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165" fontId="0" fillId="4" borderId="26" xfId="0" applyNumberFormat="1" applyFill="1" applyBorder="1" applyAlignment="1">
      <alignment horizontal="right" vertical="center"/>
    </xf>
    <xf numFmtId="0" fontId="0" fillId="0" borderId="26" xfId="0" applyBorder="1"/>
    <xf numFmtId="167" fontId="11" fillId="12" borderId="26" xfId="0" applyNumberFormat="1" applyFont="1" applyFill="1" applyBorder="1" applyAlignment="1">
      <alignment vertical="center"/>
    </xf>
    <xf numFmtId="167" fontId="11" fillId="0" borderId="26" xfId="0" applyNumberFormat="1" applyFont="1" applyBorder="1" applyAlignment="1">
      <alignment vertical="center"/>
    </xf>
    <xf numFmtId="168" fontId="11" fillId="12" borderId="26" xfId="311" applyNumberFormat="1" applyFont="1" applyFill="1" applyBorder="1" applyAlignment="1"/>
    <xf numFmtId="168" fontId="11" fillId="12" borderId="26" xfId="311" applyNumberFormat="1" applyFont="1" applyFill="1" applyBorder="1"/>
    <xf numFmtId="168" fontId="11" fillId="0" borderId="26" xfId="311" applyNumberFormat="1" applyFont="1" applyBorder="1"/>
    <xf numFmtId="3" fontId="11" fillId="0" borderId="26" xfId="0" quotePrefix="1" applyNumberFormat="1" applyFont="1" applyFill="1" applyBorder="1" applyAlignment="1" applyProtection="1">
      <alignment vertical="center"/>
      <protection locked="0"/>
    </xf>
    <xf numFmtId="165" fontId="0" fillId="2" borderId="28" xfId="0" applyNumberFormat="1" applyFill="1" applyBorder="1" applyAlignment="1">
      <alignment horizontal="right" vertical="center"/>
    </xf>
    <xf numFmtId="0" fontId="0" fillId="0" borderId="28" xfId="0" applyBorder="1"/>
    <xf numFmtId="167" fontId="11" fillId="12" borderId="28" xfId="0" applyNumberFormat="1" applyFont="1" applyFill="1" applyBorder="1" applyAlignment="1">
      <alignment vertical="center"/>
    </xf>
    <xf numFmtId="167" fontId="11" fillId="0" borderId="28" xfId="0" applyNumberFormat="1" applyFont="1" applyBorder="1" applyAlignment="1">
      <alignment vertical="center"/>
    </xf>
    <xf numFmtId="168" fontId="11" fillId="12" borderId="28" xfId="311" applyNumberFormat="1" applyFont="1" applyFill="1" applyBorder="1" applyAlignment="1"/>
    <xf numFmtId="168" fontId="11" fillId="12" borderId="28" xfId="311" applyNumberFormat="1" applyFont="1" applyFill="1" applyBorder="1"/>
    <xf numFmtId="168" fontId="11" fillId="0" borderId="28" xfId="311" applyNumberFormat="1" applyFont="1" applyBorder="1"/>
    <xf numFmtId="3" fontId="11" fillId="0" borderId="28" xfId="0" quotePrefix="1" applyNumberFormat="1" applyFont="1" applyFill="1" applyBorder="1" applyAlignment="1" applyProtection="1">
      <alignment vertical="center"/>
      <protection locked="0"/>
    </xf>
    <xf numFmtId="3" fontId="11" fillId="12" borderId="26" xfId="0" quotePrefix="1" applyNumberFormat="1" applyFont="1" applyFill="1" applyBorder="1" applyAlignment="1" applyProtection="1">
      <alignment vertical="center"/>
      <protection locked="0"/>
    </xf>
    <xf numFmtId="0" fontId="0" fillId="0" borderId="25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38" fontId="0" fillId="0" borderId="0" xfId="0" applyNumberFormat="1"/>
    <xf numFmtId="38" fontId="0" fillId="0" borderId="19" xfId="0" applyNumberFormat="1" applyBorder="1"/>
    <xf numFmtId="38" fontId="0" fillId="0" borderId="42" xfId="0" applyNumberFormat="1" applyBorder="1"/>
    <xf numFmtId="38" fontId="0" fillId="0" borderId="16" xfId="0" applyNumberFormat="1" applyBorder="1"/>
    <xf numFmtId="38" fontId="0" fillId="0" borderId="43" xfId="0" applyNumberFormat="1" applyBorder="1"/>
    <xf numFmtId="38" fontId="0" fillId="0" borderId="0" xfId="0" applyNumberFormat="1" applyBorder="1"/>
    <xf numFmtId="38" fontId="0" fillId="0" borderId="10" xfId="0" applyNumberFormat="1" applyBorder="1"/>
    <xf numFmtId="38" fontId="0" fillId="0" borderId="22" xfId="0" applyNumberFormat="1" applyBorder="1"/>
    <xf numFmtId="38" fontId="0" fillId="0" borderId="15" xfId="0" applyNumberFormat="1" applyBorder="1"/>
    <xf numFmtId="38" fontId="0" fillId="0" borderId="17" xfId="0" applyNumberFormat="1" applyBorder="1"/>
    <xf numFmtId="38" fontId="9" fillId="0" borderId="0" xfId="0" applyNumberFormat="1" applyFont="1"/>
    <xf numFmtId="38" fontId="0" fillId="0" borderId="0" xfId="0" applyNumberFormat="1" applyAlignment="1">
      <alignment horizontal="center" vertical="center"/>
    </xf>
    <xf numFmtId="38" fontId="0" fillId="0" borderId="0" xfId="0" quotePrefix="1" applyNumberFormat="1"/>
    <xf numFmtId="38" fontId="15" fillId="0" borderId="22" xfId="0" applyNumberFormat="1" applyFont="1" applyBorder="1"/>
    <xf numFmtId="38" fontId="15" fillId="0" borderId="15" xfId="0" applyNumberFormat="1" applyFont="1" applyBorder="1"/>
    <xf numFmtId="38" fontId="15" fillId="0" borderId="17" xfId="0" applyNumberFormat="1" applyFont="1" applyBorder="1"/>
    <xf numFmtId="38" fontId="0" fillId="0" borderId="0" xfId="0" applyNumberFormat="1" applyFill="1"/>
    <xf numFmtId="38" fontId="0" fillId="0" borderId="0" xfId="0" applyNumberFormat="1" applyFill="1" applyBorder="1"/>
    <xf numFmtId="9" fontId="0" fillId="0" borderId="0" xfId="1" applyFont="1" applyBorder="1"/>
    <xf numFmtId="9" fontId="0" fillId="0" borderId="0" xfId="1" applyFont="1"/>
    <xf numFmtId="0" fontId="9" fillId="0" borderId="29" xfId="0" applyFont="1" applyFill="1" applyBorder="1" applyAlignment="1">
      <alignment horizontal="center" wrapText="1"/>
    </xf>
    <xf numFmtId="0" fontId="9" fillId="0" borderId="38" xfId="0" applyFont="1" applyFill="1" applyBorder="1" applyAlignment="1">
      <alignment horizontal="center" wrapText="1"/>
    </xf>
    <xf numFmtId="166" fontId="9" fillId="0" borderId="6" xfId="0" applyNumberFormat="1" applyFont="1" applyFill="1" applyBorder="1"/>
    <xf numFmtId="166" fontId="9" fillId="0" borderId="1" xfId="0" applyNumberFormat="1" applyFont="1" applyFill="1" applyBorder="1"/>
    <xf numFmtId="166" fontId="9" fillId="13" borderId="6" xfId="0" applyNumberFormat="1" applyFont="1" applyFill="1" applyBorder="1"/>
    <xf numFmtId="166" fontId="9" fillId="13" borderId="1" xfId="0" applyNumberFormat="1" applyFont="1" applyFill="1" applyBorder="1"/>
    <xf numFmtId="9" fontId="0" fillId="0" borderId="0" xfId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38" fontId="0" fillId="0" borderId="0" xfId="0" applyNumberFormat="1" applyFill="1" applyAlignment="1">
      <alignment horizontal="center"/>
    </xf>
    <xf numFmtId="38" fontId="0" fillId="0" borderId="0" xfId="0" applyNumberForma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38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Fill="1" applyBorder="1"/>
    <xf numFmtId="38" fontId="0" fillId="0" borderId="10" xfId="0" applyNumberFormat="1" applyFill="1" applyBorder="1"/>
    <xf numFmtId="9" fontId="9" fillId="0" borderId="34" xfId="0" applyNumberFormat="1" applyFont="1" applyBorder="1" applyAlignment="1">
      <alignment horizontal="center"/>
    </xf>
    <xf numFmtId="9" fontId="9" fillId="0" borderId="41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13" borderId="29" xfId="0" applyFont="1" applyFill="1" applyBorder="1" applyAlignment="1">
      <alignment horizontal="center"/>
    </xf>
    <xf numFmtId="0" fontId="9" fillId="13" borderId="38" xfId="0" applyFont="1" applyFill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9" fontId="9" fillId="0" borderId="33" xfId="0" applyNumberFormat="1" applyFont="1" applyBorder="1" applyAlignment="1">
      <alignment horizontal="center"/>
    </xf>
    <xf numFmtId="9" fontId="9" fillId="0" borderId="40" xfId="0" applyNumberFormat="1" applyFon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3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9" fontId="9" fillId="0" borderId="21" xfId="0" applyNumberFormat="1" applyFont="1" applyBorder="1" applyAlignment="1">
      <alignment horizontal="center"/>
    </xf>
    <xf numFmtId="9" fontId="9" fillId="0" borderId="27" xfId="0" applyNumberFormat="1" applyFont="1" applyBorder="1" applyAlignment="1">
      <alignment horizontal="center"/>
    </xf>
    <xf numFmtId="9" fontId="9" fillId="0" borderId="28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18" xfId="0" applyNumberFormat="1" applyFont="1" applyBorder="1" applyAlignment="1">
      <alignment horizontal="center"/>
    </xf>
    <xf numFmtId="0" fontId="0" fillId="4" borderId="24" xfId="0" applyFill="1" applyBorder="1" applyAlignment="1">
      <alignment horizontal="center" wrapText="1"/>
    </xf>
    <xf numFmtId="0" fontId="0" fillId="4" borderId="23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9" fontId="9" fillId="0" borderId="2" xfId="0" applyNumberFormat="1" applyFont="1" applyBorder="1" applyAlignment="1">
      <alignment horizontal="center"/>
    </xf>
    <xf numFmtId="9" fontId="9" fillId="0" borderId="23" xfId="0" applyNumberFormat="1" applyFont="1" applyBorder="1" applyAlignment="1">
      <alignment horizontal="center"/>
    </xf>
    <xf numFmtId="9" fontId="9" fillId="0" borderId="12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9" fontId="9" fillId="0" borderId="45" xfId="0" applyNumberFormat="1" applyFont="1" applyBorder="1" applyAlignment="1">
      <alignment horizontal="center"/>
    </xf>
    <xf numFmtId="0" fontId="7" fillId="10" borderId="8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165" fontId="0" fillId="0" borderId="26" xfId="0" applyNumberForma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167" fontId="13" fillId="0" borderId="23" xfId="311" applyNumberFormat="1" applyFont="1" applyBorder="1" applyAlignment="1">
      <alignment horizontal="center" vertical="center" wrapText="1"/>
    </xf>
    <xf numFmtId="167" fontId="13" fillId="0" borderId="28" xfId="311" applyNumberFormat="1" applyFont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167" fontId="13" fillId="0" borderId="23" xfId="311" applyNumberFormat="1" applyFont="1" applyFill="1" applyBorder="1" applyAlignment="1">
      <alignment horizontal="center" vertical="center" wrapText="1"/>
    </xf>
    <xf numFmtId="167" fontId="13" fillId="0" borderId="28" xfId="311" applyNumberFormat="1" applyFont="1" applyFill="1" applyBorder="1" applyAlignment="1">
      <alignment horizontal="center" vertical="center" wrapText="1"/>
    </xf>
    <xf numFmtId="167" fontId="14" fillId="0" borderId="23" xfId="311" applyNumberFormat="1" applyFont="1" applyBorder="1" applyAlignment="1">
      <alignment horizontal="center" vertical="center" wrapText="1"/>
    </xf>
    <xf numFmtId="167" fontId="14" fillId="0" borderId="28" xfId="311" applyNumberFormat="1" applyFont="1" applyBorder="1" applyAlignment="1">
      <alignment horizontal="center" vertical="center" wrapText="1"/>
    </xf>
    <xf numFmtId="167" fontId="13" fillId="11" borderId="23" xfId="311" applyNumberFormat="1" applyFont="1" applyFill="1" applyBorder="1" applyAlignment="1">
      <alignment horizontal="center" vertical="center" wrapText="1"/>
    </xf>
    <xf numFmtId="167" fontId="13" fillId="11" borderId="28" xfId="311" applyNumberFormat="1" applyFont="1" applyFill="1" applyBorder="1" applyAlignment="1">
      <alignment horizontal="center" vertical="center" wrapText="1"/>
    </xf>
    <xf numFmtId="0" fontId="10" fillId="11" borderId="28" xfId="0" applyFont="1" applyFill="1" applyBorder="1" applyAlignment="1">
      <alignment horizontal="center" vertical="center" wrapText="1"/>
    </xf>
    <xf numFmtId="0" fontId="10" fillId="11" borderId="30" xfId="0" applyFont="1" applyFill="1" applyBorder="1" applyAlignment="1">
      <alignment horizontal="center" vertical="center" wrapText="1"/>
    </xf>
    <xf numFmtId="0" fontId="10" fillId="11" borderId="3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438">
    <cellStyle name="Comma" xfId="31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Normal" xfId="0" builtinId="0"/>
    <cellStyle name="Percent" xfId="1" builtinId="5"/>
    <cellStyle name="パーセント 2" xfId="23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8"/>
  <sheetViews>
    <sheetView topLeftCell="B1" workbookViewId="0">
      <selection activeCell="AE46" sqref="AE46"/>
    </sheetView>
  </sheetViews>
  <sheetFormatPr defaultColWidth="13" defaultRowHeight="15.5"/>
  <cols>
    <col min="1" max="1" width="11.08203125" style="98" customWidth="1"/>
    <col min="2" max="2" width="12.08203125" style="98" customWidth="1"/>
    <col min="3" max="3" width="13" style="114"/>
    <col min="4" max="4" width="10.58203125" style="114" customWidth="1"/>
    <col min="5" max="13" width="13" style="114" hidden="1" customWidth="1"/>
    <col min="14" max="14" width="7.08203125" style="114" customWidth="1"/>
    <col min="15" max="15" width="5" style="98" hidden="1" customWidth="1"/>
    <col min="16" max="16" width="13" style="98"/>
    <col min="17" max="17" width="12.6640625" style="98" customWidth="1"/>
    <col min="18" max="18" width="13" style="98"/>
    <col min="19" max="19" width="7.75" style="98" customWidth="1"/>
    <col min="20" max="26" width="13" style="98" hidden="1" customWidth="1"/>
    <col min="27" max="27" width="10.08203125" style="98" hidden="1" customWidth="1"/>
    <col min="28" max="28" width="13" style="98" hidden="1" customWidth="1"/>
    <col min="29" max="30" width="13" style="98"/>
    <col min="31" max="31" width="11.08203125" style="98" customWidth="1"/>
    <col min="32" max="16384" width="13" style="98"/>
  </cols>
  <sheetData>
    <row r="2" spans="1:32">
      <c r="A2" s="98" t="s">
        <v>144</v>
      </c>
      <c r="B2" s="98" t="s">
        <v>150</v>
      </c>
      <c r="E2" s="110" t="s">
        <v>159</v>
      </c>
      <c r="F2" s="98"/>
      <c r="G2" s="98"/>
      <c r="H2" s="110" t="s">
        <v>160</v>
      </c>
      <c r="I2" s="98"/>
      <c r="J2" s="98"/>
      <c r="K2" s="110" t="s">
        <v>161</v>
      </c>
      <c r="L2" s="98"/>
      <c r="M2" s="98" t="s">
        <v>0</v>
      </c>
      <c r="P2" s="98" t="s">
        <v>0</v>
      </c>
      <c r="Q2" s="98" t="s">
        <v>149</v>
      </c>
      <c r="T2" s="110" t="s">
        <v>151</v>
      </c>
      <c r="W2" s="110" t="s">
        <v>152</v>
      </c>
      <c r="Z2" s="110" t="s">
        <v>153</v>
      </c>
      <c r="AB2" s="98" t="s">
        <v>0</v>
      </c>
      <c r="AC2" s="98" t="s">
        <v>145</v>
      </c>
    </row>
    <row r="3" spans="1:32" ht="19" customHeight="1">
      <c r="A3" s="98" t="s">
        <v>1</v>
      </c>
      <c r="B3" s="98" t="s">
        <v>94</v>
      </c>
      <c r="C3" s="114" t="s">
        <v>140</v>
      </c>
      <c r="E3" s="98" t="s">
        <v>1</v>
      </c>
      <c r="F3" s="98" t="s">
        <v>94</v>
      </c>
      <c r="G3" s="98" t="s">
        <v>140</v>
      </c>
      <c r="H3" s="98" t="s">
        <v>1</v>
      </c>
      <c r="I3" s="98" t="s">
        <v>94</v>
      </c>
      <c r="J3" s="98" t="s">
        <v>140</v>
      </c>
      <c r="K3" s="98" t="s">
        <v>1</v>
      </c>
      <c r="L3" s="98" t="s">
        <v>94</v>
      </c>
      <c r="M3" s="98" t="s">
        <v>140</v>
      </c>
      <c r="P3" s="98" t="s">
        <v>1</v>
      </c>
      <c r="Q3" s="98" t="s">
        <v>94</v>
      </c>
      <c r="R3" s="98" t="s">
        <v>140</v>
      </c>
      <c r="T3" s="98" t="s">
        <v>1</v>
      </c>
      <c r="U3" s="98" t="s">
        <v>94</v>
      </c>
      <c r="V3" s="98" t="s">
        <v>140</v>
      </c>
      <c r="W3" s="98" t="s">
        <v>1</v>
      </c>
      <c r="X3" s="98" t="s">
        <v>94</v>
      </c>
      <c r="Y3" s="98" t="s">
        <v>140</v>
      </c>
      <c r="Z3" s="98" t="s">
        <v>1</v>
      </c>
      <c r="AA3" s="98" t="s">
        <v>94</v>
      </c>
      <c r="AB3" s="98" t="s">
        <v>140</v>
      </c>
      <c r="AC3" s="98" t="s">
        <v>94</v>
      </c>
      <c r="AD3" s="98" t="s">
        <v>140</v>
      </c>
    </row>
    <row r="4" spans="1:32" ht="26.15" customHeight="1" thickBot="1">
      <c r="B4" s="98" t="s">
        <v>95</v>
      </c>
      <c r="C4" s="114" t="s">
        <v>96</v>
      </c>
      <c r="E4" s="98"/>
      <c r="F4" s="98" t="s">
        <v>95</v>
      </c>
      <c r="G4" s="98" t="s">
        <v>96</v>
      </c>
      <c r="H4" s="98"/>
      <c r="I4" s="98" t="s">
        <v>95</v>
      </c>
      <c r="J4" s="98" t="s">
        <v>96</v>
      </c>
      <c r="K4" s="98"/>
      <c r="L4" s="98" t="s">
        <v>95</v>
      </c>
      <c r="M4" s="98" t="s">
        <v>96</v>
      </c>
      <c r="Q4" s="98" t="s">
        <v>95</v>
      </c>
      <c r="R4" s="98" t="s">
        <v>96</v>
      </c>
      <c r="U4" s="98" t="s">
        <v>95</v>
      </c>
      <c r="V4" s="98" t="s">
        <v>96</v>
      </c>
      <c r="X4" s="98" t="s">
        <v>95</v>
      </c>
      <c r="Y4" s="98" t="s">
        <v>96</v>
      </c>
      <c r="AA4" s="98" t="s">
        <v>95</v>
      </c>
      <c r="AB4" s="98" t="s">
        <v>96</v>
      </c>
      <c r="AC4" s="98" t="s">
        <v>95</v>
      </c>
      <c r="AD4" s="98" t="s">
        <v>96</v>
      </c>
      <c r="AE4" s="109" t="s">
        <v>147</v>
      </c>
      <c r="AF4" s="98" t="s">
        <v>148</v>
      </c>
    </row>
    <row r="5" spans="1:32">
      <c r="A5" s="99" t="s">
        <v>141</v>
      </c>
      <c r="B5" s="100">
        <f>F5+I5+L5</f>
        <v>3750</v>
      </c>
      <c r="C5" s="132">
        <f>G5+J5+M5</f>
        <v>585</v>
      </c>
      <c r="D5" s="124">
        <f t="shared" ref="D5" si="0">C5/B5*100%</f>
        <v>0.156</v>
      </c>
      <c r="E5" s="99" t="s">
        <v>141</v>
      </c>
      <c r="F5" s="100">
        <v>1850</v>
      </c>
      <c r="G5" s="101">
        <v>0</v>
      </c>
      <c r="H5" s="99" t="s">
        <v>141</v>
      </c>
      <c r="I5" s="100">
        <v>0</v>
      </c>
      <c r="J5" s="101">
        <v>585</v>
      </c>
      <c r="K5" s="99" t="s">
        <v>141</v>
      </c>
      <c r="L5" s="100">
        <f>950*2</f>
        <v>1900</v>
      </c>
      <c r="M5" s="101">
        <v>0</v>
      </c>
      <c r="N5" s="115"/>
      <c r="P5" s="99" t="s">
        <v>141</v>
      </c>
      <c r="Q5" s="100">
        <f>U5+X5+AA5</f>
        <v>5350</v>
      </c>
      <c r="R5" s="101">
        <f>V5+Y5+AB5</f>
        <v>581</v>
      </c>
      <c r="S5" s="103"/>
      <c r="T5" s="99" t="s">
        <v>141</v>
      </c>
      <c r="U5" s="100">
        <v>1650</v>
      </c>
      <c r="V5" s="101">
        <v>581</v>
      </c>
      <c r="W5" s="99" t="s">
        <v>141</v>
      </c>
      <c r="X5" s="100">
        <v>1850</v>
      </c>
      <c r="Y5" s="101">
        <v>2205</v>
      </c>
      <c r="Z5" s="99" t="s">
        <v>141</v>
      </c>
      <c r="AA5" s="100">
        <v>1850</v>
      </c>
      <c r="AB5" s="101">
        <v>-2205</v>
      </c>
      <c r="AC5" s="99">
        <f>B5+Q5</f>
        <v>9100</v>
      </c>
      <c r="AD5" s="101">
        <f>C5+R5</f>
        <v>1166</v>
      </c>
      <c r="AE5" s="131">
        <f>AD5/AC5</f>
        <v>0.12813186813186814</v>
      </c>
      <c r="AF5" s="129">
        <f>AC5-AD5</f>
        <v>7934</v>
      </c>
    </row>
    <row r="6" spans="1:32" ht="16" thickBot="1">
      <c r="A6" s="105" t="s">
        <v>3</v>
      </c>
      <c r="B6" s="106">
        <f>F6+I6+L6</f>
        <v>17900</v>
      </c>
      <c r="C6" s="133">
        <f>G6+J6+M6</f>
        <v>59</v>
      </c>
      <c r="D6" s="125">
        <f>C6/B6*100%</f>
        <v>3.2960893854748602E-3</v>
      </c>
      <c r="E6" s="105" t="s">
        <v>3</v>
      </c>
      <c r="F6" s="106">
        <v>15000</v>
      </c>
      <c r="G6" s="107">
        <v>4308</v>
      </c>
      <c r="H6" s="105" t="s">
        <v>3</v>
      </c>
      <c r="I6" s="106">
        <v>1000</v>
      </c>
      <c r="J6" s="107">
        <v>-4249</v>
      </c>
      <c r="K6" s="105" t="s">
        <v>3</v>
      </c>
      <c r="L6" s="106">
        <v>1900</v>
      </c>
      <c r="M6" s="107">
        <v>0</v>
      </c>
      <c r="N6" s="115"/>
      <c r="P6" s="111" t="s">
        <v>3</v>
      </c>
      <c r="Q6" s="112">
        <f>U6+X6+AA6</f>
        <v>60200</v>
      </c>
      <c r="R6" s="113">
        <f>V6+Y6+AB6</f>
        <v>29663</v>
      </c>
      <c r="S6" s="103"/>
      <c r="T6" s="105" t="s">
        <v>3</v>
      </c>
      <c r="U6" s="106">
        <v>21000</v>
      </c>
      <c r="V6" s="107">
        <v>4200</v>
      </c>
      <c r="W6" s="105" t="s">
        <v>3</v>
      </c>
      <c r="X6" s="106">
        <v>21700</v>
      </c>
      <c r="Y6" s="107">
        <v>17920</v>
      </c>
      <c r="Z6" s="105" t="s">
        <v>3</v>
      </c>
      <c r="AA6" s="106">
        <v>17500</v>
      </c>
      <c r="AB6" s="107">
        <v>7543</v>
      </c>
      <c r="AC6" s="105">
        <f>B6+Q6</f>
        <v>78100</v>
      </c>
      <c r="AD6" s="107">
        <f>C6+R6</f>
        <v>29722</v>
      </c>
      <c r="AE6" s="131">
        <f>AD6/AC6</f>
        <v>0.38056338028169012</v>
      </c>
      <c r="AF6" s="129">
        <f>AC6-AD6</f>
        <v>48378</v>
      </c>
    </row>
    <row r="7" spans="1:32">
      <c r="D7" s="126"/>
      <c r="E7" s="98"/>
      <c r="F7" s="98"/>
      <c r="G7" s="98"/>
      <c r="H7" s="98"/>
      <c r="I7" s="98"/>
      <c r="J7" s="98"/>
      <c r="K7" s="98"/>
      <c r="L7" s="98"/>
      <c r="M7" s="98"/>
      <c r="AE7" s="131"/>
      <c r="AF7" s="129"/>
    </row>
    <row r="8" spans="1:32">
      <c r="C8" s="114">
        <f>C6/SUM(G8:M8)</f>
        <v>23.6</v>
      </c>
      <c r="D8" s="126"/>
      <c r="E8" s="98"/>
      <c r="F8" s="98"/>
      <c r="G8" s="98">
        <v>2</v>
      </c>
      <c r="H8" s="98"/>
      <c r="I8" s="98"/>
      <c r="J8" s="98">
        <v>0.5</v>
      </c>
      <c r="K8" s="98"/>
      <c r="L8" s="98"/>
      <c r="M8" s="98">
        <v>0</v>
      </c>
      <c r="R8" s="98">
        <f>R6/SUM(V8:AB8)</f>
        <v>1647.9444444444443</v>
      </c>
      <c r="V8" s="98">
        <v>6.5</v>
      </c>
      <c r="Y8" s="98">
        <v>7.5</v>
      </c>
      <c r="AB8" s="98">
        <v>4</v>
      </c>
      <c r="AE8" s="131"/>
      <c r="AF8" s="129"/>
    </row>
    <row r="9" spans="1:32">
      <c r="D9" s="126"/>
      <c r="E9" s="98"/>
      <c r="F9" s="98"/>
      <c r="G9" s="98"/>
      <c r="H9" s="98"/>
      <c r="I9" s="98"/>
      <c r="J9" s="98"/>
      <c r="K9" s="98"/>
      <c r="L9" s="98"/>
      <c r="M9" s="98"/>
      <c r="AE9" s="131"/>
      <c r="AF9" s="129"/>
    </row>
    <row r="10" spans="1:32">
      <c r="A10" s="98" t="s">
        <v>4</v>
      </c>
      <c r="B10" s="98" t="s">
        <v>150</v>
      </c>
      <c r="D10" s="126"/>
      <c r="E10" s="110" t="s">
        <v>159</v>
      </c>
      <c r="F10" s="98"/>
      <c r="G10" s="98"/>
      <c r="H10" s="110" t="s">
        <v>160</v>
      </c>
      <c r="I10" s="98"/>
      <c r="J10" s="98"/>
      <c r="K10" s="110" t="s">
        <v>161</v>
      </c>
      <c r="L10" s="98"/>
      <c r="M10" s="98"/>
      <c r="P10" s="98" t="s">
        <v>4</v>
      </c>
      <c r="Q10" s="98" t="s">
        <v>149</v>
      </c>
      <c r="T10" s="110" t="s">
        <v>151</v>
      </c>
      <c r="W10" s="110" t="s">
        <v>152</v>
      </c>
      <c r="Z10" s="110" t="s">
        <v>153</v>
      </c>
      <c r="AC10" s="98" t="s">
        <v>146</v>
      </c>
      <c r="AE10" s="131"/>
      <c r="AF10" s="129"/>
    </row>
    <row r="11" spans="1:32">
      <c r="A11" s="98" t="s">
        <v>1</v>
      </c>
      <c r="B11" s="98" t="s">
        <v>94</v>
      </c>
      <c r="C11" s="114" t="s">
        <v>140</v>
      </c>
      <c r="D11" s="126"/>
      <c r="E11" s="98" t="s">
        <v>1</v>
      </c>
      <c r="F11" s="98" t="s">
        <v>94</v>
      </c>
      <c r="G11" s="98" t="s">
        <v>140</v>
      </c>
      <c r="H11" s="98" t="s">
        <v>1</v>
      </c>
      <c r="I11" s="98" t="s">
        <v>94</v>
      </c>
      <c r="J11" s="98" t="s">
        <v>140</v>
      </c>
      <c r="K11" s="98" t="s">
        <v>1</v>
      </c>
      <c r="L11" s="98" t="s">
        <v>94</v>
      </c>
      <c r="M11" s="98" t="s">
        <v>140</v>
      </c>
      <c r="P11" s="98" t="s">
        <v>1</v>
      </c>
      <c r="Q11" s="98" t="s">
        <v>94</v>
      </c>
      <c r="R11" s="98" t="s">
        <v>140</v>
      </c>
      <c r="T11" s="98" t="s">
        <v>1</v>
      </c>
      <c r="U11" s="98" t="s">
        <v>94</v>
      </c>
      <c r="V11" s="98" t="s">
        <v>140</v>
      </c>
      <c r="W11" s="98" t="s">
        <v>1</v>
      </c>
      <c r="X11" s="98" t="s">
        <v>94</v>
      </c>
      <c r="Y11" s="98" t="s">
        <v>140</v>
      </c>
      <c r="Z11" s="98" t="s">
        <v>1</v>
      </c>
      <c r="AA11" s="98" t="s">
        <v>94</v>
      </c>
      <c r="AB11" s="98" t="s">
        <v>140</v>
      </c>
      <c r="AC11" s="98" t="s">
        <v>94</v>
      </c>
      <c r="AD11" s="98" t="s">
        <v>140</v>
      </c>
      <c r="AE11" s="131"/>
      <c r="AF11" s="129"/>
    </row>
    <row r="12" spans="1:32" ht="16" thickBot="1">
      <c r="B12" s="98" t="s">
        <v>95</v>
      </c>
      <c r="C12" s="114" t="s">
        <v>96</v>
      </c>
      <c r="D12" s="126"/>
      <c r="E12" s="98"/>
      <c r="F12" s="98" t="s">
        <v>95</v>
      </c>
      <c r="G12" s="98" t="s">
        <v>96</v>
      </c>
      <c r="H12" s="98"/>
      <c r="I12" s="98" t="s">
        <v>95</v>
      </c>
      <c r="J12" s="98" t="s">
        <v>96</v>
      </c>
      <c r="K12" s="98"/>
      <c r="L12" s="98" t="s">
        <v>95</v>
      </c>
      <c r="M12" s="98" t="s">
        <v>96</v>
      </c>
      <c r="Q12" s="98" t="s">
        <v>95</v>
      </c>
      <c r="R12" s="98" t="s">
        <v>96</v>
      </c>
      <c r="U12" s="98" t="s">
        <v>95</v>
      </c>
      <c r="V12" s="98" t="s">
        <v>96</v>
      </c>
      <c r="X12" s="98" t="s">
        <v>95</v>
      </c>
      <c r="Y12" s="98" t="s">
        <v>96</v>
      </c>
      <c r="AA12" s="98" t="s">
        <v>95</v>
      </c>
      <c r="AB12" s="98" t="s">
        <v>96</v>
      </c>
      <c r="AC12" s="98" t="s">
        <v>95</v>
      </c>
      <c r="AD12" s="98" t="s">
        <v>96</v>
      </c>
      <c r="AE12" s="131"/>
      <c r="AF12" s="129"/>
    </row>
    <row r="13" spans="1:32">
      <c r="A13" s="99" t="s">
        <v>5</v>
      </c>
      <c r="B13" s="100">
        <f>F13+I13+L13</f>
        <v>6050</v>
      </c>
      <c r="C13" s="132">
        <f>G13+J13+M13</f>
        <v>3741</v>
      </c>
      <c r="D13" s="124">
        <f>C13/B13*100%</f>
        <v>0.61834710743801657</v>
      </c>
      <c r="E13" s="99" t="s">
        <v>5</v>
      </c>
      <c r="F13" s="100">
        <v>2150</v>
      </c>
      <c r="G13" s="101">
        <v>2809</v>
      </c>
      <c r="H13" s="99" t="s">
        <v>5</v>
      </c>
      <c r="I13" s="100">
        <v>2150</v>
      </c>
      <c r="J13" s="101">
        <v>0</v>
      </c>
      <c r="K13" s="99" t="s">
        <v>5</v>
      </c>
      <c r="L13" s="100">
        <v>1750</v>
      </c>
      <c r="M13" s="101">
        <v>932</v>
      </c>
      <c r="N13" s="115"/>
      <c r="P13" s="99" t="s">
        <v>5</v>
      </c>
      <c r="Q13" s="100">
        <f>U13+X13+AA13</f>
        <v>6100</v>
      </c>
      <c r="R13" s="101">
        <f>V13+Y13+AB13</f>
        <v>7991</v>
      </c>
      <c r="S13" s="103"/>
      <c r="T13" s="99" t="s">
        <v>5</v>
      </c>
      <c r="U13" s="100">
        <v>1800</v>
      </c>
      <c r="V13" s="101">
        <v>4346</v>
      </c>
      <c r="W13" s="99" t="s">
        <v>5</v>
      </c>
      <c r="X13" s="100">
        <v>2150</v>
      </c>
      <c r="Y13" s="101">
        <v>2281</v>
      </c>
      <c r="Z13" s="99" t="s">
        <v>5</v>
      </c>
      <c r="AA13" s="100">
        <v>2150</v>
      </c>
      <c r="AB13" s="101">
        <v>1364</v>
      </c>
      <c r="AC13" s="99">
        <f t="shared" ref="AC13:AD16" si="1">B13+Q13</f>
        <v>12150</v>
      </c>
      <c r="AD13" s="101">
        <f t="shared" si="1"/>
        <v>11732</v>
      </c>
      <c r="AE13" s="131">
        <f t="shared" ref="AE13:AE44" si="2">AD13/AC13</f>
        <v>0.96559670781893003</v>
      </c>
      <c r="AF13" s="129">
        <f t="shared" ref="AF13:AF34" si="3">AC13-AD13</f>
        <v>418</v>
      </c>
    </row>
    <row r="14" spans="1:32" ht="19" customHeight="1">
      <c r="A14" s="102" t="s">
        <v>6</v>
      </c>
      <c r="B14" s="103">
        <f t="shared" ref="B14:B34" si="4">F14+I14+L14</f>
        <v>6450</v>
      </c>
      <c r="C14" s="134">
        <f t="shared" ref="C14:C34" si="5">G14+J14+M14</f>
        <v>5828</v>
      </c>
      <c r="D14" s="124">
        <f t="shared" ref="D14:D16" si="6">C14/B14*100%</f>
        <v>0.90356589147286825</v>
      </c>
      <c r="E14" s="102" t="s">
        <v>6</v>
      </c>
      <c r="F14" s="103">
        <v>2150</v>
      </c>
      <c r="G14" s="104">
        <v>1673</v>
      </c>
      <c r="H14" s="102" t="s">
        <v>6</v>
      </c>
      <c r="I14" s="103">
        <v>2150</v>
      </c>
      <c r="J14" s="104">
        <v>3279</v>
      </c>
      <c r="K14" s="102" t="s">
        <v>6</v>
      </c>
      <c r="L14" s="103">
        <v>2150</v>
      </c>
      <c r="M14" s="104">
        <v>876</v>
      </c>
      <c r="N14" s="115"/>
      <c r="P14" s="102" t="s">
        <v>6</v>
      </c>
      <c r="Q14" s="103">
        <f t="shared" ref="Q14:Q33" si="7">U14+X14+AA14</f>
        <v>6200</v>
      </c>
      <c r="R14" s="104">
        <f t="shared" ref="R14:R33" si="8">V14+Y14+AB14</f>
        <v>6207</v>
      </c>
      <c r="S14" s="103"/>
      <c r="T14" s="102" t="s">
        <v>6</v>
      </c>
      <c r="U14" s="103">
        <v>1900</v>
      </c>
      <c r="V14" s="104">
        <v>2605</v>
      </c>
      <c r="W14" s="102" t="s">
        <v>6</v>
      </c>
      <c r="X14" s="103">
        <v>2150</v>
      </c>
      <c r="Y14" s="104">
        <v>2386</v>
      </c>
      <c r="Z14" s="102" t="s">
        <v>6</v>
      </c>
      <c r="AA14" s="103">
        <v>2150</v>
      </c>
      <c r="AB14" s="104">
        <v>1216</v>
      </c>
      <c r="AC14" s="102">
        <f t="shared" si="1"/>
        <v>12650</v>
      </c>
      <c r="AD14" s="104">
        <f t="shared" si="1"/>
        <v>12035</v>
      </c>
      <c r="AE14" s="131">
        <f t="shared" si="2"/>
        <v>0.95138339920948611</v>
      </c>
      <c r="AF14" s="129">
        <f t="shared" si="3"/>
        <v>615</v>
      </c>
    </row>
    <row r="15" spans="1:32">
      <c r="A15" s="102" t="s">
        <v>15</v>
      </c>
      <c r="B15" s="103">
        <f t="shared" si="4"/>
        <v>7200</v>
      </c>
      <c r="C15" s="134">
        <f t="shared" si="5"/>
        <v>3403</v>
      </c>
      <c r="D15" s="124">
        <f t="shared" si="6"/>
        <v>0.47263888888888889</v>
      </c>
      <c r="E15" s="102" t="s">
        <v>15</v>
      </c>
      <c r="F15" s="103">
        <v>2400</v>
      </c>
      <c r="G15" s="104">
        <v>1750</v>
      </c>
      <c r="H15" s="102" t="s">
        <v>15</v>
      </c>
      <c r="I15" s="103">
        <v>2400</v>
      </c>
      <c r="J15" s="104">
        <v>2213</v>
      </c>
      <c r="K15" s="102" t="s">
        <v>15</v>
      </c>
      <c r="L15" s="103">
        <v>2400</v>
      </c>
      <c r="M15" s="104">
        <v>-560</v>
      </c>
      <c r="N15" s="115"/>
      <c r="P15" s="102" t="s">
        <v>15</v>
      </c>
      <c r="Q15" s="103">
        <f t="shared" si="7"/>
        <v>7000</v>
      </c>
      <c r="R15" s="104">
        <f t="shared" si="8"/>
        <v>10038</v>
      </c>
      <c r="S15" s="103"/>
      <c r="T15" s="102" t="s">
        <v>15</v>
      </c>
      <c r="U15" s="103">
        <v>2200</v>
      </c>
      <c r="V15" s="104">
        <v>1742</v>
      </c>
      <c r="W15" s="102" t="s">
        <v>15</v>
      </c>
      <c r="X15" s="103">
        <v>2400</v>
      </c>
      <c r="Y15" s="104">
        <v>4098</v>
      </c>
      <c r="Z15" s="102" t="s">
        <v>15</v>
      </c>
      <c r="AA15" s="103">
        <v>2400</v>
      </c>
      <c r="AB15" s="104">
        <v>4198</v>
      </c>
      <c r="AC15" s="102">
        <f t="shared" si="1"/>
        <v>14200</v>
      </c>
      <c r="AD15" s="104">
        <f t="shared" si="1"/>
        <v>13441</v>
      </c>
      <c r="AE15" s="131">
        <f t="shared" si="2"/>
        <v>0.94654929577464786</v>
      </c>
      <c r="AF15" s="129">
        <f t="shared" si="3"/>
        <v>759</v>
      </c>
    </row>
    <row r="16" spans="1:32">
      <c r="A16" s="102" t="s">
        <v>13</v>
      </c>
      <c r="B16" s="103">
        <f t="shared" si="4"/>
        <v>6900</v>
      </c>
      <c r="C16" s="134">
        <f t="shared" si="5"/>
        <v>2468</v>
      </c>
      <c r="D16" s="124">
        <f t="shared" si="6"/>
        <v>0.35768115942028983</v>
      </c>
      <c r="E16" s="102" t="s">
        <v>13</v>
      </c>
      <c r="F16" s="103">
        <v>2300</v>
      </c>
      <c r="G16" s="104">
        <v>1705</v>
      </c>
      <c r="H16" s="102" t="s">
        <v>13</v>
      </c>
      <c r="I16" s="103">
        <v>2300</v>
      </c>
      <c r="J16" s="104">
        <v>0</v>
      </c>
      <c r="K16" s="102" t="s">
        <v>13</v>
      </c>
      <c r="L16" s="103">
        <v>2300</v>
      </c>
      <c r="M16" s="104">
        <v>763</v>
      </c>
      <c r="N16" s="115"/>
      <c r="P16" s="102" t="s">
        <v>13</v>
      </c>
      <c r="Q16" s="103">
        <f t="shared" si="7"/>
        <v>6450</v>
      </c>
      <c r="R16" s="104">
        <f t="shared" si="8"/>
        <v>3461</v>
      </c>
      <c r="S16" s="103"/>
      <c r="T16" s="102" t="s">
        <v>13</v>
      </c>
      <c r="U16" s="103">
        <v>1850</v>
      </c>
      <c r="V16" s="104">
        <v>3461</v>
      </c>
      <c r="W16" s="102" t="s">
        <v>13</v>
      </c>
      <c r="X16" s="103">
        <v>2300</v>
      </c>
      <c r="Y16" s="104">
        <v>0</v>
      </c>
      <c r="Z16" s="102" t="s">
        <v>13</v>
      </c>
      <c r="AA16" s="103">
        <v>2300</v>
      </c>
      <c r="AB16" s="104">
        <v>0</v>
      </c>
      <c r="AC16" s="102">
        <f t="shared" si="1"/>
        <v>13350</v>
      </c>
      <c r="AD16" s="104">
        <f t="shared" si="1"/>
        <v>5929</v>
      </c>
      <c r="AE16" s="131">
        <f t="shared" si="2"/>
        <v>0.44411985018726591</v>
      </c>
      <c r="AF16" s="129">
        <f t="shared" si="3"/>
        <v>7421</v>
      </c>
    </row>
    <row r="17" spans="1:32">
      <c r="A17" s="102"/>
      <c r="B17" s="103">
        <f t="shared" si="4"/>
        <v>0</v>
      </c>
      <c r="C17" s="134">
        <f t="shared" si="5"/>
        <v>0</v>
      </c>
      <c r="D17" s="127"/>
      <c r="E17" s="102"/>
      <c r="F17" s="103"/>
      <c r="G17" s="104"/>
      <c r="H17" s="102"/>
      <c r="I17" s="103"/>
      <c r="J17" s="104"/>
      <c r="K17" s="102"/>
      <c r="L17" s="103"/>
      <c r="M17" s="104"/>
      <c r="N17" s="115"/>
      <c r="P17" s="102" t="s">
        <v>157</v>
      </c>
      <c r="Q17" s="103">
        <f t="shared" si="7"/>
        <v>0</v>
      </c>
      <c r="R17" s="104">
        <f t="shared" si="8"/>
        <v>-672</v>
      </c>
      <c r="S17" s="103"/>
      <c r="T17" s="102"/>
      <c r="U17" s="103"/>
      <c r="V17" s="104"/>
      <c r="W17" s="102" t="s">
        <v>157</v>
      </c>
      <c r="X17" s="103">
        <v>0</v>
      </c>
      <c r="Y17" s="104">
        <v>-672</v>
      </c>
      <c r="Z17" s="102"/>
      <c r="AA17" s="103"/>
      <c r="AB17" s="104"/>
      <c r="AC17" s="102"/>
      <c r="AD17" s="104"/>
      <c r="AE17" s="131"/>
      <c r="AF17" s="129"/>
    </row>
    <row r="18" spans="1:32">
      <c r="A18" s="102" t="s">
        <v>16</v>
      </c>
      <c r="B18" s="103">
        <f t="shared" si="4"/>
        <v>8400</v>
      </c>
      <c r="C18" s="134">
        <f t="shared" si="5"/>
        <v>3544</v>
      </c>
      <c r="D18" s="124">
        <f>C18/B18*100%</f>
        <v>0.42190476190476189</v>
      </c>
      <c r="E18" s="102" t="s">
        <v>16</v>
      </c>
      <c r="F18" s="103">
        <v>2800</v>
      </c>
      <c r="G18" s="104">
        <v>876</v>
      </c>
      <c r="H18" s="102" t="s">
        <v>16</v>
      </c>
      <c r="I18" s="103">
        <v>2800</v>
      </c>
      <c r="J18" s="104">
        <v>3053</v>
      </c>
      <c r="K18" s="102" t="s">
        <v>16</v>
      </c>
      <c r="L18" s="103">
        <v>2800</v>
      </c>
      <c r="M18" s="104">
        <v>-385</v>
      </c>
      <c r="N18" s="115"/>
      <c r="P18" s="102" t="s">
        <v>16</v>
      </c>
      <c r="Q18" s="103">
        <f t="shared" si="7"/>
        <v>8300</v>
      </c>
      <c r="R18" s="104">
        <f t="shared" si="8"/>
        <v>3805</v>
      </c>
      <c r="S18" s="103"/>
      <c r="T18" s="102" t="s">
        <v>16</v>
      </c>
      <c r="U18" s="103">
        <v>2700</v>
      </c>
      <c r="V18" s="104">
        <v>0</v>
      </c>
      <c r="W18" s="102" t="s">
        <v>16</v>
      </c>
      <c r="X18" s="103">
        <v>2800</v>
      </c>
      <c r="Y18" s="104">
        <v>0</v>
      </c>
      <c r="Z18" s="102" t="s">
        <v>16</v>
      </c>
      <c r="AA18" s="103">
        <v>2800</v>
      </c>
      <c r="AB18" s="104">
        <v>3805</v>
      </c>
      <c r="AC18" s="102">
        <f>B18+Q18</f>
        <v>16700</v>
      </c>
      <c r="AD18" s="104">
        <f>C18+R18</f>
        <v>7349</v>
      </c>
      <c r="AE18" s="131">
        <f t="shared" si="2"/>
        <v>0.44005988023952097</v>
      </c>
      <c r="AF18" s="129">
        <f t="shared" si="3"/>
        <v>9351</v>
      </c>
    </row>
    <row r="19" spans="1:32">
      <c r="A19" s="102"/>
      <c r="B19" s="103">
        <f t="shared" si="4"/>
        <v>0</v>
      </c>
      <c r="C19" s="134">
        <f t="shared" si="5"/>
        <v>0</v>
      </c>
      <c r="D19" s="127"/>
      <c r="E19" s="102"/>
      <c r="F19" s="103"/>
      <c r="G19" s="104"/>
      <c r="H19" s="102"/>
      <c r="I19" s="103"/>
      <c r="J19" s="104"/>
      <c r="K19" s="102"/>
      <c r="L19" s="103"/>
      <c r="M19" s="104"/>
      <c r="N19" s="115"/>
      <c r="P19" s="102" t="s">
        <v>156</v>
      </c>
      <c r="Q19" s="103">
        <f t="shared" si="7"/>
        <v>0</v>
      </c>
      <c r="R19" s="104">
        <f t="shared" si="8"/>
        <v>-1364</v>
      </c>
      <c r="S19" s="103"/>
      <c r="T19" s="102" t="s">
        <v>156</v>
      </c>
      <c r="U19" s="103">
        <v>0</v>
      </c>
      <c r="V19" s="104">
        <v>-1364</v>
      </c>
      <c r="W19" s="102"/>
      <c r="X19" s="103"/>
      <c r="Y19" s="104"/>
      <c r="Z19" s="102"/>
      <c r="AA19" s="103"/>
      <c r="AB19" s="104"/>
      <c r="AC19" s="102"/>
      <c r="AD19" s="104"/>
      <c r="AE19" s="131"/>
      <c r="AF19" s="129"/>
    </row>
    <row r="20" spans="1:32">
      <c r="A20" s="102" t="s">
        <v>154</v>
      </c>
      <c r="B20" s="103">
        <f t="shared" si="4"/>
        <v>5600</v>
      </c>
      <c r="C20" s="134">
        <f t="shared" si="5"/>
        <v>7754</v>
      </c>
      <c r="D20" s="124">
        <f t="shared" ref="D20:D24" si="9">C20/B20*100%</f>
        <v>1.3846428571428571</v>
      </c>
      <c r="E20" s="102" t="s">
        <v>154</v>
      </c>
      <c r="F20" s="103">
        <v>1800</v>
      </c>
      <c r="G20" s="104">
        <v>2378</v>
      </c>
      <c r="H20" s="102" t="s">
        <v>154</v>
      </c>
      <c r="I20" s="103">
        <v>1800</v>
      </c>
      <c r="J20" s="104">
        <v>3942</v>
      </c>
      <c r="K20" s="102" t="s">
        <v>154</v>
      </c>
      <c r="L20" s="103">
        <v>2000</v>
      </c>
      <c r="M20" s="104">
        <v>1434</v>
      </c>
      <c r="N20" s="115"/>
      <c r="P20" s="102" t="s">
        <v>154</v>
      </c>
      <c r="Q20" s="103">
        <f t="shared" si="7"/>
        <v>2400</v>
      </c>
      <c r="R20" s="104">
        <f t="shared" si="8"/>
        <v>2577</v>
      </c>
      <c r="S20" s="103"/>
      <c r="T20" s="102" t="s">
        <v>154</v>
      </c>
      <c r="U20" s="103">
        <v>0</v>
      </c>
      <c r="V20" s="104">
        <v>0</v>
      </c>
      <c r="W20" s="102" t="s">
        <v>154</v>
      </c>
      <c r="X20" s="103">
        <v>1000</v>
      </c>
      <c r="Y20" s="104">
        <v>2577</v>
      </c>
      <c r="Z20" s="102" t="s">
        <v>154</v>
      </c>
      <c r="AA20" s="103">
        <v>1400</v>
      </c>
      <c r="AB20" s="104">
        <v>0</v>
      </c>
      <c r="AC20" s="102">
        <f t="shared" ref="AC20:AD24" si="10">B20+Q20</f>
        <v>8000</v>
      </c>
      <c r="AD20" s="104">
        <f t="shared" si="10"/>
        <v>10331</v>
      </c>
      <c r="AE20" s="131">
        <f t="shared" si="2"/>
        <v>1.2913749999999999</v>
      </c>
      <c r="AF20" s="129">
        <f t="shared" si="3"/>
        <v>-2331</v>
      </c>
    </row>
    <row r="21" spans="1:32">
      <c r="A21" s="102" t="s">
        <v>142</v>
      </c>
      <c r="B21" s="103">
        <f t="shared" si="4"/>
        <v>6300</v>
      </c>
      <c r="C21" s="134">
        <f t="shared" si="5"/>
        <v>11554</v>
      </c>
      <c r="D21" s="124">
        <f t="shared" si="9"/>
        <v>1.833968253968254</v>
      </c>
      <c r="E21" s="102" t="s">
        <v>142</v>
      </c>
      <c r="F21" s="103">
        <v>2100</v>
      </c>
      <c r="G21" s="104">
        <v>2044</v>
      </c>
      <c r="H21" s="102" t="s">
        <v>142</v>
      </c>
      <c r="I21" s="103">
        <v>2100</v>
      </c>
      <c r="J21" s="104">
        <v>5995</v>
      </c>
      <c r="K21" s="102" t="s">
        <v>142</v>
      </c>
      <c r="L21" s="103">
        <v>2100</v>
      </c>
      <c r="M21" s="104">
        <v>3515</v>
      </c>
      <c r="N21" s="115"/>
      <c r="P21" s="102" t="s">
        <v>142</v>
      </c>
      <c r="Q21" s="103">
        <f t="shared" si="7"/>
        <v>5900</v>
      </c>
      <c r="R21" s="104">
        <f t="shared" si="8"/>
        <v>7993</v>
      </c>
      <c r="S21" s="103"/>
      <c r="T21" s="102" t="s">
        <v>142</v>
      </c>
      <c r="U21" s="103">
        <v>1700</v>
      </c>
      <c r="V21" s="104">
        <v>4279</v>
      </c>
      <c r="W21" s="102" t="s">
        <v>142</v>
      </c>
      <c r="X21" s="103">
        <v>2100</v>
      </c>
      <c r="Y21" s="104">
        <v>848</v>
      </c>
      <c r="Z21" s="102" t="s">
        <v>142</v>
      </c>
      <c r="AA21" s="103">
        <v>2100</v>
      </c>
      <c r="AB21" s="104">
        <v>2866</v>
      </c>
      <c r="AC21" s="102">
        <f t="shared" si="10"/>
        <v>12200</v>
      </c>
      <c r="AD21" s="104">
        <f t="shared" si="10"/>
        <v>19547</v>
      </c>
      <c r="AE21" s="131">
        <f t="shared" si="2"/>
        <v>1.6022131147540983</v>
      </c>
      <c r="AF21" s="129">
        <f t="shared" si="3"/>
        <v>-7347</v>
      </c>
    </row>
    <row r="22" spans="1:32">
      <c r="A22" s="102" t="s">
        <v>17</v>
      </c>
      <c r="B22" s="103">
        <f t="shared" si="4"/>
        <v>4800</v>
      </c>
      <c r="C22" s="134">
        <f t="shared" si="5"/>
        <v>3443</v>
      </c>
      <c r="D22" s="124">
        <f t="shared" si="9"/>
        <v>0.71729166666666666</v>
      </c>
      <c r="E22" s="102" t="s">
        <v>17</v>
      </c>
      <c r="F22" s="103">
        <v>1600</v>
      </c>
      <c r="G22" s="104">
        <v>0</v>
      </c>
      <c r="H22" s="102" t="s">
        <v>17</v>
      </c>
      <c r="I22" s="103">
        <v>1600</v>
      </c>
      <c r="J22" s="104">
        <v>2745</v>
      </c>
      <c r="K22" s="102" t="s">
        <v>17</v>
      </c>
      <c r="L22" s="103">
        <v>1600</v>
      </c>
      <c r="M22" s="104">
        <v>698</v>
      </c>
      <c r="N22" s="115"/>
      <c r="P22" s="102" t="s">
        <v>17</v>
      </c>
      <c r="Q22" s="103">
        <f t="shared" si="7"/>
        <v>4800</v>
      </c>
      <c r="R22" s="104">
        <f t="shared" si="8"/>
        <v>8172</v>
      </c>
      <c r="S22" s="103"/>
      <c r="T22" s="102" t="s">
        <v>17</v>
      </c>
      <c r="U22" s="103">
        <v>1600</v>
      </c>
      <c r="V22" s="104">
        <v>1018</v>
      </c>
      <c r="W22" s="102" t="s">
        <v>17</v>
      </c>
      <c r="X22" s="103">
        <v>1600</v>
      </c>
      <c r="Y22" s="104">
        <v>3163</v>
      </c>
      <c r="Z22" s="102" t="s">
        <v>17</v>
      </c>
      <c r="AA22" s="103">
        <v>1600</v>
      </c>
      <c r="AB22" s="104">
        <v>3991</v>
      </c>
      <c r="AC22" s="102">
        <f t="shared" si="10"/>
        <v>9600</v>
      </c>
      <c r="AD22" s="104">
        <f t="shared" si="10"/>
        <v>11615</v>
      </c>
      <c r="AE22" s="131">
        <f t="shared" si="2"/>
        <v>1.2098958333333334</v>
      </c>
      <c r="AF22" s="129">
        <f t="shared" si="3"/>
        <v>-2015</v>
      </c>
    </row>
    <row r="23" spans="1:32">
      <c r="A23" s="102" t="s">
        <v>14</v>
      </c>
      <c r="B23" s="103">
        <f t="shared" si="4"/>
        <v>6600</v>
      </c>
      <c r="C23" s="134">
        <f t="shared" si="5"/>
        <v>2385</v>
      </c>
      <c r="D23" s="124">
        <f t="shared" si="9"/>
        <v>0.36136363636363639</v>
      </c>
      <c r="E23" s="102" t="s">
        <v>14</v>
      </c>
      <c r="F23" s="103">
        <v>2200</v>
      </c>
      <c r="G23" s="104">
        <v>0</v>
      </c>
      <c r="H23" s="102" t="s">
        <v>14</v>
      </c>
      <c r="I23" s="103">
        <v>2200</v>
      </c>
      <c r="J23" s="104">
        <v>1406</v>
      </c>
      <c r="K23" s="102" t="s">
        <v>14</v>
      </c>
      <c r="L23" s="103">
        <v>2200</v>
      </c>
      <c r="M23" s="104">
        <v>979</v>
      </c>
      <c r="N23" s="115"/>
      <c r="P23" s="102" t="s">
        <v>14</v>
      </c>
      <c r="Q23" s="103">
        <f t="shared" si="7"/>
        <v>6700</v>
      </c>
      <c r="R23" s="104">
        <f t="shared" si="8"/>
        <v>3278</v>
      </c>
      <c r="S23" s="103"/>
      <c r="T23" s="102" t="s">
        <v>14</v>
      </c>
      <c r="U23" s="103">
        <v>2300</v>
      </c>
      <c r="V23" s="104">
        <v>848</v>
      </c>
      <c r="W23" s="102" t="s">
        <v>14</v>
      </c>
      <c r="X23" s="103">
        <v>2200</v>
      </c>
      <c r="Y23" s="104">
        <v>2430</v>
      </c>
      <c r="Z23" s="102" t="s">
        <v>14</v>
      </c>
      <c r="AA23" s="103">
        <v>2200</v>
      </c>
      <c r="AB23" s="104">
        <v>0</v>
      </c>
      <c r="AC23" s="102">
        <f t="shared" si="10"/>
        <v>13300</v>
      </c>
      <c r="AD23" s="104">
        <f t="shared" si="10"/>
        <v>5663</v>
      </c>
      <c r="AE23" s="131">
        <f t="shared" si="2"/>
        <v>0.42578947368421055</v>
      </c>
      <c r="AF23" s="129">
        <f t="shared" si="3"/>
        <v>7637</v>
      </c>
    </row>
    <row r="24" spans="1:32">
      <c r="A24" s="102" t="s">
        <v>18</v>
      </c>
      <c r="B24" s="103">
        <f t="shared" si="4"/>
        <v>6000</v>
      </c>
      <c r="C24" s="134">
        <f t="shared" si="5"/>
        <v>2558</v>
      </c>
      <c r="D24" s="124">
        <f t="shared" si="9"/>
        <v>0.42633333333333334</v>
      </c>
      <c r="E24" s="102" t="s">
        <v>18</v>
      </c>
      <c r="F24" s="103">
        <v>2000</v>
      </c>
      <c r="G24" s="104">
        <v>1178</v>
      </c>
      <c r="H24" s="102" t="s">
        <v>18</v>
      </c>
      <c r="I24" s="103">
        <v>2000</v>
      </c>
      <c r="J24" s="104">
        <v>1989</v>
      </c>
      <c r="K24" s="102" t="s">
        <v>18</v>
      </c>
      <c r="L24" s="103">
        <v>2000</v>
      </c>
      <c r="M24" s="104">
        <v>-609</v>
      </c>
      <c r="N24" s="115"/>
      <c r="P24" s="102" t="s">
        <v>18</v>
      </c>
      <c r="Q24" s="103">
        <f t="shared" si="7"/>
        <v>5450</v>
      </c>
      <c r="R24" s="104">
        <f t="shared" si="8"/>
        <v>5733</v>
      </c>
      <c r="S24" s="103"/>
      <c r="T24" s="102" t="s">
        <v>18</v>
      </c>
      <c r="U24" s="103">
        <v>2050</v>
      </c>
      <c r="V24" s="104">
        <v>905</v>
      </c>
      <c r="W24" s="102" t="s">
        <v>18</v>
      </c>
      <c r="X24" s="103">
        <v>1700</v>
      </c>
      <c r="Y24" s="104">
        <v>2158</v>
      </c>
      <c r="Z24" s="102" t="s">
        <v>18</v>
      </c>
      <c r="AA24" s="103">
        <v>1700</v>
      </c>
      <c r="AB24" s="104">
        <v>2670</v>
      </c>
      <c r="AC24" s="102">
        <f t="shared" si="10"/>
        <v>11450</v>
      </c>
      <c r="AD24" s="104">
        <f t="shared" si="10"/>
        <v>8291</v>
      </c>
      <c r="AE24" s="131">
        <f t="shared" si="2"/>
        <v>0.72410480349344974</v>
      </c>
      <c r="AF24" s="129">
        <f t="shared" si="3"/>
        <v>3159</v>
      </c>
    </row>
    <row r="25" spans="1:32">
      <c r="A25" s="102"/>
      <c r="B25" s="103">
        <f t="shared" si="4"/>
        <v>0</v>
      </c>
      <c r="C25" s="134">
        <f t="shared" si="5"/>
        <v>0</v>
      </c>
      <c r="D25" s="127"/>
      <c r="E25" s="102"/>
      <c r="F25" s="103"/>
      <c r="G25" s="104"/>
      <c r="H25" s="102"/>
      <c r="I25" s="103"/>
      <c r="J25" s="104"/>
      <c r="K25" s="102"/>
      <c r="L25" s="103"/>
      <c r="M25" s="104"/>
      <c r="N25" s="115"/>
      <c r="P25" s="102" t="s">
        <v>158</v>
      </c>
      <c r="Q25" s="103">
        <f t="shared" si="7"/>
        <v>0</v>
      </c>
      <c r="R25" s="104">
        <f t="shared" si="8"/>
        <v>-411</v>
      </c>
      <c r="S25" s="103"/>
      <c r="T25" s="102"/>
      <c r="U25" s="103"/>
      <c r="V25" s="104"/>
      <c r="W25" s="102" t="s">
        <v>158</v>
      </c>
      <c r="X25" s="103">
        <v>0</v>
      </c>
      <c r="Y25" s="104">
        <v>-411</v>
      </c>
      <c r="Z25" s="102"/>
      <c r="AA25" s="103"/>
      <c r="AB25" s="104"/>
      <c r="AC25" s="102"/>
      <c r="AD25" s="104"/>
      <c r="AE25" s="131"/>
      <c r="AF25" s="129"/>
    </row>
    <row r="26" spans="1:32">
      <c r="A26" s="102" t="s">
        <v>7</v>
      </c>
      <c r="B26" s="103">
        <f t="shared" si="4"/>
        <v>17600</v>
      </c>
      <c r="C26" s="134">
        <f t="shared" si="5"/>
        <v>6500</v>
      </c>
      <c r="D26" s="124">
        <f t="shared" ref="D26:D33" si="11">C26/B26*100%</f>
        <v>0.36931818181818182</v>
      </c>
      <c r="E26" s="102" t="s">
        <v>7</v>
      </c>
      <c r="F26" s="103">
        <v>8800</v>
      </c>
      <c r="G26" s="104">
        <v>0</v>
      </c>
      <c r="H26" s="102" t="s">
        <v>7</v>
      </c>
      <c r="I26" s="103">
        <v>8800</v>
      </c>
      <c r="J26" s="104">
        <v>6500</v>
      </c>
      <c r="K26" s="102"/>
      <c r="L26" s="103"/>
      <c r="M26" s="104"/>
      <c r="N26" s="115"/>
      <c r="P26" s="102" t="s">
        <v>7</v>
      </c>
      <c r="Q26" s="103">
        <f t="shared" si="7"/>
        <v>26400</v>
      </c>
      <c r="R26" s="104">
        <f t="shared" si="8"/>
        <v>3510</v>
      </c>
      <c r="S26" s="103"/>
      <c r="T26" s="102" t="s">
        <v>7</v>
      </c>
      <c r="U26" s="103">
        <v>8800</v>
      </c>
      <c r="V26" s="104">
        <v>0</v>
      </c>
      <c r="W26" s="102" t="s">
        <v>7</v>
      </c>
      <c r="X26" s="103">
        <v>8800</v>
      </c>
      <c r="Y26" s="104">
        <v>3510</v>
      </c>
      <c r="Z26" s="102" t="s">
        <v>7</v>
      </c>
      <c r="AA26" s="103">
        <v>8800</v>
      </c>
      <c r="AB26" s="104">
        <v>0</v>
      </c>
      <c r="AC26" s="102">
        <f t="shared" ref="AC26:AC34" si="12">B26+Q26</f>
        <v>44000</v>
      </c>
      <c r="AD26" s="104">
        <f t="shared" ref="AD26:AD34" si="13">C26+R26</f>
        <v>10010</v>
      </c>
      <c r="AE26" s="131">
        <f t="shared" si="2"/>
        <v>0.22750000000000001</v>
      </c>
      <c r="AF26" s="129">
        <f t="shared" si="3"/>
        <v>33990</v>
      </c>
    </row>
    <row r="27" spans="1:32">
      <c r="A27" s="102" t="s">
        <v>8</v>
      </c>
      <c r="B27" s="103">
        <f t="shared" si="4"/>
        <v>14800</v>
      </c>
      <c r="C27" s="134">
        <f t="shared" si="5"/>
        <v>8114</v>
      </c>
      <c r="D27" s="124">
        <f t="shared" si="11"/>
        <v>0.54824324324324325</v>
      </c>
      <c r="E27" s="102" t="s">
        <v>8</v>
      </c>
      <c r="F27" s="103">
        <v>4000</v>
      </c>
      <c r="G27" s="104">
        <v>3835</v>
      </c>
      <c r="H27" s="102" t="s">
        <v>8</v>
      </c>
      <c r="I27" s="103">
        <v>2000</v>
      </c>
      <c r="J27" s="104">
        <v>1109</v>
      </c>
      <c r="K27" s="102" t="s">
        <v>8</v>
      </c>
      <c r="L27" s="103">
        <v>8800</v>
      </c>
      <c r="M27" s="104">
        <v>3170</v>
      </c>
      <c r="N27" s="115"/>
      <c r="P27" s="102" t="s">
        <v>8</v>
      </c>
      <c r="Q27" s="103">
        <f t="shared" si="7"/>
        <v>11600</v>
      </c>
      <c r="R27" s="104">
        <f t="shared" si="8"/>
        <v>7752</v>
      </c>
      <c r="S27" s="103"/>
      <c r="T27" s="102" t="s">
        <v>8</v>
      </c>
      <c r="U27" s="103">
        <v>3600</v>
      </c>
      <c r="V27" s="104">
        <v>4905</v>
      </c>
      <c r="W27" s="102" t="s">
        <v>8</v>
      </c>
      <c r="X27" s="103">
        <v>4000</v>
      </c>
      <c r="Y27" s="104">
        <v>3826</v>
      </c>
      <c r="Z27" s="102" t="s">
        <v>8</v>
      </c>
      <c r="AA27" s="103">
        <v>4000</v>
      </c>
      <c r="AB27" s="104">
        <v>-979</v>
      </c>
      <c r="AC27" s="102">
        <f t="shared" si="12"/>
        <v>26400</v>
      </c>
      <c r="AD27" s="104">
        <f t="shared" si="13"/>
        <v>15866</v>
      </c>
      <c r="AE27" s="131">
        <f t="shared" si="2"/>
        <v>0.60098484848484846</v>
      </c>
      <c r="AF27" s="129">
        <f t="shared" si="3"/>
        <v>10534</v>
      </c>
    </row>
    <row r="28" spans="1:32">
      <c r="A28" s="102" t="s">
        <v>9</v>
      </c>
      <c r="B28" s="103">
        <f t="shared" si="4"/>
        <v>17550</v>
      </c>
      <c r="C28" s="134">
        <f t="shared" si="5"/>
        <v>17867</v>
      </c>
      <c r="D28" s="124">
        <f t="shared" si="11"/>
        <v>1.018062678062678</v>
      </c>
      <c r="E28" s="102" t="s">
        <v>9</v>
      </c>
      <c r="F28" s="103">
        <v>5850</v>
      </c>
      <c r="G28" s="104">
        <v>1716</v>
      </c>
      <c r="H28" s="102" t="s">
        <v>9</v>
      </c>
      <c r="I28" s="103">
        <v>5850</v>
      </c>
      <c r="J28" s="104">
        <v>14517</v>
      </c>
      <c r="K28" s="102" t="s">
        <v>9</v>
      </c>
      <c r="L28" s="103">
        <v>5850</v>
      </c>
      <c r="M28" s="104">
        <v>1634</v>
      </c>
      <c r="N28" s="115"/>
      <c r="P28" s="102" t="s">
        <v>9</v>
      </c>
      <c r="Q28" s="103">
        <f t="shared" si="7"/>
        <v>17000</v>
      </c>
      <c r="R28" s="104">
        <f t="shared" si="8"/>
        <v>15645</v>
      </c>
      <c r="S28" s="103"/>
      <c r="T28" s="102" t="s">
        <v>9</v>
      </c>
      <c r="U28" s="103">
        <v>5300</v>
      </c>
      <c r="V28" s="104">
        <v>5946</v>
      </c>
      <c r="W28" s="102" t="s">
        <v>9</v>
      </c>
      <c r="X28" s="103">
        <v>5850</v>
      </c>
      <c r="Y28" s="104">
        <v>2354</v>
      </c>
      <c r="Z28" s="102" t="s">
        <v>9</v>
      </c>
      <c r="AA28" s="103">
        <v>5850</v>
      </c>
      <c r="AB28" s="104">
        <v>7345</v>
      </c>
      <c r="AC28" s="102">
        <f t="shared" si="12"/>
        <v>34550</v>
      </c>
      <c r="AD28" s="104">
        <f t="shared" si="13"/>
        <v>33512</v>
      </c>
      <c r="AE28" s="131">
        <f t="shared" si="2"/>
        <v>0.96995658465991319</v>
      </c>
      <c r="AF28" s="129">
        <f t="shared" si="3"/>
        <v>1038</v>
      </c>
    </row>
    <row r="29" spans="1:32">
      <c r="A29" s="102" t="s">
        <v>97</v>
      </c>
      <c r="B29" s="103">
        <f t="shared" si="4"/>
        <v>20100</v>
      </c>
      <c r="C29" s="134">
        <f t="shared" si="5"/>
        <v>2360</v>
      </c>
      <c r="D29" s="124">
        <f t="shared" si="11"/>
        <v>0.11741293532338308</v>
      </c>
      <c r="E29" s="102" t="s">
        <v>97</v>
      </c>
      <c r="F29" s="103">
        <v>6700</v>
      </c>
      <c r="G29" s="104">
        <v>2152</v>
      </c>
      <c r="H29" s="102" t="s">
        <v>97</v>
      </c>
      <c r="I29" s="103">
        <v>6700</v>
      </c>
      <c r="J29" s="104">
        <v>576</v>
      </c>
      <c r="K29" s="102" t="s">
        <v>97</v>
      </c>
      <c r="L29" s="103">
        <v>6700</v>
      </c>
      <c r="M29" s="104">
        <v>-368</v>
      </c>
      <c r="N29" s="115"/>
      <c r="P29" s="102" t="s">
        <v>97</v>
      </c>
      <c r="Q29" s="103">
        <f t="shared" si="7"/>
        <v>18300</v>
      </c>
      <c r="R29" s="104">
        <f t="shared" si="8"/>
        <v>6855</v>
      </c>
      <c r="S29" s="103"/>
      <c r="T29" s="102" t="s">
        <v>97</v>
      </c>
      <c r="U29" s="103">
        <v>4900</v>
      </c>
      <c r="V29" s="104">
        <v>1784</v>
      </c>
      <c r="W29" s="102" t="s">
        <v>97</v>
      </c>
      <c r="X29" s="103">
        <v>6700</v>
      </c>
      <c r="Y29" s="104">
        <v>4240</v>
      </c>
      <c r="Z29" s="102" t="s">
        <v>97</v>
      </c>
      <c r="AA29" s="103">
        <v>6700</v>
      </c>
      <c r="AB29" s="104">
        <v>831</v>
      </c>
      <c r="AC29" s="102">
        <f t="shared" si="12"/>
        <v>38400</v>
      </c>
      <c r="AD29" s="104">
        <f t="shared" si="13"/>
        <v>9215</v>
      </c>
      <c r="AE29" s="131">
        <f t="shared" si="2"/>
        <v>0.23997395833333332</v>
      </c>
      <c r="AF29" s="129">
        <f t="shared" si="3"/>
        <v>29185</v>
      </c>
    </row>
    <row r="30" spans="1:32">
      <c r="A30" s="102" t="s">
        <v>155</v>
      </c>
      <c r="B30" s="103">
        <f t="shared" si="4"/>
        <v>12700</v>
      </c>
      <c r="C30" s="134">
        <f t="shared" si="5"/>
        <v>15544</v>
      </c>
      <c r="D30" s="124">
        <f t="shared" si="11"/>
        <v>1.2239370078740157</v>
      </c>
      <c r="E30" s="102" t="s">
        <v>155</v>
      </c>
      <c r="F30" s="103">
        <v>3600</v>
      </c>
      <c r="G30" s="104">
        <v>2626</v>
      </c>
      <c r="H30" s="102" t="s">
        <v>155</v>
      </c>
      <c r="I30" s="103">
        <v>4300</v>
      </c>
      <c r="J30" s="104">
        <v>2734</v>
      </c>
      <c r="K30" s="102" t="s">
        <v>155</v>
      </c>
      <c r="L30" s="103">
        <v>4800</v>
      </c>
      <c r="M30" s="104">
        <v>10184</v>
      </c>
      <c r="N30" s="115"/>
      <c r="P30" s="102" t="s">
        <v>155</v>
      </c>
      <c r="Q30" s="103">
        <f t="shared" si="7"/>
        <v>6600</v>
      </c>
      <c r="R30" s="104">
        <f t="shared" si="8"/>
        <v>16952</v>
      </c>
      <c r="S30" s="103"/>
      <c r="T30" s="102" t="s">
        <v>155</v>
      </c>
      <c r="U30" s="103">
        <v>1200</v>
      </c>
      <c r="V30" s="104">
        <v>3924</v>
      </c>
      <c r="W30" s="102" t="s">
        <v>155</v>
      </c>
      <c r="X30" s="103">
        <v>2400</v>
      </c>
      <c r="Y30" s="104">
        <v>4471</v>
      </c>
      <c r="Z30" s="102" t="s">
        <v>155</v>
      </c>
      <c r="AA30" s="103">
        <v>3000</v>
      </c>
      <c r="AB30" s="104">
        <v>8557</v>
      </c>
      <c r="AC30" s="102">
        <f t="shared" si="12"/>
        <v>19300</v>
      </c>
      <c r="AD30" s="104">
        <f t="shared" si="13"/>
        <v>32496</v>
      </c>
      <c r="AE30" s="131">
        <f t="shared" si="2"/>
        <v>1.6837305699481866</v>
      </c>
      <c r="AF30" s="129">
        <f t="shared" si="3"/>
        <v>-13196</v>
      </c>
    </row>
    <row r="31" spans="1:32">
      <c r="A31" s="102" t="s">
        <v>2</v>
      </c>
      <c r="B31" s="103">
        <f t="shared" si="4"/>
        <v>5250</v>
      </c>
      <c r="C31" s="134">
        <f t="shared" si="5"/>
        <v>5985</v>
      </c>
      <c r="D31" s="124">
        <f t="shared" si="11"/>
        <v>1.1399999999999999</v>
      </c>
      <c r="E31" s="102" t="s">
        <v>2</v>
      </c>
      <c r="F31" s="103">
        <v>1750</v>
      </c>
      <c r="G31" s="104">
        <v>3072</v>
      </c>
      <c r="H31" s="102" t="s">
        <v>2</v>
      </c>
      <c r="I31" s="103">
        <v>1750</v>
      </c>
      <c r="J31" s="104">
        <v>740</v>
      </c>
      <c r="K31" s="102" t="s">
        <v>2</v>
      </c>
      <c r="L31" s="103">
        <v>1750</v>
      </c>
      <c r="M31" s="104">
        <v>2173</v>
      </c>
      <c r="N31" s="115"/>
      <c r="P31" s="102" t="s">
        <v>2</v>
      </c>
      <c r="Q31" s="103">
        <f t="shared" si="7"/>
        <v>5250</v>
      </c>
      <c r="R31" s="104">
        <f t="shared" si="8"/>
        <v>5183</v>
      </c>
      <c r="S31" s="103"/>
      <c r="T31" s="102" t="s">
        <v>2</v>
      </c>
      <c r="U31" s="103">
        <v>1750</v>
      </c>
      <c r="V31" s="104">
        <v>0</v>
      </c>
      <c r="W31" s="102" t="s">
        <v>2</v>
      </c>
      <c r="X31" s="103">
        <v>1750</v>
      </c>
      <c r="Y31" s="104">
        <v>5183</v>
      </c>
      <c r="Z31" s="102" t="s">
        <v>2</v>
      </c>
      <c r="AA31" s="103">
        <v>1750</v>
      </c>
      <c r="AB31" s="104">
        <v>0</v>
      </c>
      <c r="AC31" s="102">
        <f t="shared" si="12"/>
        <v>10500</v>
      </c>
      <c r="AD31" s="104">
        <f t="shared" si="13"/>
        <v>11168</v>
      </c>
      <c r="AE31" s="131">
        <f t="shared" si="2"/>
        <v>1.0636190476190477</v>
      </c>
      <c r="AF31" s="129">
        <f t="shared" si="3"/>
        <v>-668</v>
      </c>
    </row>
    <row r="32" spans="1:32">
      <c r="A32" s="102" t="s">
        <v>18</v>
      </c>
      <c r="B32" s="103">
        <f t="shared" si="4"/>
        <v>8700</v>
      </c>
      <c r="C32" s="134">
        <f t="shared" si="5"/>
        <v>9212</v>
      </c>
      <c r="D32" s="124">
        <f t="shared" si="11"/>
        <v>1.0588505747126438</v>
      </c>
      <c r="E32" s="102" t="s">
        <v>18</v>
      </c>
      <c r="F32" s="103">
        <v>2900</v>
      </c>
      <c r="G32" s="104">
        <v>1833</v>
      </c>
      <c r="H32" s="102" t="s">
        <v>18</v>
      </c>
      <c r="I32" s="103">
        <v>2900</v>
      </c>
      <c r="J32" s="104">
        <v>7373</v>
      </c>
      <c r="K32" s="102" t="s">
        <v>18</v>
      </c>
      <c r="L32" s="103">
        <v>2900</v>
      </c>
      <c r="M32" s="104">
        <v>6</v>
      </c>
      <c r="N32" s="115"/>
      <c r="P32" s="102" t="s">
        <v>18</v>
      </c>
      <c r="Q32" s="103">
        <f t="shared" si="7"/>
        <v>8350</v>
      </c>
      <c r="R32" s="104">
        <f t="shared" si="8"/>
        <v>6681</v>
      </c>
      <c r="S32" s="103"/>
      <c r="T32" s="102" t="s">
        <v>18</v>
      </c>
      <c r="U32" s="103">
        <v>2950</v>
      </c>
      <c r="V32" s="104">
        <v>0</v>
      </c>
      <c r="W32" s="102" t="s">
        <v>18</v>
      </c>
      <c r="X32" s="103">
        <v>2700</v>
      </c>
      <c r="Y32" s="104">
        <v>3425</v>
      </c>
      <c r="Z32" s="102" t="s">
        <v>18</v>
      </c>
      <c r="AA32" s="103">
        <v>2700</v>
      </c>
      <c r="AB32" s="104">
        <v>3256</v>
      </c>
      <c r="AC32" s="102">
        <f t="shared" si="12"/>
        <v>17050</v>
      </c>
      <c r="AD32" s="104">
        <f t="shared" si="13"/>
        <v>15893</v>
      </c>
      <c r="AE32" s="131">
        <f t="shared" si="2"/>
        <v>0.9321407624633431</v>
      </c>
      <c r="AF32" s="129">
        <f t="shared" si="3"/>
        <v>1157</v>
      </c>
    </row>
    <row r="33" spans="1:32">
      <c r="A33" s="102" t="s">
        <v>19</v>
      </c>
      <c r="B33" s="103">
        <f t="shared" si="4"/>
        <v>6100</v>
      </c>
      <c r="C33" s="134">
        <f t="shared" si="5"/>
        <v>8417</v>
      </c>
      <c r="D33" s="124">
        <f t="shared" si="11"/>
        <v>1.3798360655737705</v>
      </c>
      <c r="E33" s="102" t="s">
        <v>19</v>
      </c>
      <c r="F33" s="103">
        <v>2400</v>
      </c>
      <c r="G33" s="104">
        <v>1701</v>
      </c>
      <c r="H33" s="102" t="s">
        <v>19</v>
      </c>
      <c r="I33" s="103">
        <v>1200</v>
      </c>
      <c r="J33" s="104">
        <v>4657</v>
      </c>
      <c r="K33" s="102" t="s">
        <v>19</v>
      </c>
      <c r="L33" s="103">
        <v>2500</v>
      </c>
      <c r="M33" s="104">
        <v>2059</v>
      </c>
      <c r="N33" s="115"/>
      <c r="P33" s="102" t="s">
        <v>19</v>
      </c>
      <c r="Q33" s="103">
        <f t="shared" si="7"/>
        <v>7200</v>
      </c>
      <c r="R33" s="104">
        <f t="shared" si="8"/>
        <v>6946</v>
      </c>
      <c r="S33" s="103"/>
      <c r="T33" s="102" t="s">
        <v>19</v>
      </c>
      <c r="U33" s="103">
        <v>2400</v>
      </c>
      <c r="V33" s="104">
        <v>5341</v>
      </c>
      <c r="W33" s="102" t="s">
        <v>19</v>
      </c>
      <c r="X33" s="103">
        <v>2400</v>
      </c>
      <c r="Y33" s="104">
        <v>0</v>
      </c>
      <c r="Z33" s="102" t="s">
        <v>19</v>
      </c>
      <c r="AA33" s="103">
        <v>2400</v>
      </c>
      <c r="AB33" s="104">
        <v>1605</v>
      </c>
      <c r="AC33" s="102">
        <f t="shared" si="12"/>
        <v>13300</v>
      </c>
      <c r="AD33" s="104">
        <f t="shared" si="13"/>
        <v>15363</v>
      </c>
      <c r="AE33" s="131">
        <f t="shared" si="2"/>
        <v>1.1551127819548872</v>
      </c>
      <c r="AF33" s="129">
        <f t="shared" si="3"/>
        <v>-2063</v>
      </c>
    </row>
    <row r="34" spans="1:32" ht="16" thickBot="1">
      <c r="A34" s="105" t="s">
        <v>10</v>
      </c>
      <c r="B34" s="106">
        <f t="shared" si="4"/>
        <v>167100</v>
      </c>
      <c r="C34" s="133">
        <f t="shared" si="5"/>
        <v>120668.5</v>
      </c>
      <c r="D34" s="124">
        <f>C34/B34*100%</f>
        <v>0.72213345302214238</v>
      </c>
      <c r="E34" s="105" t="s">
        <v>10</v>
      </c>
      <c r="F34" s="106">
        <f>SUM(F13:F33)</f>
        <v>57500</v>
      </c>
      <c r="G34" s="107">
        <v>31344.5</v>
      </c>
      <c r="H34" s="105" t="s">
        <v>10</v>
      </c>
      <c r="I34" s="106">
        <f>SUM(I13:I33)</f>
        <v>55000</v>
      </c>
      <c r="J34" s="107">
        <v>62825</v>
      </c>
      <c r="K34" s="105" t="s">
        <v>10</v>
      </c>
      <c r="L34" s="106">
        <f>SUM(L13:L33)</f>
        <v>54600</v>
      </c>
      <c r="M34" s="106">
        <v>26499</v>
      </c>
      <c r="N34" s="115"/>
      <c r="P34" s="111" t="s">
        <v>10</v>
      </c>
      <c r="Q34" s="112">
        <f>U34+X34+AA34</f>
        <v>160000</v>
      </c>
      <c r="R34" s="113">
        <f>V34+Y34+AB34</f>
        <v>126322</v>
      </c>
      <c r="S34" s="103"/>
      <c r="T34" s="105" t="s">
        <v>10</v>
      </c>
      <c r="U34" s="106">
        <f>SUM(U13:U33)</f>
        <v>49000</v>
      </c>
      <c r="V34" s="107">
        <v>39736</v>
      </c>
      <c r="W34" s="105" t="s">
        <v>10</v>
      </c>
      <c r="X34" s="106">
        <f>SUM(X13:X33)</f>
        <v>55000</v>
      </c>
      <c r="Y34" s="107">
        <v>45863</v>
      </c>
      <c r="Z34" s="105" t="s">
        <v>10</v>
      </c>
      <c r="AA34" s="106">
        <f>SUM(AA13:AA33)</f>
        <v>56000</v>
      </c>
      <c r="AB34" s="107">
        <v>40723</v>
      </c>
      <c r="AC34" s="105">
        <f t="shared" si="12"/>
        <v>327100</v>
      </c>
      <c r="AD34" s="107">
        <f t="shared" si="13"/>
        <v>246990.5</v>
      </c>
      <c r="AE34" s="131">
        <f t="shared" si="2"/>
        <v>0.75509171507184347</v>
      </c>
      <c r="AF34" s="129">
        <f t="shared" si="3"/>
        <v>80109.5</v>
      </c>
    </row>
    <row r="35" spans="1:32">
      <c r="D35" s="126"/>
      <c r="E35" s="98"/>
      <c r="F35" s="98"/>
      <c r="G35" s="98"/>
      <c r="H35" s="98"/>
      <c r="I35" s="98"/>
      <c r="J35" s="98"/>
      <c r="K35" s="98"/>
      <c r="L35" s="98"/>
      <c r="M35" s="98"/>
      <c r="AE35" s="131"/>
      <c r="AF35" s="129"/>
    </row>
    <row r="36" spans="1:32">
      <c r="C36" s="114">
        <f>C34/SUM(G36:M36)</f>
        <v>2389.4752475247524</v>
      </c>
      <c r="D36" s="126"/>
      <c r="E36" s="98"/>
      <c r="F36" s="98"/>
      <c r="G36" s="98">
        <v>16.5</v>
      </c>
      <c r="H36" s="98"/>
      <c r="I36" s="98"/>
      <c r="J36" s="98">
        <v>23.5</v>
      </c>
      <c r="K36" s="98"/>
      <c r="L36" s="98"/>
      <c r="M36" s="98">
        <v>10.5</v>
      </c>
      <c r="R36" s="98">
        <f>R34/(SUM(V36:AB36))</f>
        <v>2235.787610619469</v>
      </c>
      <c r="V36" s="98">
        <v>16.5</v>
      </c>
      <c r="Y36" s="98">
        <v>21</v>
      </c>
      <c r="AB36" s="98">
        <v>19</v>
      </c>
      <c r="AE36" s="131"/>
      <c r="AF36" s="129"/>
    </row>
    <row r="37" spans="1:32" ht="16" thickBot="1">
      <c r="D37" s="126"/>
      <c r="AE37" s="131"/>
      <c r="AF37" s="129"/>
    </row>
    <row r="38" spans="1:32">
      <c r="A38" s="99" t="s">
        <v>20</v>
      </c>
      <c r="B38" s="100">
        <f>SUM(B39:B41)</f>
        <v>64300</v>
      </c>
      <c r="C38" s="132">
        <f>SUM(C39:C41)</f>
        <v>46678</v>
      </c>
      <c r="D38" s="128">
        <f t="shared" ref="D38:D44" si="14">C38/B38*100%</f>
        <v>0.72594090202177297</v>
      </c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P38" s="99" t="s">
        <v>20</v>
      </c>
      <c r="Q38" s="100">
        <f>SUM(Q39:Q41)</f>
        <v>59300</v>
      </c>
      <c r="R38" s="101">
        <f>SUM(R39:R41)</f>
        <v>56808</v>
      </c>
      <c r="S38" s="116"/>
      <c r="T38" s="99"/>
      <c r="U38" s="100"/>
      <c r="V38" s="101"/>
      <c r="W38" s="99"/>
      <c r="X38" s="100"/>
      <c r="Y38" s="101"/>
      <c r="Z38" s="99"/>
      <c r="AA38" s="100"/>
      <c r="AB38" s="101"/>
      <c r="AC38" s="99">
        <f t="shared" ref="AC38:AD44" si="15">B38+Q38</f>
        <v>123600</v>
      </c>
      <c r="AD38" s="101">
        <f t="shared" si="15"/>
        <v>103486</v>
      </c>
      <c r="AE38" s="131">
        <f t="shared" si="2"/>
        <v>0.83726537216828478</v>
      </c>
      <c r="AF38" s="129">
        <f t="shared" ref="AF38:AF44" si="16">AC38-AD38</f>
        <v>20114</v>
      </c>
    </row>
    <row r="39" spans="1:32">
      <c r="A39" s="102" t="s">
        <v>21</v>
      </c>
      <c r="B39" s="103">
        <f>SUM(B13:B16)</f>
        <v>26600</v>
      </c>
      <c r="C39" s="134">
        <f>SUM(C13:C16)</f>
        <v>15440</v>
      </c>
      <c r="D39" s="128">
        <f t="shared" si="14"/>
        <v>0.58045112781954888</v>
      </c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P39" s="102" t="s">
        <v>21</v>
      </c>
      <c r="Q39" s="103">
        <f>SUM(Q13:Q17)</f>
        <v>25750</v>
      </c>
      <c r="R39" s="104">
        <f>SUM(R13:R17)</f>
        <v>27025</v>
      </c>
      <c r="S39" s="116"/>
      <c r="T39" s="102"/>
      <c r="U39" s="103"/>
      <c r="V39" s="104"/>
      <c r="W39" s="102"/>
      <c r="X39" s="103"/>
      <c r="Y39" s="104"/>
      <c r="Z39" s="102"/>
      <c r="AA39" s="103"/>
      <c r="AB39" s="104"/>
      <c r="AC39" s="102">
        <f t="shared" si="15"/>
        <v>52350</v>
      </c>
      <c r="AD39" s="104">
        <f t="shared" si="15"/>
        <v>42465</v>
      </c>
      <c r="AE39" s="131">
        <f t="shared" si="2"/>
        <v>0.81117478510028651</v>
      </c>
      <c r="AF39" s="129">
        <f t="shared" si="16"/>
        <v>9885</v>
      </c>
    </row>
    <row r="40" spans="1:32">
      <c r="A40" s="102" t="s">
        <v>22</v>
      </c>
      <c r="B40" s="103">
        <f>SUM(B18:B20)</f>
        <v>14000</v>
      </c>
      <c r="C40" s="134">
        <f>SUM(C18:C20)</f>
        <v>11298</v>
      </c>
      <c r="D40" s="128">
        <f t="shared" si="14"/>
        <v>0.80700000000000005</v>
      </c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P40" s="102" t="s">
        <v>22</v>
      </c>
      <c r="Q40" s="103">
        <f>SUM(Q18:Q20)</f>
        <v>10700</v>
      </c>
      <c r="R40" s="104">
        <f>SUM(R18:R20)</f>
        <v>5018</v>
      </c>
      <c r="S40" s="116"/>
      <c r="T40" s="102"/>
      <c r="U40" s="103"/>
      <c r="V40" s="104"/>
      <c r="W40" s="102"/>
      <c r="X40" s="103"/>
      <c r="Y40" s="104"/>
      <c r="Z40" s="102"/>
      <c r="AA40" s="103"/>
      <c r="AB40" s="104"/>
      <c r="AC40" s="102">
        <f t="shared" si="15"/>
        <v>24700</v>
      </c>
      <c r="AD40" s="104">
        <f t="shared" si="15"/>
        <v>16316</v>
      </c>
      <c r="AE40" s="131">
        <f t="shared" si="2"/>
        <v>0.66056680161943315</v>
      </c>
      <c r="AF40" s="129">
        <f t="shared" si="16"/>
        <v>8384</v>
      </c>
    </row>
    <row r="41" spans="1:32">
      <c r="A41" s="102" t="s">
        <v>143</v>
      </c>
      <c r="B41" s="103">
        <f>SUM(B21:B24)</f>
        <v>23700</v>
      </c>
      <c r="C41" s="134">
        <f>SUM(C21:C24)</f>
        <v>19940</v>
      </c>
      <c r="D41" s="128">
        <f t="shared" si="14"/>
        <v>0.84135021097046414</v>
      </c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P41" s="102" t="s">
        <v>143</v>
      </c>
      <c r="Q41" s="103">
        <f>SUM(Q21:Q25)</f>
        <v>22850</v>
      </c>
      <c r="R41" s="104">
        <f>SUM(R21:R25)</f>
        <v>24765</v>
      </c>
      <c r="S41" s="116"/>
      <c r="T41" s="102"/>
      <c r="U41" s="103"/>
      <c r="V41" s="104"/>
      <c r="W41" s="102"/>
      <c r="X41" s="103"/>
      <c r="Y41" s="104"/>
      <c r="Z41" s="102"/>
      <c r="AA41" s="103"/>
      <c r="AB41" s="104"/>
      <c r="AC41" s="102">
        <f t="shared" si="15"/>
        <v>46550</v>
      </c>
      <c r="AD41" s="104">
        <f t="shared" si="15"/>
        <v>44705</v>
      </c>
      <c r="AE41" s="131">
        <f t="shared" si="2"/>
        <v>0.96036519871106341</v>
      </c>
      <c r="AF41" s="129">
        <f t="shared" si="16"/>
        <v>1845</v>
      </c>
    </row>
    <row r="42" spans="1:32">
      <c r="A42" s="102" t="s">
        <v>11</v>
      </c>
      <c r="B42" s="103">
        <v>51300</v>
      </c>
      <c r="C42" s="134">
        <v>29210.71154</v>
      </c>
      <c r="D42" s="128">
        <f t="shared" si="14"/>
        <v>0.56940958167641331</v>
      </c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P42" s="102" t="s">
        <v>11</v>
      </c>
      <c r="Q42" s="103">
        <f>SUM(Q43:Q44)</f>
        <v>74300</v>
      </c>
      <c r="R42" s="104">
        <f>SUM(R43:R44)</f>
        <v>66014</v>
      </c>
      <c r="S42" s="116"/>
      <c r="T42" s="102"/>
      <c r="U42" s="103"/>
      <c r="V42" s="104"/>
      <c r="W42" s="102"/>
      <c r="X42" s="103"/>
      <c r="Y42" s="104"/>
      <c r="Z42" s="102"/>
      <c r="AA42" s="103"/>
      <c r="AB42" s="104"/>
      <c r="AC42" s="102">
        <f t="shared" si="15"/>
        <v>125600</v>
      </c>
      <c r="AD42" s="104">
        <f t="shared" si="15"/>
        <v>95224.711540000004</v>
      </c>
      <c r="AE42" s="131">
        <f t="shared" si="2"/>
        <v>0.75815853136942679</v>
      </c>
      <c r="AF42" s="129">
        <f t="shared" si="16"/>
        <v>30375.288459999996</v>
      </c>
    </row>
    <row r="43" spans="1:32">
      <c r="A43" s="102" t="s">
        <v>23</v>
      </c>
      <c r="B43" s="103">
        <f>SUM(B27:B30)</f>
        <v>65150</v>
      </c>
      <c r="C43" s="134">
        <f>SUM(C27:C30)</f>
        <v>43885</v>
      </c>
      <c r="D43" s="128">
        <f t="shared" si="14"/>
        <v>0.67359938603223335</v>
      </c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P43" s="102" t="s">
        <v>23</v>
      </c>
      <c r="Q43" s="103">
        <f>SUM(Q27:Q30)</f>
        <v>53500</v>
      </c>
      <c r="R43" s="104">
        <f>SUM(R27:R30)</f>
        <v>47204</v>
      </c>
      <c r="S43" s="116"/>
      <c r="T43" s="102"/>
      <c r="U43" s="103"/>
      <c r="V43" s="104"/>
      <c r="W43" s="102"/>
      <c r="X43" s="103"/>
      <c r="Y43" s="104"/>
      <c r="Z43" s="102"/>
      <c r="AA43" s="103"/>
      <c r="AB43" s="104"/>
      <c r="AC43" s="102">
        <f t="shared" si="15"/>
        <v>118650</v>
      </c>
      <c r="AD43" s="104">
        <f t="shared" si="15"/>
        <v>91089</v>
      </c>
      <c r="AE43" s="131">
        <f t="shared" si="2"/>
        <v>0.76771175726927943</v>
      </c>
      <c r="AF43" s="129">
        <f t="shared" si="16"/>
        <v>27561</v>
      </c>
    </row>
    <row r="44" spans="1:32" ht="16" thickBot="1">
      <c r="A44" s="105" t="s">
        <v>24</v>
      </c>
      <c r="B44" s="106">
        <f>SUM(B31:B33)</f>
        <v>20050</v>
      </c>
      <c r="C44" s="133">
        <f>SUM(C31:C33)</f>
        <v>23614</v>
      </c>
      <c r="D44" s="128">
        <f t="shared" si="14"/>
        <v>1.1777556109725686</v>
      </c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P44" s="105" t="s">
        <v>24</v>
      </c>
      <c r="Q44" s="106">
        <f>SUM(Q31:Q33)</f>
        <v>20800</v>
      </c>
      <c r="R44" s="107">
        <f>SUM(R31:R33)</f>
        <v>18810</v>
      </c>
      <c r="S44" s="116"/>
      <c r="T44" s="105"/>
      <c r="U44" s="106"/>
      <c r="V44" s="107"/>
      <c r="W44" s="105"/>
      <c r="X44" s="106"/>
      <c r="Y44" s="107"/>
      <c r="Z44" s="105"/>
      <c r="AA44" s="106"/>
      <c r="AB44" s="107"/>
      <c r="AC44" s="105">
        <f t="shared" si="15"/>
        <v>40850</v>
      </c>
      <c r="AD44" s="107">
        <f t="shared" si="15"/>
        <v>42424</v>
      </c>
      <c r="AE44" s="131">
        <f t="shared" si="2"/>
        <v>1.038531211750306</v>
      </c>
      <c r="AF44" s="129">
        <f t="shared" si="16"/>
        <v>-1574</v>
      </c>
    </row>
    <row r="45" spans="1:32">
      <c r="D45" s="129"/>
      <c r="AE45" s="131"/>
      <c r="AF45" s="129"/>
    </row>
    <row r="46" spans="1:32">
      <c r="A46" s="98" t="s">
        <v>12</v>
      </c>
      <c r="B46" s="98">
        <f>B6+B34</f>
        <v>185000</v>
      </c>
      <c r="C46" s="114">
        <f>SUM(C6+C34)</f>
        <v>120727.5</v>
      </c>
      <c r="D46" s="130">
        <f>C46/B46*100%</f>
        <v>0.65258108108108104</v>
      </c>
      <c r="P46" s="98" t="s">
        <v>12</v>
      </c>
      <c r="Q46" s="98">
        <f>SUM(Q32,Q4)</f>
        <v>8350</v>
      </c>
      <c r="R46" s="98">
        <f>SUM(R32,R4)</f>
        <v>6681</v>
      </c>
      <c r="S46" s="117"/>
      <c r="AC46" s="108">
        <f>B46+Q46</f>
        <v>193350</v>
      </c>
      <c r="AD46" s="108">
        <f>C46+R46</f>
        <v>127408.5</v>
      </c>
      <c r="AE46" s="131">
        <f>AD46/AC46</f>
        <v>0.65895267649340572</v>
      </c>
      <c r="AF46" s="129">
        <f>AC46-AD46</f>
        <v>65941.5</v>
      </c>
    </row>
    <row r="47" spans="1:32">
      <c r="AE47" s="3"/>
    </row>
    <row r="48" spans="1:32">
      <c r="AC48" s="108"/>
      <c r="AD48" s="108"/>
      <c r="AE48" s="3"/>
    </row>
  </sheetData>
  <phoneticPr fontId="4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3" workbookViewId="0">
      <selection activeCell="C22" sqref="C22"/>
    </sheetView>
  </sheetViews>
  <sheetFormatPr defaultColWidth="13.33203125" defaultRowHeight="15.5"/>
  <cols>
    <col min="1" max="1" width="9.4140625" customWidth="1"/>
    <col min="2" max="2" width="10.33203125" customWidth="1"/>
    <col min="3" max="7" width="10.4140625" customWidth="1"/>
    <col min="8" max="8" width="4.08203125" customWidth="1"/>
    <col min="9" max="9" width="23.6640625" customWidth="1"/>
    <col min="10" max="10" width="21" customWidth="1"/>
  </cols>
  <sheetData>
    <row r="1" spans="1:14" ht="16" thickBot="1">
      <c r="A1" s="10"/>
      <c r="B1" s="11" t="s">
        <v>26</v>
      </c>
      <c r="C1" s="137" t="s">
        <v>27</v>
      </c>
      <c r="D1" s="139" t="s">
        <v>28</v>
      </c>
      <c r="E1" s="118" t="s">
        <v>29</v>
      </c>
      <c r="F1" s="141" t="s">
        <v>30</v>
      </c>
      <c r="G1" s="143" t="s">
        <v>31</v>
      </c>
      <c r="I1" t="s">
        <v>32</v>
      </c>
    </row>
    <row r="2" spans="1:14" ht="31.5" thickBot="1">
      <c r="A2" s="12" t="s">
        <v>33</v>
      </c>
      <c r="B2" s="13"/>
      <c r="C2" s="138"/>
      <c r="D2" s="140"/>
      <c r="E2" s="119" t="s">
        <v>34</v>
      </c>
      <c r="F2" s="142"/>
      <c r="G2" s="144"/>
      <c r="I2" s="14" t="s">
        <v>35</v>
      </c>
      <c r="J2" s="15" t="s">
        <v>36</v>
      </c>
    </row>
    <row r="3" spans="1:14">
      <c r="A3" s="145" t="s">
        <v>37</v>
      </c>
      <c r="B3" s="146"/>
      <c r="C3" s="16">
        <v>13</v>
      </c>
      <c r="D3" s="122">
        <v>14</v>
      </c>
      <c r="E3" s="120">
        <v>15</v>
      </c>
      <c r="F3" s="16">
        <v>16</v>
      </c>
      <c r="G3" s="17">
        <v>17</v>
      </c>
      <c r="H3" s="18"/>
      <c r="I3" s="19" t="s">
        <v>38</v>
      </c>
      <c r="J3" s="20" t="s">
        <v>39</v>
      </c>
      <c r="K3" t="s">
        <v>41</v>
      </c>
    </row>
    <row r="4" spans="1:14">
      <c r="A4" s="135" t="s">
        <v>42</v>
      </c>
      <c r="B4" s="136"/>
      <c r="C4" s="16">
        <v>12</v>
      </c>
      <c r="D4" s="122">
        <v>13</v>
      </c>
      <c r="E4" s="120">
        <v>14</v>
      </c>
      <c r="F4" s="16">
        <v>15</v>
      </c>
      <c r="G4" s="17">
        <v>16</v>
      </c>
      <c r="H4" s="18"/>
      <c r="I4" s="21" t="s">
        <v>43</v>
      </c>
      <c r="J4" s="20" t="s">
        <v>39</v>
      </c>
      <c r="K4" t="s">
        <v>40</v>
      </c>
    </row>
    <row r="5" spans="1:14" ht="16" thickBot="1">
      <c r="A5" s="135" t="s">
        <v>44</v>
      </c>
      <c r="B5" s="136"/>
      <c r="C5" s="16">
        <v>11</v>
      </c>
      <c r="D5" s="122">
        <v>12</v>
      </c>
      <c r="E5" s="120">
        <v>13</v>
      </c>
      <c r="F5" s="16">
        <v>14</v>
      </c>
      <c r="G5" s="17">
        <v>15</v>
      </c>
      <c r="H5" s="18"/>
      <c r="I5" s="22" t="s">
        <v>45</v>
      </c>
      <c r="J5" s="23" t="s">
        <v>39</v>
      </c>
      <c r="K5" t="s">
        <v>46</v>
      </c>
    </row>
    <row r="6" spans="1:14" ht="19" customHeight="1" thickBot="1">
      <c r="A6" s="135" t="s">
        <v>47</v>
      </c>
      <c r="B6" s="136"/>
      <c r="C6" s="16">
        <v>10</v>
      </c>
      <c r="D6" s="122">
        <v>11</v>
      </c>
      <c r="E6" s="120">
        <v>12</v>
      </c>
      <c r="F6" s="16">
        <v>13</v>
      </c>
      <c r="G6" s="17">
        <v>14</v>
      </c>
      <c r="H6" s="18"/>
      <c r="I6" s="24" t="s">
        <v>48</v>
      </c>
      <c r="J6" s="24"/>
      <c r="K6" s="2">
        <f>25000/6</f>
        <v>4166.666666666667</v>
      </c>
      <c r="L6" s="2">
        <f>50000/6</f>
        <v>8333.3333333333339</v>
      </c>
      <c r="M6" s="2">
        <f>75000/6</f>
        <v>12500</v>
      </c>
      <c r="N6" s="2">
        <f>100000/6</f>
        <v>16666.666666666668</v>
      </c>
    </row>
    <row r="7" spans="1:14" ht="20.149999999999999" customHeight="1">
      <c r="A7" s="135" t="s">
        <v>49</v>
      </c>
      <c r="B7" s="136"/>
      <c r="C7" s="16">
        <v>9</v>
      </c>
      <c r="D7" s="122">
        <v>10</v>
      </c>
      <c r="E7" s="120">
        <v>11</v>
      </c>
      <c r="F7" s="16">
        <v>12</v>
      </c>
      <c r="G7" s="17">
        <v>13</v>
      </c>
      <c r="H7" s="18"/>
      <c r="I7" s="25"/>
      <c r="J7" s="26" t="s">
        <v>50</v>
      </c>
      <c r="K7" s="147" t="s">
        <v>51</v>
      </c>
      <c r="L7" s="149" t="s">
        <v>52</v>
      </c>
      <c r="M7" s="149" t="s">
        <v>53</v>
      </c>
      <c r="N7" s="151" t="s">
        <v>54</v>
      </c>
    </row>
    <row r="8" spans="1:14">
      <c r="A8" s="135" t="s">
        <v>55</v>
      </c>
      <c r="B8" s="136"/>
      <c r="C8" s="16">
        <v>8</v>
      </c>
      <c r="D8" s="122">
        <v>9</v>
      </c>
      <c r="E8" s="120">
        <v>10</v>
      </c>
      <c r="F8" s="16">
        <v>11</v>
      </c>
      <c r="G8" s="17">
        <v>12</v>
      </c>
      <c r="H8" s="18"/>
      <c r="I8" s="27" t="s">
        <v>56</v>
      </c>
      <c r="J8" s="28"/>
      <c r="K8" s="148"/>
      <c r="L8" s="150"/>
      <c r="M8" s="150"/>
      <c r="N8" s="152"/>
    </row>
    <row r="9" spans="1:14">
      <c r="A9" s="135" t="s">
        <v>57</v>
      </c>
      <c r="B9" s="136"/>
      <c r="C9" s="16">
        <v>7</v>
      </c>
      <c r="D9" s="122">
        <v>8</v>
      </c>
      <c r="E9" s="120">
        <v>9</v>
      </c>
      <c r="F9" s="16">
        <v>10</v>
      </c>
      <c r="G9" s="17">
        <v>11</v>
      </c>
      <c r="H9" s="18"/>
      <c r="I9" s="135" t="s">
        <v>58</v>
      </c>
      <c r="J9" s="153"/>
      <c r="K9" s="29">
        <v>1</v>
      </c>
      <c r="L9" s="29">
        <v>1</v>
      </c>
      <c r="M9" s="29">
        <v>2</v>
      </c>
      <c r="N9" s="30">
        <v>2</v>
      </c>
    </row>
    <row r="10" spans="1:14">
      <c r="A10" s="135" t="s">
        <v>59</v>
      </c>
      <c r="B10" s="136"/>
      <c r="C10" s="16">
        <v>6</v>
      </c>
      <c r="D10" s="122">
        <v>7</v>
      </c>
      <c r="E10" s="120">
        <v>8</v>
      </c>
      <c r="F10" s="16">
        <v>9</v>
      </c>
      <c r="G10" s="17">
        <v>10</v>
      </c>
      <c r="H10" s="18"/>
      <c r="I10" s="135" t="s">
        <v>60</v>
      </c>
      <c r="J10" s="153"/>
      <c r="K10" s="29">
        <v>1</v>
      </c>
      <c r="L10" s="29">
        <v>2</v>
      </c>
      <c r="M10" s="29">
        <v>2</v>
      </c>
      <c r="N10" s="30">
        <v>3</v>
      </c>
    </row>
    <row r="11" spans="1:14">
      <c r="A11" s="135" t="s">
        <v>61</v>
      </c>
      <c r="B11" s="136"/>
      <c r="C11" s="16">
        <v>5</v>
      </c>
      <c r="D11" s="122">
        <v>6</v>
      </c>
      <c r="E11" s="120">
        <v>7</v>
      </c>
      <c r="F11" s="16">
        <v>8</v>
      </c>
      <c r="G11" s="17">
        <v>9</v>
      </c>
      <c r="H11" s="18"/>
      <c r="I11" s="135" t="s">
        <v>30</v>
      </c>
      <c r="J11" s="153"/>
      <c r="K11" s="29">
        <v>2</v>
      </c>
      <c r="L11" s="29">
        <v>2</v>
      </c>
      <c r="M11" s="29">
        <v>3</v>
      </c>
      <c r="N11" s="30">
        <v>3</v>
      </c>
    </row>
    <row r="12" spans="1:14" ht="16" thickBot="1">
      <c r="A12" s="135" t="s">
        <v>62</v>
      </c>
      <c r="B12" s="136"/>
      <c r="C12" s="16">
        <v>4</v>
      </c>
      <c r="D12" s="122">
        <v>5</v>
      </c>
      <c r="E12" s="120">
        <v>6</v>
      </c>
      <c r="F12" s="16">
        <v>7</v>
      </c>
      <c r="G12" s="17">
        <v>8</v>
      </c>
      <c r="H12" s="18"/>
      <c r="I12" s="156" t="s">
        <v>31</v>
      </c>
      <c r="J12" s="157"/>
      <c r="K12" s="31">
        <v>2</v>
      </c>
      <c r="L12" s="31">
        <v>3</v>
      </c>
      <c r="M12" s="31">
        <v>3</v>
      </c>
      <c r="N12" s="32">
        <v>4</v>
      </c>
    </row>
    <row r="13" spans="1:14" ht="16" thickBot="1">
      <c r="A13" s="135" t="s">
        <v>63</v>
      </c>
      <c r="B13" s="136"/>
      <c r="C13" s="16">
        <v>3</v>
      </c>
      <c r="D13" s="122">
        <v>4</v>
      </c>
      <c r="E13" s="120">
        <v>5</v>
      </c>
      <c r="F13" s="16">
        <v>6</v>
      </c>
      <c r="G13" s="17">
        <v>7</v>
      </c>
      <c r="H13" s="18"/>
      <c r="I13" t="s">
        <v>64</v>
      </c>
      <c r="K13" s="2">
        <f>15000/6</f>
        <v>2500</v>
      </c>
      <c r="L13" s="2">
        <f>25000/6</f>
        <v>4166.666666666667</v>
      </c>
      <c r="M13" s="2">
        <f>35000/6</f>
        <v>5833.333333333333</v>
      </c>
      <c r="N13">
        <f>45000/6</f>
        <v>7500</v>
      </c>
    </row>
    <row r="14" spans="1:14" ht="18" customHeight="1">
      <c r="A14" s="135" t="s">
        <v>65</v>
      </c>
      <c r="B14" s="136"/>
      <c r="C14" s="16">
        <v>2</v>
      </c>
      <c r="D14" s="122">
        <v>3</v>
      </c>
      <c r="E14" s="120">
        <v>4</v>
      </c>
      <c r="F14" s="16">
        <v>4</v>
      </c>
      <c r="G14" s="17">
        <v>5</v>
      </c>
      <c r="H14" s="18"/>
      <c r="I14" s="25"/>
      <c r="J14" s="26" t="s">
        <v>50</v>
      </c>
      <c r="K14" s="158" t="s">
        <v>66</v>
      </c>
      <c r="L14" s="158" t="s">
        <v>67</v>
      </c>
      <c r="M14" s="158" t="s">
        <v>68</v>
      </c>
      <c r="N14" s="160" t="s">
        <v>69</v>
      </c>
    </row>
    <row r="15" spans="1:14">
      <c r="A15" s="135" t="s">
        <v>70</v>
      </c>
      <c r="B15" s="136"/>
      <c r="C15" s="16">
        <v>1</v>
      </c>
      <c r="D15" s="122">
        <v>2</v>
      </c>
      <c r="E15" s="120">
        <v>3</v>
      </c>
      <c r="F15" s="16">
        <v>3</v>
      </c>
      <c r="G15" s="17">
        <v>4</v>
      </c>
      <c r="H15" s="18"/>
      <c r="I15" s="27" t="s">
        <v>71</v>
      </c>
      <c r="J15" s="28"/>
      <c r="K15" s="159"/>
      <c r="L15" s="159"/>
      <c r="M15" s="159"/>
      <c r="N15" s="161"/>
    </row>
    <row r="16" spans="1:14">
      <c r="A16" s="135" t="s">
        <v>72</v>
      </c>
      <c r="B16" s="136"/>
      <c r="C16" s="16">
        <v>0</v>
      </c>
      <c r="D16" s="122">
        <v>1</v>
      </c>
      <c r="E16" s="120">
        <v>2</v>
      </c>
      <c r="F16" s="16">
        <v>2</v>
      </c>
      <c r="G16" s="17">
        <v>3</v>
      </c>
      <c r="H16" s="18"/>
      <c r="I16" s="154" t="s">
        <v>73</v>
      </c>
      <c r="J16" s="155"/>
      <c r="K16" s="29">
        <v>1</v>
      </c>
      <c r="L16" s="29">
        <v>1</v>
      </c>
      <c r="M16" s="29">
        <v>2</v>
      </c>
      <c r="N16" s="30">
        <v>2</v>
      </c>
    </row>
    <row r="17" spans="1:14">
      <c r="A17" s="135" t="s">
        <v>74</v>
      </c>
      <c r="B17" s="136"/>
      <c r="C17" s="16">
        <v>0</v>
      </c>
      <c r="D17" s="122">
        <v>0</v>
      </c>
      <c r="E17" s="120">
        <v>1</v>
      </c>
      <c r="F17" s="16">
        <v>1</v>
      </c>
      <c r="G17" s="17">
        <v>2</v>
      </c>
      <c r="H17" s="18"/>
      <c r="I17" s="162" t="s">
        <v>75</v>
      </c>
      <c r="J17" s="163"/>
      <c r="K17" s="29">
        <v>1</v>
      </c>
      <c r="L17" s="29">
        <v>2</v>
      </c>
      <c r="M17" s="29">
        <v>2</v>
      </c>
      <c r="N17" s="30">
        <v>3</v>
      </c>
    </row>
    <row r="18" spans="1:14">
      <c r="A18" s="135" t="s">
        <v>76</v>
      </c>
      <c r="B18" s="136"/>
      <c r="C18" s="16">
        <v>0</v>
      </c>
      <c r="D18" s="122">
        <v>0</v>
      </c>
      <c r="E18" s="120">
        <v>0</v>
      </c>
      <c r="F18" s="16">
        <v>0</v>
      </c>
      <c r="G18" s="17">
        <v>0</v>
      </c>
      <c r="H18" s="18"/>
      <c r="I18" s="162" t="s">
        <v>77</v>
      </c>
      <c r="J18" s="163"/>
      <c r="K18" s="29">
        <v>2</v>
      </c>
      <c r="L18" s="29">
        <v>2</v>
      </c>
      <c r="M18" s="29">
        <v>3</v>
      </c>
      <c r="N18" s="30">
        <v>3</v>
      </c>
    </row>
    <row r="19" spans="1:14" ht="16" thickBot="1">
      <c r="A19" s="135" t="s">
        <v>78</v>
      </c>
      <c r="B19" s="136"/>
      <c r="C19" s="16">
        <v>-1</v>
      </c>
      <c r="D19" s="122">
        <v>-1</v>
      </c>
      <c r="E19" s="120">
        <v>-1</v>
      </c>
      <c r="F19" s="16">
        <v>-1</v>
      </c>
      <c r="G19" s="17">
        <v>-1</v>
      </c>
      <c r="H19" s="18"/>
      <c r="I19" s="164" t="s">
        <v>79</v>
      </c>
      <c r="J19" s="165"/>
      <c r="K19" s="31">
        <v>2</v>
      </c>
      <c r="L19" s="31">
        <v>3</v>
      </c>
      <c r="M19" s="31">
        <v>3</v>
      </c>
      <c r="N19" s="32">
        <v>4</v>
      </c>
    </row>
    <row r="20" spans="1:14" ht="16" thickBot="1">
      <c r="A20" s="135" t="s">
        <v>80</v>
      </c>
      <c r="B20" s="136"/>
      <c r="C20" s="16">
        <v>-2</v>
      </c>
      <c r="D20" s="122">
        <v>-2</v>
      </c>
      <c r="E20" s="120">
        <v>-2</v>
      </c>
      <c r="F20" s="16">
        <v>-2</v>
      </c>
      <c r="G20" s="17">
        <v>-2</v>
      </c>
      <c r="H20" s="18"/>
      <c r="I20" t="s">
        <v>81</v>
      </c>
    </row>
    <row r="21" spans="1:14">
      <c r="A21" s="135" t="s">
        <v>82</v>
      </c>
      <c r="B21" s="136"/>
      <c r="C21" s="16">
        <v>-3</v>
      </c>
      <c r="D21" s="122">
        <v>-3</v>
      </c>
      <c r="E21" s="120">
        <v>-3</v>
      </c>
      <c r="F21" s="16">
        <v>-3</v>
      </c>
      <c r="G21" s="17">
        <v>-3</v>
      </c>
      <c r="H21" s="18"/>
      <c r="I21" s="33" t="s">
        <v>83</v>
      </c>
      <c r="J21" s="34" t="s">
        <v>84</v>
      </c>
      <c r="K21" s="35"/>
    </row>
    <row r="22" spans="1:14">
      <c r="A22" s="135" t="s">
        <v>85</v>
      </c>
      <c r="B22" s="136"/>
      <c r="C22" s="16">
        <v>-4</v>
      </c>
      <c r="D22" s="122">
        <v>-4</v>
      </c>
      <c r="E22" s="120">
        <v>-4</v>
      </c>
      <c r="F22" s="16">
        <v>-4</v>
      </c>
      <c r="G22" s="17">
        <v>-4</v>
      </c>
      <c r="H22" s="18"/>
      <c r="I22" s="36" t="s">
        <v>86</v>
      </c>
      <c r="J22" s="37">
        <v>1</v>
      </c>
      <c r="K22" s="38"/>
    </row>
    <row r="23" spans="1:14" ht="16" thickBot="1">
      <c r="A23" s="156" t="s">
        <v>87</v>
      </c>
      <c r="B23" s="166"/>
      <c r="C23" s="39">
        <v>-5</v>
      </c>
      <c r="D23" s="123">
        <v>-5</v>
      </c>
      <c r="E23" s="121">
        <v>-5</v>
      </c>
      <c r="F23" s="39">
        <v>-5</v>
      </c>
      <c r="G23" s="40">
        <v>-5</v>
      </c>
      <c r="H23" s="18"/>
      <c r="I23" s="36" t="s">
        <v>88</v>
      </c>
      <c r="J23" s="37">
        <f>4/6</f>
        <v>0.66666666666666663</v>
      </c>
      <c r="K23" s="38"/>
    </row>
    <row r="24" spans="1:14">
      <c r="H24" s="18"/>
      <c r="I24" s="36" t="s">
        <v>89</v>
      </c>
      <c r="J24" s="37">
        <f>3/6</f>
        <v>0.5</v>
      </c>
      <c r="K24" s="38"/>
    </row>
    <row r="25" spans="1:14">
      <c r="H25" s="18"/>
      <c r="I25" s="36" t="s">
        <v>90</v>
      </c>
      <c r="J25" s="37">
        <f>2/6</f>
        <v>0.33333333333333331</v>
      </c>
      <c r="K25" s="38"/>
    </row>
    <row r="26" spans="1:14">
      <c r="H26" s="18"/>
      <c r="I26" s="36" t="s">
        <v>91</v>
      </c>
      <c r="J26" s="37">
        <f>1/6</f>
        <v>0.16666666666666666</v>
      </c>
      <c r="K26" s="38"/>
    </row>
    <row r="27" spans="1:14" ht="16" thickBot="1">
      <c r="I27" s="41" t="s">
        <v>92</v>
      </c>
      <c r="J27" s="42">
        <v>0</v>
      </c>
      <c r="K27" s="38"/>
    </row>
    <row r="28" spans="1:14">
      <c r="I28" t="s">
        <v>93</v>
      </c>
    </row>
  </sheetData>
  <mergeCells count="41">
    <mergeCell ref="A20:B20"/>
    <mergeCell ref="A21:B21"/>
    <mergeCell ref="A22:B22"/>
    <mergeCell ref="A23:B23"/>
    <mergeCell ref="A17:B17"/>
    <mergeCell ref="I17:J17"/>
    <mergeCell ref="A18:B18"/>
    <mergeCell ref="I18:J18"/>
    <mergeCell ref="A19:B19"/>
    <mergeCell ref="I19:J19"/>
    <mergeCell ref="K14:K15"/>
    <mergeCell ref="L14:L15"/>
    <mergeCell ref="M14:M15"/>
    <mergeCell ref="N14:N15"/>
    <mergeCell ref="A15:B15"/>
    <mergeCell ref="A16:B16"/>
    <mergeCell ref="I16:J16"/>
    <mergeCell ref="A11:B11"/>
    <mergeCell ref="I11:J11"/>
    <mergeCell ref="A12:B12"/>
    <mergeCell ref="I12:J12"/>
    <mergeCell ref="A13:B13"/>
    <mergeCell ref="A14:B14"/>
    <mergeCell ref="N7:N8"/>
    <mergeCell ref="A8:B8"/>
    <mergeCell ref="A9:B9"/>
    <mergeCell ref="I9:J9"/>
    <mergeCell ref="A10:B10"/>
    <mergeCell ref="I10:J10"/>
    <mergeCell ref="M7:M8"/>
    <mergeCell ref="A5:B5"/>
    <mergeCell ref="A6:B6"/>
    <mergeCell ref="A7:B7"/>
    <mergeCell ref="K7:K8"/>
    <mergeCell ref="L7:L8"/>
    <mergeCell ref="A4:B4"/>
    <mergeCell ref="C1:C2"/>
    <mergeCell ref="D1:D2"/>
    <mergeCell ref="F1:F2"/>
    <mergeCell ref="G1:G2"/>
    <mergeCell ref="A3:B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3"/>
  <sheetViews>
    <sheetView tabSelected="1" topLeftCell="A49" zoomScaleNormal="100" zoomScalePageLayoutView="125" workbookViewId="0">
      <selection activeCell="H27" sqref="A27:XFD27"/>
    </sheetView>
  </sheetViews>
  <sheetFormatPr defaultColWidth="15" defaultRowHeight="15.5"/>
  <cols>
    <col min="1" max="1" width="1.6640625" style="4" customWidth="1"/>
    <col min="2" max="2" width="17" style="4" customWidth="1"/>
    <col min="3" max="3" width="6.75" style="4" customWidth="1"/>
    <col min="4" max="4" width="18.6640625" style="4" customWidth="1"/>
    <col min="5" max="5" width="16" style="4" customWidth="1"/>
    <col min="6" max="6" width="18" style="4" customWidth="1"/>
    <col min="7" max="8" width="15.6640625" style="4" customWidth="1"/>
    <col min="9" max="9" width="11.6640625" customWidth="1"/>
    <col min="14" max="17" width="0" hidden="1" customWidth="1"/>
    <col min="19" max="20" width="0" hidden="1" customWidth="1"/>
  </cols>
  <sheetData>
    <row r="1" spans="2:23" customFormat="1" ht="28.5" customHeight="1">
      <c r="B1" s="185" t="s">
        <v>98</v>
      </c>
      <c r="C1" s="185" t="s">
        <v>99</v>
      </c>
      <c r="D1" s="189" t="s">
        <v>100</v>
      </c>
      <c r="E1" s="189" t="s">
        <v>101</v>
      </c>
      <c r="F1" s="185" t="s">
        <v>102</v>
      </c>
      <c r="G1" s="185"/>
      <c r="H1" s="185"/>
      <c r="I1" s="197" t="s">
        <v>103</v>
      </c>
      <c r="J1" s="187" t="s">
        <v>104</v>
      </c>
      <c r="K1" s="187" t="s">
        <v>105</v>
      </c>
      <c r="L1" s="187"/>
      <c r="M1" s="187"/>
      <c r="N1" s="187" t="s">
        <v>106</v>
      </c>
      <c r="O1" s="187" t="s">
        <v>107</v>
      </c>
      <c r="P1" s="187" t="s">
        <v>108</v>
      </c>
      <c r="Q1" s="187" t="s">
        <v>109</v>
      </c>
      <c r="R1" s="195" t="s">
        <v>110</v>
      </c>
      <c r="S1" s="187" t="s">
        <v>111</v>
      </c>
      <c r="T1" s="187" t="s">
        <v>112</v>
      </c>
      <c r="U1" s="191" t="s">
        <v>113</v>
      </c>
      <c r="V1" s="193" t="s">
        <v>114</v>
      </c>
    </row>
    <row r="2" spans="2:23" customFormat="1" ht="14.25" customHeight="1">
      <c r="B2" s="185"/>
      <c r="C2" s="185"/>
      <c r="D2" s="189"/>
      <c r="E2" s="189"/>
      <c r="F2" s="185" t="s">
        <v>115</v>
      </c>
      <c r="G2" s="189" t="s">
        <v>116</v>
      </c>
      <c r="H2" s="189" t="s">
        <v>117</v>
      </c>
      <c r="I2" s="198"/>
      <c r="J2" s="187"/>
      <c r="K2" s="187" t="s">
        <v>118</v>
      </c>
      <c r="L2" s="187" t="s">
        <v>119</v>
      </c>
      <c r="M2" s="187" t="s">
        <v>120</v>
      </c>
      <c r="N2" s="187"/>
      <c r="O2" s="187"/>
      <c r="P2" s="187"/>
      <c r="Q2" s="187"/>
      <c r="R2" s="195"/>
      <c r="S2" s="187"/>
      <c r="T2" s="187"/>
      <c r="U2" s="191"/>
      <c r="V2" s="193"/>
    </row>
    <row r="3" spans="2:23" customFormat="1" ht="33.75" customHeight="1" thickBot="1">
      <c r="B3" s="186"/>
      <c r="C3" s="186"/>
      <c r="D3" s="190"/>
      <c r="E3" s="190"/>
      <c r="F3" s="186"/>
      <c r="G3" s="190"/>
      <c r="H3" s="190"/>
      <c r="I3" s="199"/>
      <c r="J3" s="188"/>
      <c r="K3" s="188"/>
      <c r="L3" s="188"/>
      <c r="M3" s="188"/>
      <c r="N3" s="188"/>
      <c r="O3" s="188"/>
      <c r="P3" s="188"/>
      <c r="Q3" s="188"/>
      <c r="R3" s="196"/>
      <c r="S3" s="188"/>
      <c r="T3" s="188"/>
      <c r="U3" s="192"/>
      <c r="V3" s="194"/>
    </row>
    <row r="4" spans="2:23" customFormat="1" ht="14.25" customHeight="1">
      <c r="B4" s="179" t="s">
        <v>121</v>
      </c>
      <c r="C4" s="45" t="s">
        <v>122</v>
      </c>
      <c r="D4" s="46">
        <v>5250000</v>
      </c>
      <c r="E4" s="170">
        <v>5250000</v>
      </c>
      <c r="F4" s="47">
        <f>+IF(H4&lt;1446000,H4,1446000)</f>
        <v>0</v>
      </c>
      <c r="G4" s="47">
        <f>+H4-F4</f>
        <v>0</v>
      </c>
      <c r="H4" s="47">
        <v>0</v>
      </c>
      <c r="I4" s="48"/>
      <c r="J4" s="49">
        <f>IF(I4="",9000000,9000000+(I4*3600000))</f>
        <v>9000000</v>
      </c>
      <c r="K4" s="50">
        <f>$E$4*0.08</f>
        <v>420000</v>
      </c>
      <c r="L4" s="51">
        <f>$E$4*0.015</f>
        <v>78750</v>
      </c>
      <c r="M4" s="50">
        <f>$E$4*0.01</f>
        <v>52500</v>
      </c>
      <c r="N4" s="52">
        <f>IF(D4-J4-F4&lt;0,0,D4-J4-F4)</f>
        <v>0</v>
      </c>
      <c r="O4" s="53">
        <f t="shared" ref="O4:O63" si="0">IF(N4&lt;0,0,IF(N4&lt;4750000,N4/0.95,IF(OR(N4=4750000,N4&lt;9250000),(N4-250000)/0.9,IF(OR(N4=9250000,N4&lt;16050000),(N4-750000)/0.85,IF(OR(N4=16050000,N4&lt;27250000),(N4-1650000)/0.8,IF(OR(N4=27250000,N4&lt;42250000),(N4-3250000)/0.75,IF(OR(N4=42250000,N4&lt;61850000),(N4-5850000)/0.7,IF(N4&gt;61850000,(N4-9850000)/0.65))))))))</f>
        <v>0</v>
      </c>
      <c r="P4" s="53">
        <f>O4+J4</f>
        <v>9000000</v>
      </c>
      <c r="Q4" s="54">
        <f t="shared" ref="Q4:Q63" si="1">15%*P4</f>
        <v>1350000</v>
      </c>
      <c r="R4" s="55">
        <v>0</v>
      </c>
      <c r="S4" s="54">
        <f>N4+MIN(Q4,R4)</f>
        <v>0</v>
      </c>
      <c r="T4" s="54">
        <f t="shared" ref="T4:T63" si="2">(IF(S4&lt;=0,0,IF(S4&lt;=4750000, S4/0.95,IF(S4&lt;=9250000,(S4-250000)/0.9,IF(S4&lt;=16500000,(S4-750000)/0.85,IF(S4&lt;=27250000,(S4-1650000)/0.8,IF(S4&lt;=42250000,(S4-3250000)/0.75,IF(S4&lt;=61850000,(S4-5850000)/0.7,IF(S4&gt;61850000,(S4-9850000)/0.65)))))))))</f>
        <v>0</v>
      </c>
      <c r="U4" s="50">
        <f>ROUND(IF(T4&lt;=5000000,T4*0.05,IF(T4&lt;=10000000,250000+(T4-5000000)*0.1,IF(T4&lt;=18000000,750000+(T4-10000000)*0.15,IF(T4&lt;=32000000,1950000+(T4-18000000)*0.2,IF(T4&lt;=52000000,4750000+(T4-32000000)*0.25,IF(T4&lt;=80000000,9750000+(T4-52000000)*0.3,18150000+(T4-80000000)*0.35)))))),0)</f>
        <v>0</v>
      </c>
      <c r="V4" s="46">
        <f>D4+U4+K4+L4+M4+MIN(Q4,R4)</f>
        <v>5801250</v>
      </c>
      <c r="W4" s="1"/>
    </row>
    <row r="5" spans="2:23" customFormat="1">
      <c r="B5" s="180"/>
      <c r="C5" s="6" t="s">
        <v>123</v>
      </c>
      <c r="D5" s="56">
        <f>D4+315000</f>
        <v>5565000</v>
      </c>
      <c r="E5" s="171"/>
      <c r="F5" s="57">
        <f t="shared" ref="F5:F63" si="3">+IF(H5&lt;1446000,H5,1446000)</f>
        <v>315000</v>
      </c>
      <c r="G5" s="57">
        <f t="shared" ref="G5:G63" si="4">+H5-F5</f>
        <v>0</v>
      </c>
      <c r="H5" s="7">
        <f>+D5-$E$4</f>
        <v>315000</v>
      </c>
      <c r="I5" s="29"/>
      <c r="J5" s="58">
        <f t="shared" ref="J5:J63" si="5">IF(I5="",9000000,9000000+(I5*3600000))</f>
        <v>9000000</v>
      </c>
      <c r="K5" s="59">
        <f t="shared" ref="K5:K13" si="6">$E$4*0.08</f>
        <v>420000</v>
      </c>
      <c r="L5" s="60">
        <f t="shared" ref="L5:L13" si="7">$E$4*0.015</f>
        <v>78750</v>
      </c>
      <c r="M5" s="59">
        <f t="shared" ref="M5:M13" si="8">$E$4*0.01</f>
        <v>52500</v>
      </c>
      <c r="N5" s="61">
        <f t="shared" ref="N5:N47" si="9">IF(D5-J5-F5&lt;0,0,D5-J5-F5)</f>
        <v>0</v>
      </c>
      <c r="O5" s="62">
        <f t="shared" si="0"/>
        <v>0</v>
      </c>
      <c r="P5" s="62">
        <f t="shared" ref="P5:P47" si="10">O5+J5</f>
        <v>9000000</v>
      </c>
      <c r="Q5" s="63">
        <f t="shared" si="1"/>
        <v>1350000</v>
      </c>
      <c r="R5" s="64">
        <v>0</v>
      </c>
      <c r="S5" s="63">
        <f t="shared" ref="S5:S47" si="11">N5+MIN(Q5,R5)</f>
        <v>0</v>
      </c>
      <c r="T5" s="63">
        <f t="shared" si="2"/>
        <v>0</v>
      </c>
      <c r="U5" s="59">
        <f t="shared" ref="U5:U63" si="12">ROUND(IF(T5&lt;=5000000,T5*0.05,IF(T5&lt;=10000000,250000+(T5-5000000)*0.1,IF(T5&lt;=18000000,750000+(T5-10000000)*0.15,IF(T5&lt;=32000000,1950000+(T5-18000000)*0.2,IF(T5&lt;=52000000,4750000+(T5-32000000)*0.25,IF(T5&lt;=80000000,9750000+(T5-52000000)*0.3,18150000+(T5-80000000)*0.35)))))),0)</f>
        <v>0</v>
      </c>
      <c r="V5" s="56">
        <f t="shared" ref="V5:V47" si="13">D5+U5+K5+L5+M5+MIN(Q5,R5)</f>
        <v>6116250</v>
      </c>
    </row>
    <row r="6" spans="2:23" customFormat="1">
      <c r="B6" s="180"/>
      <c r="C6" s="6" t="s">
        <v>124</v>
      </c>
      <c r="D6" s="65">
        <v>5880000</v>
      </c>
      <c r="E6" s="171"/>
      <c r="F6" s="57">
        <f t="shared" si="3"/>
        <v>630000</v>
      </c>
      <c r="G6" s="57">
        <f t="shared" si="4"/>
        <v>0</v>
      </c>
      <c r="H6" s="7">
        <f t="shared" ref="H6:H11" si="14">+D6-$E$4</f>
        <v>630000</v>
      </c>
      <c r="I6" s="29"/>
      <c r="J6" s="58">
        <f t="shared" si="5"/>
        <v>9000000</v>
      </c>
      <c r="K6" s="59">
        <f t="shared" si="6"/>
        <v>420000</v>
      </c>
      <c r="L6" s="60">
        <f t="shared" si="7"/>
        <v>78750</v>
      </c>
      <c r="M6" s="59">
        <f t="shared" si="8"/>
        <v>52500</v>
      </c>
      <c r="N6" s="61">
        <f t="shared" si="9"/>
        <v>0</v>
      </c>
      <c r="O6" s="62">
        <f t="shared" si="0"/>
        <v>0</v>
      </c>
      <c r="P6" s="62">
        <f t="shared" si="10"/>
        <v>9000000</v>
      </c>
      <c r="Q6" s="63">
        <f t="shared" si="1"/>
        <v>1350000</v>
      </c>
      <c r="R6" s="64">
        <v>0</v>
      </c>
      <c r="S6" s="63">
        <f t="shared" si="11"/>
        <v>0</v>
      </c>
      <c r="T6" s="63">
        <f t="shared" si="2"/>
        <v>0</v>
      </c>
      <c r="U6" s="59">
        <f t="shared" si="12"/>
        <v>0</v>
      </c>
      <c r="V6" s="65">
        <f t="shared" si="13"/>
        <v>6431250</v>
      </c>
    </row>
    <row r="7" spans="2:23" customFormat="1">
      <c r="B7" s="180"/>
      <c r="C7" s="6" t="s">
        <v>125</v>
      </c>
      <c r="D7" s="56">
        <f>D6+315000</f>
        <v>6195000</v>
      </c>
      <c r="E7" s="171"/>
      <c r="F7" s="57">
        <f t="shared" si="3"/>
        <v>945000</v>
      </c>
      <c r="G7" s="57">
        <f t="shared" si="4"/>
        <v>0</v>
      </c>
      <c r="H7" s="7">
        <f t="shared" si="14"/>
        <v>945000</v>
      </c>
      <c r="I7" s="29"/>
      <c r="J7" s="58">
        <f t="shared" si="5"/>
        <v>9000000</v>
      </c>
      <c r="K7" s="59">
        <f t="shared" si="6"/>
        <v>420000</v>
      </c>
      <c r="L7" s="60">
        <f t="shared" si="7"/>
        <v>78750</v>
      </c>
      <c r="M7" s="59">
        <f t="shared" si="8"/>
        <v>52500</v>
      </c>
      <c r="N7" s="61">
        <f t="shared" si="9"/>
        <v>0</v>
      </c>
      <c r="O7" s="62">
        <f t="shared" si="0"/>
        <v>0</v>
      </c>
      <c r="P7" s="62">
        <f t="shared" si="10"/>
        <v>9000000</v>
      </c>
      <c r="Q7" s="63">
        <f t="shared" si="1"/>
        <v>1350000</v>
      </c>
      <c r="R7" s="64">
        <v>0</v>
      </c>
      <c r="S7" s="63">
        <f t="shared" si="11"/>
        <v>0</v>
      </c>
      <c r="T7" s="63">
        <f t="shared" si="2"/>
        <v>0</v>
      </c>
      <c r="U7" s="59">
        <f t="shared" si="12"/>
        <v>0</v>
      </c>
      <c r="V7" s="56">
        <f t="shared" si="13"/>
        <v>6746250</v>
      </c>
    </row>
    <row r="8" spans="2:23" customFormat="1">
      <c r="B8" s="180"/>
      <c r="C8" s="6" t="s">
        <v>126</v>
      </c>
      <c r="D8" s="65">
        <v>6510000</v>
      </c>
      <c r="E8" s="171"/>
      <c r="F8" s="57">
        <f t="shared" si="3"/>
        <v>1260000</v>
      </c>
      <c r="G8" s="57">
        <f t="shared" si="4"/>
        <v>0</v>
      </c>
      <c r="H8" s="7">
        <f>+D8-$E$4</f>
        <v>1260000</v>
      </c>
      <c r="I8" s="29"/>
      <c r="J8" s="58">
        <f t="shared" si="5"/>
        <v>9000000</v>
      </c>
      <c r="K8" s="59">
        <f t="shared" si="6"/>
        <v>420000</v>
      </c>
      <c r="L8" s="60">
        <f t="shared" si="7"/>
        <v>78750</v>
      </c>
      <c r="M8" s="59">
        <f t="shared" si="8"/>
        <v>52500</v>
      </c>
      <c r="N8" s="61">
        <f t="shared" si="9"/>
        <v>0</v>
      </c>
      <c r="O8" s="62">
        <f t="shared" si="0"/>
        <v>0</v>
      </c>
      <c r="P8" s="62">
        <f t="shared" si="10"/>
        <v>9000000</v>
      </c>
      <c r="Q8" s="63">
        <f t="shared" si="1"/>
        <v>1350000</v>
      </c>
      <c r="R8" s="64">
        <v>0</v>
      </c>
      <c r="S8" s="63">
        <f t="shared" si="11"/>
        <v>0</v>
      </c>
      <c r="T8" s="63">
        <f t="shared" si="2"/>
        <v>0</v>
      </c>
      <c r="U8" s="59">
        <f t="shared" si="12"/>
        <v>0</v>
      </c>
      <c r="V8" s="65">
        <f t="shared" si="13"/>
        <v>7061250</v>
      </c>
    </row>
    <row r="9" spans="2:23" customFormat="1">
      <c r="B9" s="180"/>
      <c r="C9" s="6" t="s">
        <v>127</v>
      </c>
      <c r="D9" s="56">
        <f>D8+315000</f>
        <v>6825000</v>
      </c>
      <c r="E9" s="171"/>
      <c r="F9" s="57">
        <f t="shared" si="3"/>
        <v>1446000</v>
      </c>
      <c r="G9" s="57">
        <f t="shared" si="4"/>
        <v>129000</v>
      </c>
      <c r="H9" s="7">
        <f t="shared" si="14"/>
        <v>1575000</v>
      </c>
      <c r="I9" s="29"/>
      <c r="J9" s="58">
        <f t="shared" si="5"/>
        <v>9000000</v>
      </c>
      <c r="K9" s="59">
        <f t="shared" si="6"/>
        <v>420000</v>
      </c>
      <c r="L9" s="60">
        <f t="shared" si="7"/>
        <v>78750</v>
      </c>
      <c r="M9" s="59">
        <f t="shared" si="8"/>
        <v>52500</v>
      </c>
      <c r="N9" s="61">
        <f t="shared" si="9"/>
        <v>0</v>
      </c>
      <c r="O9" s="62">
        <f t="shared" si="0"/>
        <v>0</v>
      </c>
      <c r="P9" s="62">
        <f t="shared" si="10"/>
        <v>9000000</v>
      </c>
      <c r="Q9" s="63">
        <f t="shared" si="1"/>
        <v>1350000</v>
      </c>
      <c r="R9" s="64">
        <v>0</v>
      </c>
      <c r="S9" s="63">
        <f t="shared" si="11"/>
        <v>0</v>
      </c>
      <c r="T9" s="63">
        <f t="shared" si="2"/>
        <v>0</v>
      </c>
      <c r="U9" s="59">
        <f t="shared" si="12"/>
        <v>0</v>
      </c>
      <c r="V9" s="56">
        <f t="shared" si="13"/>
        <v>7376250</v>
      </c>
    </row>
    <row r="10" spans="2:23" customFormat="1">
      <c r="B10" s="180"/>
      <c r="C10" s="6" t="s">
        <v>128</v>
      </c>
      <c r="D10" s="65">
        <v>7140000</v>
      </c>
      <c r="E10" s="171"/>
      <c r="F10" s="57">
        <f t="shared" si="3"/>
        <v>1446000</v>
      </c>
      <c r="G10" s="57">
        <f t="shared" si="4"/>
        <v>444000</v>
      </c>
      <c r="H10" s="7">
        <f>+D10-$E$4</f>
        <v>1890000</v>
      </c>
      <c r="I10" s="29"/>
      <c r="J10" s="58">
        <f t="shared" si="5"/>
        <v>9000000</v>
      </c>
      <c r="K10" s="59">
        <f t="shared" si="6"/>
        <v>420000</v>
      </c>
      <c r="L10" s="60">
        <f t="shared" si="7"/>
        <v>78750</v>
      </c>
      <c r="M10" s="59">
        <f t="shared" si="8"/>
        <v>52500</v>
      </c>
      <c r="N10" s="61">
        <f t="shared" si="9"/>
        <v>0</v>
      </c>
      <c r="O10" s="62">
        <f t="shared" si="0"/>
        <v>0</v>
      </c>
      <c r="P10" s="62">
        <f t="shared" si="10"/>
        <v>9000000</v>
      </c>
      <c r="Q10" s="63">
        <f t="shared" si="1"/>
        <v>1350000</v>
      </c>
      <c r="R10" s="64">
        <v>0</v>
      </c>
      <c r="S10" s="63">
        <f t="shared" si="11"/>
        <v>0</v>
      </c>
      <c r="T10" s="63">
        <f t="shared" si="2"/>
        <v>0</v>
      </c>
      <c r="U10" s="59">
        <f t="shared" si="12"/>
        <v>0</v>
      </c>
      <c r="V10" s="65">
        <f t="shared" si="13"/>
        <v>7691250</v>
      </c>
    </row>
    <row r="11" spans="2:23" customFormat="1">
      <c r="B11" s="180"/>
      <c r="C11" s="6" t="s">
        <v>129</v>
      </c>
      <c r="D11" s="56">
        <f>D10+315000</f>
        <v>7455000</v>
      </c>
      <c r="E11" s="171"/>
      <c r="F11" s="57">
        <f t="shared" si="3"/>
        <v>1446000</v>
      </c>
      <c r="G11" s="57">
        <f t="shared" si="4"/>
        <v>759000</v>
      </c>
      <c r="H11" s="7">
        <f t="shared" si="14"/>
        <v>2205000</v>
      </c>
      <c r="I11" s="29"/>
      <c r="J11" s="58">
        <f t="shared" si="5"/>
        <v>9000000</v>
      </c>
      <c r="K11" s="59">
        <f t="shared" si="6"/>
        <v>420000</v>
      </c>
      <c r="L11" s="60">
        <f t="shared" si="7"/>
        <v>78750</v>
      </c>
      <c r="M11" s="59">
        <f t="shared" si="8"/>
        <v>52500</v>
      </c>
      <c r="N11" s="61">
        <f t="shared" si="9"/>
        <v>0</v>
      </c>
      <c r="O11" s="62">
        <f t="shared" si="0"/>
        <v>0</v>
      </c>
      <c r="P11" s="62">
        <f t="shared" si="10"/>
        <v>9000000</v>
      </c>
      <c r="Q11" s="63">
        <f t="shared" si="1"/>
        <v>1350000</v>
      </c>
      <c r="R11" s="64">
        <v>0</v>
      </c>
      <c r="S11" s="63">
        <f t="shared" si="11"/>
        <v>0</v>
      </c>
      <c r="T11" s="63">
        <f t="shared" si="2"/>
        <v>0</v>
      </c>
      <c r="U11" s="59">
        <f t="shared" si="12"/>
        <v>0</v>
      </c>
      <c r="V11" s="56">
        <f t="shared" si="13"/>
        <v>8006250</v>
      </c>
    </row>
    <row r="12" spans="2:23" customFormat="1">
      <c r="B12" s="180"/>
      <c r="C12" s="6" t="s">
        <v>130</v>
      </c>
      <c r="D12" s="65">
        <v>7770000</v>
      </c>
      <c r="E12" s="171"/>
      <c r="F12" s="57">
        <f t="shared" si="3"/>
        <v>1446000</v>
      </c>
      <c r="G12" s="57">
        <f t="shared" si="4"/>
        <v>1074000</v>
      </c>
      <c r="H12" s="7">
        <f>+D12-$E$4</f>
        <v>2520000</v>
      </c>
      <c r="I12" s="29"/>
      <c r="J12" s="58">
        <f t="shared" si="5"/>
        <v>9000000</v>
      </c>
      <c r="K12" s="59">
        <f t="shared" si="6"/>
        <v>420000</v>
      </c>
      <c r="L12" s="60">
        <f t="shared" si="7"/>
        <v>78750</v>
      </c>
      <c r="M12" s="59">
        <f t="shared" si="8"/>
        <v>52500</v>
      </c>
      <c r="N12" s="61">
        <f t="shared" si="9"/>
        <v>0</v>
      </c>
      <c r="O12" s="62">
        <f t="shared" si="0"/>
        <v>0</v>
      </c>
      <c r="P12" s="62">
        <f t="shared" si="10"/>
        <v>9000000</v>
      </c>
      <c r="Q12" s="63">
        <f t="shared" si="1"/>
        <v>1350000</v>
      </c>
      <c r="R12" s="64">
        <v>0</v>
      </c>
      <c r="S12" s="63">
        <f t="shared" si="11"/>
        <v>0</v>
      </c>
      <c r="T12" s="63">
        <f t="shared" si="2"/>
        <v>0</v>
      </c>
      <c r="U12" s="59">
        <f t="shared" si="12"/>
        <v>0</v>
      </c>
      <c r="V12" s="65">
        <f t="shared" si="13"/>
        <v>8321250</v>
      </c>
    </row>
    <row r="13" spans="2:23" customFormat="1" ht="16" thickBot="1">
      <c r="B13" s="181"/>
      <c r="C13" s="9" t="s">
        <v>25</v>
      </c>
      <c r="D13" s="66">
        <f>+D12+315000</f>
        <v>8085000</v>
      </c>
      <c r="E13" s="172"/>
      <c r="F13" s="67">
        <f t="shared" si="3"/>
        <v>1446000</v>
      </c>
      <c r="G13" s="67">
        <f t="shared" si="4"/>
        <v>1389000</v>
      </c>
      <c r="H13" s="68">
        <f>+D13-$E$4</f>
        <v>2835000</v>
      </c>
      <c r="I13" s="31"/>
      <c r="J13" s="69">
        <f t="shared" si="5"/>
        <v>9000000</v>
      </c>
      <c r="K13" s="70">
        <f t="shared" si="6"/>
        <v>420000</v>
      </c>
      <c r="L13" s="71">
        <f t="shared" si="7"/>
        <v>78750</v>
      </c>
      <c r="M13" s="70">
        <f t="shared" si="8"/>
        <v>52500</v>
      </c>
      <c r="N13" s="72">
        <f t="shared" si="9"/>
        <v>0</v>
      </c>
      <c r="O13" s="73">
        <f t="shared" si="0"/>
        <v>0</v>
      </c>
      <c r="P13" s="73">
        <f t="shared" si="10"/>
        <v>9000000</v>
      </c>
      <c r="Q13" s="74">
        <f t="shared" si="1"/>
        <v>1350000</v>
      </c>
      <c r="R13" s="75">
        <v>0</v>
      </c>
      <c r="S13" s="74">
        <f t="shared" si="11"/>
        <v>0</v>
      </c>
      <c r="T13" s="74">
        <f t="shared" si="2"/>
        <v>0</v>
      </c>
      <c r="U13" s="70">
        <f t="shared" si="12"/>
        <v>0</v>
      </c>
      <c r="V13" s="66">
        <f t="shared" si="13"/>
        <v>8636250</v>
      </c>
    </row>
    <row r="14" spans="2:23" customFormat="1">
      <c r="B14" s="182" t="s">
        <v>131</v>
      </c>
      <c r="C14" s="97" t="s">
        <v>132</v>
      </c>
      <c r="D14" s="46">
        <v>8400000</v>
      </c>
      <c r="E14" s="170">
        <v>8400000</v>
      </c>
      <c r="F14" s="47">
        <f t="shared" si="3"/>
        <v>0</v>
      </c>
      <c r="G14" s="47">
        <f t="shared" si="4"/>
        <v>0</v>
      </c>
      <c r="H14" s="47">
        <f t="shared" ref="H14:H23" si="15">+D14-$E$14</f>
        <v>0</v>
      </c>
      <c r="I14" s="48"/>
      <c r="J14" s="49">
        <f t="shared" si="5"/>
        <v>9000000</v>
      </c>
      <c r="K14" s="50">
        <f>$E$14*0.08</f>
        <v>672000</v>
      </c>
      <c r="L14" s="51">
        <f>$E$14*0.015</f>
        <v>126000</v>
      </c>
      <c r="M14" s="50">
        <f>$E$14*0.01</f>
        <v>84000</v>
      </c>
      <c r="N14" s="52">
        <f t="shared" si="9"/>
        <v>0</v>
      </c>
      <c r="O14" s="53">
        <f t="shared" si="0"/>
        <v>0</v>
      </c>
      <c r="P14" s="53">
        <f t="shared" si="10"/>
        <v>9000000</v>
      </c>
      <c r="Q14" s="54">
        <f t="shared" si="1"/>
        <v>1350000</v>
      </c>
      <c r="R14" s="55">
        <v>0</v>
      </c>
      <c r="S14" s="54">
        <f t="shared" si="11"/>
        <v>0</v>
      </c>
      <c r="T14" s="54">
        <f t="shared" si="2"/>
        <v>0</v>
      </c>
      <c r="U14" s="50">
        <f t="shared" si="12"/>
        <v>0</v>
      </c>
      <c r="V14" s="46">
        <f t="shared" si="13"/>
        <v>9282000</v>
      </c>
    </row>
    <row r="15" spans="2:23" customFormat="1">
      <c r="B15" s="183"/>
      <c r="C15" s="8" t="s">
        <v>123</v>
      </c>
      <c r="D15" s="76">
        <f>D14+420000</f>
        <v>8820000</v>
      </c>
      <c r="E15" s="171"/>
      <c r="F15" s="57">
        <f t="shared" si="3"/>
        <v>420000</v>
      </c>
      <c r="G15" s="57">
        <f t="shared" si="4"/>
        <v>0</v>
      </c>
      <c r="H15" s="57">
        <f t="shared" si="15"/>
        <v>420000</v>
      </c>
      <c r="I15" s="29"/>
      <c r="J15" s="58">
        <f t="shared" si="5"/>
        <v>9000000</v>
      </c>
      <c r="K15" s="59">
        <f t="shared" ref="K15:K23" si="16">$E$14*0.08</f>
        <v>672000</v>
      </c>
      <c r="L15" s="60">
        <f t="shared" ref="L15:L23" si="17">$E$14*0.015</f>
        <v>126000</v>
      </c>
      <c r="M15" s="59">
        <f t="shared" ref="M15:M23" si="18">$E$14*0.01</f>
        <v>84000</v>
      </c>
      <c r="N15" s="61">
        <f t="shared" si="9"/>
        <v>0</v>
      </c>
      <c r="O15" s="62">
        <f t="shared" si="0"/>
        <v>0</v>
      </c>
      <c r="P15" s="62">
        <f t="shared" si="10"/>
        <v>9000000</v>
      </c>
      <c r="Q15" s="63">
        <f t="shared" si="1"/>
        <v>1350000</v>
      </c>
      <c r="R15" s="64">
        <v>0</v>
      </c>
      <c r="S15" s="63">
        <f t="shared" si="11"/>
        <v>0</v>
      </c>
      <c r="T15" s="63">
        <f t="shared" si="2"/>
        <v>0</v>
      </c>
      <c r="U15" s="59">
        <f t="shared" si="12"/>
        <v>0</v>
      </c>
      <c r="V15" s="76">
        <f t="shared" si="13"/>
        <v>9702000</v>
      </c>
    </row>
    <row r="16" spans="2:23" customFormat="1">
      <c r="B16" s="183"/>
      <c r="C16" s="8" t="s">
        <v>133</v>
      </c>
      <c r="D16" s="65">
        <v>9240000</v>
      </c>
      <c r="E16" s="171"/>
      <c r="F16" s="57">
        <f t="shared" si="3"/>
        <v>840000</v>
      </c>
      <c r="G16" s="57">
        <f t="shared" si="4"/>
        <v>0</v>
      </c>
      <c r="H16" s="57">
        <f t="shared" si="15"/>
        <v>840000</v>
      </c>
      <c r="I16" s="29"/>
      <c r="J16" s="58">
        <f t="shared" si="5"/>
        <v>9000000</v>
      </c>
      <c r="K16" s="59">
        <f t="shared" si="16"/>
        <v>672000</v>
      </c>
      <c r="L16" s="60">
        <f t="shared" si="17"/>
        <v>126000</v>
      </c>
      <c r="M16" s="59">
        <f t="shared" si="18"/>
        <v>84000</v>
      </c>
      <c r="N16" s="61">
        <f t="shared" si="9"/>
        <v>0</v>
      </c>
      <c r="O16" s="62">
        <f t="shared" si="0"/>
        <v>0</v>
      </c>
      <c r="P16" s="62">
        <f t="shared" si="10"/>
        <v>9000000</v>
      </c>
      <c r="Q16" s="63">
        <f t="shared" si="1"/>
        <v>1350000</v>
      </c>
      <c r="R16" s="64">
        <v>0</v>
      </c>
      <c r="S16" s="63">
        <f t="shared" si="11"/>
        <v>0</v>
      </c>
      <c r="T16" s="63">
        <f t="shared" si="2"/>
        <v>0</v>
      </c>
      <c r="U16" s="59">
        <f t="shared" si="12"/>
        <v>0</v>
      </c>
      <c r="V16" s="65">
        <f t="shared" si="13"/>
        <v>10122000</v>
      </c>
    </row>
    <row r="17" spans="2:23" customFormat="1">
      <c r="B17" s="183"/>
      <c r="C17" s="8" t="s">
        <v>125</v>
      </c>
      <c r="D17" s="76">
        <f>D16+420000</f>
        <v>9660000</v>
      </c>
      <c r="E17" s="171"/>
      <c r="F17" s="57">
        <f t="shared" si="3"/>
        <v>1260000</v>
      </c>
      <c r="G17" s="57">
        <f t="shared" si="4"/>
        <v>0</v>
      </c>
      <c r="H17" s="57">
        <f t="shared" si="15"/>
        <v>1260000</v>
      </c>
      <c r="I17" s="29"/>
      <c r="J17" s="58">
        <f t="shared" si="5"/>
        <v>9000000</v>
      </c>
      <c r="K17" s="59">
        <f t="shared" si="16"/>
        <v>672000</v>
      </c>
      <c r="L17" s="60">
        <f t="shared" si="17"/>
        <v>126000</v>
      </c>
      <c r="M17" s="59">
        <f t="shared" si="18"/>
        <v>84000</v>
      </c>
      <c r="N17" s="61">
        <f t="shared" si="9"/>
        <v>0</v>
      </c>
      <c r="O17" s="62">
        <f t="shared" si="0"/>
        <v>0</v>
      </c>
      <c r="P17" s="62">
        <f t="shared" si="10"/>
        <v>9000000</v>
      </c>
      <c r="Q17" s="63">
        <f t="shared" si="1"/>
        <v>1350000</v>
      </c>
      <c r="R17" s="64">
        <v>0</v>
      </c>
      <c r="S17" s="63">
        <f t="shared" si="11"/>
        <v>0</v>
      </c>
      <c r="T17" s="63">
        <f t="shared" si="2"/>
        <v>0</v>
      </c>
      <c r="U17" s="59">
        <f t="shared" si="12"/>
        <v>0</v>
      </c>
      <c r="V17" s="76">
        <f t="shared" si="13"/>
        <v>10542000</v>
      </c>
    </row>
    <row r="18" spans="2:23" customFormat="1">
      <c r="B18" s="183"/>
      <c r="C18" s="8" t="s">
        <v>126</v>
      </c>
      <c r="D18" s="65">
        <v>10080000</v>
      </c>
      <c r="E18" s="171"/>
      <c r="F18" s="57">
        <f t="shared" si="3"/>
        <v>1446000</v>
      </c>
      <c r="G18" s="57">
        <f t="shared" si="4"/>
        <v>234000</v>
      </c>
      <c r="H18" s="57">
        <f t="shared" si="15"/>
        <v>1680000</v>
      </c>
      <c r="I18" s="29"/>
      <c r="J18" s="58">
        <f t="shared" si="5"/>
        <v>9000000</v>
      </c>
      <c r="K18" s="59">
        <f t="shared" si="16"/>
        <v>672000</v>
      </c>
      <c r="L18" s="60">
        <f t="shared" si="17"/>
        <v>126000</v>
      </c>
      <c r="M18" s="59">
        <f t="shared" si="18"/>
        <v>84000</v>
      </c>
      <c r="N18" s="61">
        <f t="shared" si="9"/>
        <v>0</v>
      </c>
      <c r="O18" s="62">
        <f t="shared" si="0"/>
        <v>0</v>
      </c>
      <c r="P18" s="62">
        <f t="shared" si="10"/>
        <v>9000000</v>
      </c>
      <c r="Q18" s="63">
        <f t="shared" si="1"/>
        <v>1350000</v>
      </c>
      <c r="R18" s="64">
        <v>0</v>
      </c>
      <c r="S18" s="63">
        <f t="shared" si="11"/>
        <v>0</v>
      </c>
      <c r="T18" s="63">
        <f t="shared" si="2"/>
        <v>0</v>
      </c>
      <c r="U18" s="59">
        <f t="shared" si="12"/>
        <v>0</v>
      </c>
      <c r="V18" s="65">
        <f t="shared" si="13"/>
        <v>10962000</v>
      </c>
    </row>
    <row r="19" spans="2:23" customFormat="1">
      <c r="B19" s="183"/>
      <c r="C19" s="8" t="s">
        <v>127</v>
      </c>
      <c r="D19" s="76">
        <f>D18+420000</f>
        <v>10500000</v>
      </c>
      <c r="E19" s="171"/>
      <c r="F19" s="57">
        <f t="shared" si="3"/>
        <v>1446000</v>
      </c>
      <c r="G19" s="57">
        <f t="shared" si="4"/>
        <v>654000</v>
      </c>
      <c r="H19" s="57">
        <f t="shared" si="15"/>
        <v>2100000</v>
      </c>
      <c r="I19" s="29"/>
      <c r="J19" s="58">
        <f t="shared" si="5"/>
        <v>9000000</v>
      </c>
      <c r="K19" s="59">
        <f t="shared" si="16"/>
        <v>672000</v>
      </c>
      <c r="L19" s="60">
        <f t="shared" si="17"/>
        <v>126000</v>
      </c>
      <c r="M19" s="59">
        <f t="shared" si="18"/>
        <v>84000</v>
      </c>
      <c r="N19" s="61">
        <f t="shared" si="9"/>
        <v>54000</v>
      </c>
      <c r="O19" s="62">
        <f t="shared" si="0"/>
        <v>56842.1052631579</v>
      </c>
      <c r="P19" s="62">
        <f t="shared" si="10"/>
        <v>9056842.1052631587</v>
      </c>
      <c r="Q19" s="63">
        <f t="shared" si="1"/>
        <v>1358526.3157894737</v>
      </c>
      <c r="R19" s="64">
        <v>0</v>
      </c>
      <c r="S19" s="63">
        <f t="shared" si="11"/>
        <v>54000</v>
      </c>
      <c r="T19" s="63">
        <f t="shared" si="2"/>
        <v>56842.1052631579</v>
      </c>
      <c r="U19" s="59">
        <f t="shared" si="12"/>
        <v>2842</v>
      </c>
      <c r="V19" s="76">
        <f t="shared" si="13"/>
        <v>11384842</v>
      </c>
    </row>
    <row r="20" spans="2:23" customFormat="1">
      <c r="B20" s="183"/>
      <c r="C20" s="8" t="s">
        <v>134</v>
      </c>
      <c r="D20" s="65">
        <v>10920000</v>
      </c>
      <c r="E20" s="171"/>
      <c r="F20" s="57">
        <f t="shared" si="3"/>
        <v>1446000</v>
      </c>
      <c r="G20" s="57">
        <f t="shared" si="4"/>
        <v>1074000</v>
      </c>
      <c r="H20" s="57">
        <f t="shared" si="15"/>
        <v>2520000</v>
      </c>
      <c r="I20" s="29"/>
      <c r="J20" s="58">
        <f t="shared" si="5"/>
        <v>9000000</v>
      </c>
      <c r="K20" s="59">
        <f t="shared" si="16"/>
        <v>672000</v>
      </c>
      <c r="L20" s="60">
        <f t="shared" si="17"/>
        <v>126000</v>
      </c>
      <c r="M20" s="59">
        <f t="shared" si="18"/>
        <v>84000</v>
      </c>
      <c r="N20" s="61">
        <f t="shared" si="9"/>
        <v>474000</v>
      </c>
      <c r="O20" s="62">
        <f t="shared" si="0"/>
        <v>498947.36842105264</v>
      </c>
      <c r="P20" s="62">
        <f t="shared" si="10"/>
        <v>9498947.3684210535</v>
      </c>
      <c r="Q20" s="63">
        <f t="shared" si="1"/>
        <v>1424842.105263158</v>
      </c>
      <c r="R20" s="64">
        <v>0</v>
      </c>
      <c r="S20" s="63">
        <f t="shared" si="11"/>
        <v>474000</v>
      </c>
      <c r="T20" s="63">
        <f t="shared" si="2"/>
        <v>498947.36842105264</v>
      </c>
      <c r="U20" s="59">
        <f t="shared" si="12"/>
        <v>24947</v>
      </c>
      <c r="V20" s="65">
        <f t="shared" si="13"/>
        <v>11826947</v>
      </c>
    </row>
    <row r="21" spans="2:23" customFormat="1">
      <c r="B21" s="183"/>
      <c r="C21" s="8" t="s">
        <v>129</v>
      </c>
      <c r="D21" s="76">
        <f>D20+420000</f>
        <v>11340000</v>
      </c>
      <c r="E21" s="171"/>
      <c r="F21" s="57">
        <f t="shared" si="3"/>
        <v>1446000</v>
      </c>
      <c r="G21" s="57">
        <f t="shared" si="4"/>
        <v>1494000</v>
      </c>
      <c r="H21" s="57">
        <f t="shared" si="15"/>
        <v>2940000</v>
      </c>
      <c r="I21" s="29"/>
      <c r="J21" s="58">
        <f t="shared" si="5"/>
        <v>9000000</v>
      </c>
      <c r="K21" s="59">
        <f t="shared" si="16"/>
        <v>672000</v>
      </c>
      <c r="L21" s="60">
        <f t="shared" si="17"/>
        <v>126000</v>
      </c>
      <c r="M21" s="59">
        <f t="shared" si="18"/>
        <v>84000</v>
      </c>
      <c r="N21" s="61">
        <f t="shared" si="9"/>
        <v>894000</v>
      </c>
      <c r="O21" s="62">
        <f t="shared" si="0"/>
        <v>941052.63157894742</v>
      </c>
      <c r="P21" s="62">
        <f t="shared" si="10"/>
        <v>9941052.6315789483</v>
      </c>
      <c r="Q21" s="63">
        <f t="shared" si="1"/>
        <v>1491157.8947368423</v>
      </c>
      <c r="R21" s="64">
        <v>0</v>
      </c>
      <c r="S21" s="63">
        <f t="shared" si="11"/>
        <v>894000</v>
      </c>
      <c r="T21" s="63">
        <f t="shared" si="2"/>
        <v>941052.63157894742</v>
      </c>
      <c r="U21" s="59">
        <f t="shared" si="12"/>
        <v>47053</v>
      </c>
      <c r="V21" s="76">
        <f t="shared" si="13"/>
        <v>12269053</v>
      </c>
    </row>
    <row r="22" spans="2:23" customFormat="1">
      <c r="B22" s="183"/>
      <c r="C22" s="8" t="s">
        <v>130</v>
      </c>
      <c r="D22" s="65">
        <v>11760000</v>
      </c>
      <c r="E22" s="171"/>
      <c r="F22" s="57">
        <f t="shared" si="3"/>
        <v>1446000</v>
      </c>
      <c r="G22" s="57">
        <f t="shared" si="4"/>
        <v>1914000</v>
      </c>
      <c r="H22" s="57">
        <f t="shared" si="15"/>
        <v>3360000</v>
      </c>
      <c r="I22" s="29"/>
      <c r="J22" s="58">
        <f t="shared" si="5"/>
        <v>9000000</v>
      </c>
      <c r="K22" s="59">
        <f t="shared" si="16"/>
        <v>672000</v>
      </c>
      <c r="L22" s="60">
        <f t="shared" si="17"/>
        <v>126000</v>
      </c>
      <c r="M22" s="59">
        <f t="shared" si="18"/>
        <v>84000</v>
      </c>
      <c r="N22" s="61">
        <f t="shared" si="9"/>
        <v>1314000</v>
      </c>
      <c r="O22" s="62">
        <f t="shared" si="0"/>
        <v>1383157.8947368423</v>
      </c>
      <c r="P22" s="62">
        <f t="shared" si="10"/>
        <v>10383157.894736841</v>
      </c>
      <c r="Q22" s="63">
        <f t="shared" si="1"/>
        <v>1557473.6842105261</v>
      </c>
      <c r="R22" s="64">
        <v>0</v>
      </c>
      <c r="S22" s="63">
        <f t="shared" si="11"/>
        <v>1314000</v>
      </c>
      <c r="T22" s="63">
        <f t="shared" si="2"/>
        <v>1383157.8947368423</v>
      </c>
      <c r="U22" s="59">
        <f t="shared" si="12"/>
        <v>69158</v>
      </c>
      <c r="V22" s="65">
        <f t="shared" si="13"/>
        <v>12711158</v>
      </c>
    </row>
    <row r="23" spans="2:23" customFormat="1" ht="16" thickBot="1">
      <c r="B23" s="184"/>
      <c r="C23" s="9" t="s">
        <v>25</v>
      </c>
      <c r="D23" s="66">
        <f>+D22+420000</f>
        <v>12180000</v>
      </c>
      <c r="E23" s="172"/>
      <c r="F23" s="67">
        <f t="shared" si="3"/>
        <v>1446000</v>
      </c>
      <c r="G23" s="67">
        <f t="shared" si="4"/>
        <v>2334000</v>
      </c>
      <c r="H23" s="67">
        <f t="shared" si="15"/>
        <v>3780000</v>
      </c>
      <c r="I23" s="31"/>
      <c r="J23" s="69">
        <f t="shared" si="5"/>
        <v>9000000</v>
      </c>
      <c r="K23" s="70">
        <f t="shared" si="16"/>
        <v>672000</v>
      </c>
      <c r="L23" s="71">
        <f t="shared" si="17"/>
        <v>126000</v>
      </c>
      <c r="M23" s="70">
        <f t="shared" si="18"/>
        <v>84000</v>
      </c>
      <c r="N23" s="72">
        <f t="shared" si="9"/>
        <v>1734000</v>
      </c>
      <c r="O23" s="73">
        <f t="shared" si="0"/>
        <v>1825263.1578947369</v>
      </c>
      <c r="P23" s="73">
        <f t="shared" si="10"/>
        <v>10825263.157894736</v>
      </c>
      <c r="Q23" s="74">
        <f t="shared" si="1"/>
        <v>1623789.4736842103</v>
      </c>
      <c r="R23" s="75">
        <v>0</v>
      </c>
      <c r="S23" s="74">
        <f t="shared" si="11"/>
        <v>1734000</v>
      </c>
      <c r="T23" s="74">
        <f t="shared" si="2"/>
        <v>1825263.1578947369</v>
      </c>
      <c r="U23" s="70">
        <f>ROUND(IF(T23&lt;=5000000,T23*0.05,IF(T23&lt;=10000000,250000+(T23-5000000)*0.1,IF(T23&lt;=18000000,750000+(T23-10000000)*0.15,IF(T23&lt;=32000000,1950000+(T23-18000000)*0.2,IF(T23&lt;=52000000,4750000+(T23-32000000)*0.25,IF(T23&lt;=80000000,9750000+(T23-52000000)*0.3,18150000+(T23-80000000)*0.35)))))),0)</f>
        <v>91263</v>
      </c>
      <c r="V23" s="66">
        <f t="shared" si="13"/>
        <v>13153263</v>
      </c>
      <c r="W23" s="200">
        <f>15500000-V23</f>
        <v>2346737</v>
      </c>
    </row>
    <row r="24" spans="2:23" customFormat="1" ht="18" customHeight="1">
      <c r="B24" s="173" t="s">
        <v>135</v>
      </c>
      <c r="C24" s="77" t="s">
        <v>132</v>
      </c>
      <c r="D24" s="78">
        <v>12600000</v>
      </c>
      <c r="E24" s="174">
        <v>10500000</v>
      </c>
      <c r="F24" s="44">
        <f t="shared" si="3"/>
        <v>1446000</v>
      </c>
      <c r="G24" s="44">
        <f t="shared" si="4"/>
        <v>654000</v>
      </c>
      <c r="H24" s="44">
        <f t="shared" ref="H24:H33" si="19">+D24-$E$24</f>
        <v>2100000</v>
      </c>
      <c r="I24" s="79"/>
      <c r="J24" s="80">
        <f t="shared" si="5"/>
        <v>9000000</v>
      </c>
      <c r="K24" s="50">
        <f>$E$24*0.08</f>
        <v>840000</v>
      </c>
      <c r="L24" s="51">
        <f>$E$24*0.015</f>
        <v>157500</v>
      </c>
      <c r="M24" s="50">
        <f>$E$24*0.01</f>
        <v>105000</v>
      </c>
      <c r="N24" s="81">
        <f t="shared" si="9"/>
        <v>2154000</v>
      </c>
      <c r="O24" s="82">
        <f t="shared" si="0"/>
        <v>2267368.4210526315</v>
      </c>
      <c r="P24" s="82">
        <f t="shared" si="10"/>
        <v>11267368.421052631</v>
      </c>
      <c r="Q24" s="83">
        <f t="shared" si="1"/>
        <v>1690105.2631578946</v>
      </c>
      <c r="R24" s="84">
        <v>0</v>
      </c>
      <c r="S24" s="83">
        <f t="shared" si="11"/>
        <v>2154000</v>
      </c>
      <c r="T24" s="83">
        <f t="shared" si="2"/>
        <v>2267368.4210526315</v>
      </c>
      <c r="U24" s="85">
        <f t="shared" si="12"/>
        <v>113368</v>
      </c>
      <c r="V24" s="78">
        <f t="shared" si="13"/>
        <v>13815868</v>
      </c>
    </row>
    <row r="25" spans="2:23" customFormat="1">
      <c r="B25" s="173"/>
      <c r="C25" s="6" t="s">
        <v>123</v>
      </c>
      <c r="D25" s="76">
        <f>D24+525000</f>
        <v>13125000</v>
      </c>
      <c r="E25" s="171"/>
      <c r="F25" s="57">
        <f t="shared" si="3"/>
        <v>1446000</v>
      </c>
      <c r="G25" s="57">
        <f t="shared" si="4"/>
        <v>1179000</v>
      </c>
      <c r="H25" s="57">
        <f t="shared" si="19"/>
        <v>2625000</v>
      </c>
      <c r="I25" s="29"/>
      <c r="J25" s="58">
        <f t="shared" si="5"/>
        <v>9000000</v>
      </c>
      <c r="K25" s="59">
        <f t="shared" ref="K25:K33" si="20">$E$24*0.08</f>
        <v>840000</v>
      </c>
      <c r="L25" s="60">
        <f t="shared" ref="L25:L33" si="21">$E$24*0.015</f>
        <v>157500</v>
      </c>
      <c r="M25" s="59">
        <f t="shared" ref="M25:M33" si="22">$E$24*0.01</f>
        <v>105000</v>
      </c>
      <c r="N25" s="61">
        <f t="shared" si="9"/>
        <v>2679000</v>
      </c>
      <c r="O25" s="62">
        <f t="shared" si="0"/>
        <v>2820000</v>
      </c>
      <c r="P25" s="62">
        <f t="shared" si="10"/>
        <v>11820000</v>
      </c>
      <c r="Q25" s="63">
        <f t="shared" si="1"/>
        <v>1773000</v>
      </c>
      <c r="R25" s="64">
        <v>0</v>
      </c>
      <c r="S25" s="63">
        <f t="shared" si="11"/>
        <v>2679000</v>
      </c>
      <c r="T25" s="63">
        <f t="shared" si="2"/>
        <v>2820000</v>
      </c>
      <c r="U25" s="59">
        <f t="shared" si="12"/>
        <v>141000</v>
      </c>
      <c r="V25" s="76">
        <f t="shared" si="13"/>
        <v>14368500</v>
      </c>
    </row>
    <row r="26" spans="2:23" customFormat="1">
      <c r="B26" s="173"/>
      <c r="C26" s="6" t="s">
        <v>133</v>
      </c>
      <c r="D26" s="65">
        <v>13650000</v>
      </c>
      <c r="E26" s="171"/>
      <c r="F26" s="57">
        <f t="shared" si="3"/>
        <v>1446000</v>
      </c>
      <c r="G26" s="57">
        <f t="shared" si="4"/>
        <v>1704000</v>
      </c>
      <c r="H26" s="57">
        <f t="shared" si="19"/>
        <v>3150000</v>
      </c>
      <c r="I26" s="29"/>
      <c r="J26" s="58">
        <f t="shared" si="5"/>
        <v>9000000</v>
      </c>
      <c r="K26" s="59">
        <f t="shared" si="20"/>
        <v>840000</v>
      </c>
      <c r="L26" s="60">
        <f t="shared" si="21"/>
        <v>157500</v>
      </c>
      <c r="M26" s="59">
        <f t="shared" si="22"/>
        <v>105000</v>
      </c>
      <c r="N26" s="61">
        <f t="shared" si="9"/>
        <v>3204000</v>
      </c>
      <c r="O26" s="62">
        <f t="shared" si="0"/>
        <v>3372631.5789473685</v>
      </c>
      <c r="P26" s="62">
        <f t="shared" si="10"/>
        <v>12372631.578947369</v>
      </c>
      <c r="Q26" s="63">
        <f t="shared" si="1"/>
        <v>1855894.7368421054</v>
      </c>
      <c r="R26" s="64">
        <v>0</v>
      </c>
      <c r="S26" s="63">
        <f t="shared" si="11"/>
        <v>3204000</v>
      </c>
      <c r="T26" s="63">
        <f t="shared" si="2"/>
        <v>3372631.5789473685</v>
      </c>
      <c r="U26" s="59">
        <f t="shared" si="12"/>
        <v>168632</v>
      </c>
      <c r="V26" s="65">
        <f t="shared" si="13"/>
        <v>14921132</v>
      </c>
    </row>
    <row r="27" spans="2:23" customFormat="1">
      <c r="B27" s="173"/>
      <c r="C27" s="6" t="s">
        <v>125</v>
      </c>
      <c r="D27" s="76">
        <f>D26+525000</f>
        <v>14175000</v>
      </c>
      <c r="E27" s="171"/>
      <c r="F27" s="57">
        <f t="shared" si="3"/>
        <v>1446000</v>
      </c>
      <c r="G27" s="57">
        <f t="shared" si="4"/>
        <v>2229000</v>
      </c>
      <c r="H27" s="57">
        <f t="shared" si="19"/>
        <v>3675000</v>
      </c>
      <c r="I27" s="29"/>
      <c r="J27" s="58">
        <f t="shared" si="5"/>
        <v>9000000</v>
      </c>
      <c r="K27" s="59">
        <f t="shared" si="20"/>
        <v>840000</v>
      </c>
      <c r="L27" s="60">
        <f t="shared" si="21"/>
        <v>157500</v>
      </c>
      <c r="M27" s="59">
        <f t="shared" si="22"/>
        <v>105000</v>
      </c>
      <c r="N27" s="61">
        <f t="shared" si="9"/>
        <v>3729000</v>
      </c>
      <c r="O27" s="62">
        <f t="shared" si="0"/>
        <v>3925263.1578947371</v>
      </c>
      <c r="P27" s="62">
        <f t="shared" si="10"/>
        <v>12925263.157894738</v>
      </c>
      <c r="Q27" s="63">
        <f t="shared" si="1"/>
        <v>1938789.4736842106</v>
      </c>
      <c r="R27" s="64">
        <v>0</v>
      </c>
      <c r="S27" s="63">
        <f t="shared" si="11"/>
        <v>3729000</v>
      </c>
      <c r="T27" s="63">
        <f t="shared" si="2"/>
        <v>3925263.1578947371</v>
      </c>
      <c r="U27" s="59">
        <f t="shared" si="12"/>
        <v>196263</v>
      </c>
      <c r="V27" s="76">
        <f t="shared" si="13"/>
        <v>15473763</v>
      </c>
    </row>
    <row r="28" spans="2:23" customFormat="1">
      <c r="B28" s="173"/>
      <c r="C28" s="6" t="s">
        <v>126</v>
      </c>
      <c r="D28" s="65">
        <v>14700000</v>
      </c>
      <c r="E28" s="171"/>
      <c r="F28" s="57">
        <f t="shared" si="3"/>
        <v>1446000</v>
      </c>
      <c r="G28" s="57">
        <f t="shared" si="4"/>
        <v>2754000</v>
      </c>
      <c r="H28" s="57">
        <f t="shared" si="19"/>
        <v>4200000</v>
      </c>
      <c r="I28" s="29"/>
      <c r="J28" s="58">
        <f t="shared" si="5"/>
        <v>9000000</v>
      </c>
      <c r="K28" s="59">
        <f t="shared" si="20"/>
        <v>840000</v>
      </c>
      <c r="L28" s="60">
        <f t="shared" si="21"/>
        <v>157500</v>
      </c>
      <c r="M28" s="59">
        <f t="shared" si="22"/>
        <v>105000</v>
      </c>
      <c r="N28" s="61">
        <f t="shared" si="9"/>
        <v>4254000</v>
      </c>
      <c r="O28" s="62">
        <f t="shared" si="0"/>
        <v>4477894.7368421052</v>
      </c>
      <c r="P28" s="62">
        <f t="shared" si="10"/>
        <v>13477894.736842105</v>
      </c>
      <c r="Q28" s="63">
        <f t="shared" si="1"/>
        <v>2021684.2105263157</v>
      </c>
      <c r="R28" s="64">
        <v>0</v>
      </c>
      <c r="S28" s="63">
        <f t="shared" si="11"/>
        <v>4254000</v>
      </c>
      <c r="T28" s="63">
        <f t="shared" si="2"/>
        <v>4477894.7368421052</v>
      </c>
      <c r="U28" s="59">
        <f t="shared" si="12"/>
        <v>223895</v>
      </c>
      <c r="V28" s="65">
        <f t="shared" si="13"/>
        <v>16026395</v>
      </c>
    </row>
    <row r="29" spans="2:23" customFormat="1">
      <c r="B29" s="173"/>
      <c r="C29" s="6" t="s">
        <v>127</v>
      </c>
      <c r="D29" s="76">
        <f>D28+525000</f>
        <v>15225000</v>
      </c>
      <c r="E29" s="171"/>
      <c r="F29" s="57">
        <f t="shared" si="3"/>
        <v>1446000</v>
      </c>
      <c r="G29" s="57">
        <f t="shared" si="4"/>
        <v>3279000</v>
      </c>
      <c r="H29" s="57">
        <f t="shared" si="19"/>
        <v>4725000</v>
      </c>
      <c r="I29" s="29"/>
      <c r="J29" s="58">
        <f t="shared" si="5"/>
        <v>9000000</v>
      </c>
      <c r="K29" s="59">
        <f t="shared" si="20"/>
        <v>840000</v>
      </c>
      <c r="L29" s="60">
        <f t="shared" si="21"/>
        <v>157500</v>
      </c>
      <c r="M29" s="59">
        <f t="shared" si="22"/>
        <v>105000</v>
      </c>
      <c r="N29" s="61">
        <f t="shared" si="9"/>
        <v>4779000</v>
      </c>
      <c r="O29" s="62">
        <f t="shared" si="0"/>
        <v>5032222.222222222</v>
      </c>
      <c r="P29" s="62">
        <f t="shared" si="10"/>
        <v>14032222.222222222</v>
      </c>
      <c r="Q29" s="63">
        <f t="shared" si="1"/>
        <v>2104833.333333333</v>
      </c>
      <c r="R29" s="64">
        <v>0</v>
      </c>
      <c r="S29" s="63">
        <f t="shared" si="11"/>
        <v>4779000</v>
      </c>
      <c r="T29" s="63">
        <f t="shared" si="2"/>
        <v>5032222.222222222</v>
      </c>
      <c r="U29" s="59">
        <f t="shared" si="12"/>
        <v>253222</v>
      </c>
      <c r="V29" s="76">
        <f t="shared" si="13"/>
        <v>16580722</v>
      </c>
    </row>
    <row r="30" spans="2:23" customFormat="1">
      <c r="B30" s="173"/>
      <c r="C30" s="8" t="s">
        <v>134</v>
      </c>
      <c r="D30" s="65">
        <v>15750000</v>
      </c>
      <c r="E30" s="171"/>
      <c r="F30" s="57">
        <f t="shared" si="3"/>
        <v>1446000</v>
      </c>
      <c r="G30" s="57">
        <f t="shared" si="4"/>
        <v>3804000</v>
      </c>
      <c r="H30" s="57">
        <f t="shared" si="19"/>
        <v>5250000</v>
      </c>
      <c r="I30" s="29"/>
      <c r="J30" s="58">
        <f t="shared" si="5"/>
        <v>9000000</v>
      </c>
      <c r="K30" s="59">
        <f t="shared" si="20"/>
        <v>840000</v>
      </c>
      <c r="L30" s="60">
        <f t="shared" si="21"/>
        <v>157500</v>
      </c>
      <c r="M30" s="59">
        <f t="shared" si="22"/>
        <v>105000</v>
      </c>
      <c r="N30" s="61">
        <f t="shared" si="9"/>
        <v>5304000</v>
      </c>
      <c r="O30" s="62">
        <f t="shared" si="0"/>
        <v>5615555.555555555</v>
      </c>
      <c r="P30" s="62">
        <f t="shared" si="10"/>
        <v>14615555.555555556</v>
      </c>
      <c r="Q30" s="63">
        <f t="shared" si="1"/>
        <v>2192333.3333333335</v>
      </c>
      <c r="R30" s="64">
        <v>0</v>
      </c>
      <c r="S30" s="63">
        <f t="shared" si="11"/>
        <v>5304000</v>
      </c>
      <c r="T30" s="63">
        <f t="shared" si="2"/>
        <v>5615555.555555555</v>
      </c>
      <c r="U30" s="59">
        <f t="shared" si="12"/>
        <v>311556</v>
      </c>
      <c r="V30" s="65">
        <f t="shared" si="13"/>
        <v>17164056</v>
      </c>
    </row>
    <row r="31" spans="2:23" customFormat="1">
      <c r="B31" s="173"/>
      <c r="C31" s="8" t="s">
        <v>129</v>
      </c>
      <c r="D31" s="76">
        <f>D30+525000</f>
        <v>16275000</v>
      </c>
      <c r="E31" s="171"/>
      <c r="F31" s="57">
        <f t="shared" si="3"/>
        <v>1446000</v>
      </c>
      <c r="G31" s="57">
        <f t="shared" si="4"/>
        <v>4329000</v>
      </c>
      <c r="H31" s="57">
        <f t="shared" si="19"/>
        <v>5775000</v>
      </c>
      <c r="I31" s="29"/>
      <c r="J31" s="58">
        <f t="shared" si="5"/>
        <v>9000000</v>
      </c>
      <c r="K31" s="59">
        <f t="shared" si="20"/>
        <v>840000</v>
      </c>
      <c r="L31" s="60">
        <f t="shared" si="21"/>
        <v>157500</v>
      </c>
      <c r="M31" s="59">
        <f t="shared" si="22"/>
        <v>105000</v>
      </c>
      <c r="N31" s="61">
        <f t="shared" si="9"/>
        <v>5829000</v>
      </c>
      <c r="O31" s="62">
        <f t="shared" si="0"/>
        <v>6198888.888888889</v>
      </c>
      <c r="P31" s="62">
        <f t="shared" si="10"/>
        <v>15198888.888888888</v>
      </c>
      <c r="Q31" s="63">
        <f t="shared" si="1"/>
        <v>2279833.333333333</v>
      </c>
      <c r="R31" s="64">
        <v>0</v>
      </c>
      <c r="S31" s="63">
        <f t="shared" si="11"/>
        <v>5829000</v>
      </c>
      <c r="T31" s="63">
        <f t="shared" si="2"/>
        <v>6198888.888888889</v>
      </c>
      <c r="U31" s="59">
        <f t="shared" si="12"/>
        <v>369889</v>
      </c>
      <c r="V31" s="76">
        <f t="shared" si="13"/>
        <v>17747389</v>
      </c>
    </row>
    <row r="32" spans="2:23" customFormat="1">
      <c r="B32" s="173"/>
      <c r="C32" s="8" t="s">
        <v>130</v>
      </c>
      <c r="D32" s="65">
        <v>16800000</v>
      </c>
      <c r="E32" s="171"/>
      <c r="F32" s="57">
        <f t="shared" si="3"/>
        <v>1446000</v>
      </c>
      <c r="G32" s="57">
        <f t="shared" si="4"/>
        <v>4854000</v>
      </c>
      <c r="H32" s="57">
        <f t="shared" si="19"/>
        <v>6300000</v>
      </c>
      <c r="I32" s="29"/>
      <c r="J32" s="58">
        <f t="shared" si="5"/>
        <v>9000000</v>
      </c>
      <c r="K32" s="59">
        <f t="shared" si="20"/>
        <v>840000</v>
      </c>
      <c r="L32" s="60">
        <f t="shared" si="21"/>
        <v>157500</v>
      </c>
      <c r="M32" s="59">
        <f t="shared" si="22"/>
        <v>105000</v>
      </c>
      <c r="N32" s="61">
        <f t="shared" si="9"/>
        <v>6354000</v>
      </c>
      <c r="O32" s="62">
        <f t="shared" si="0"/>
        <v>6782222.222222222</v>
      </c>
      <c r="P32" s="62">
        <f t="shared" si="10"/>
        <v>15782222.222222222</v>
      </c>
      <c r="Q32" s="63">
        <f t="shared" si="1"/>
        <v>2367333.333333333</v>
      </c>
      <c r="R32" s="64">
        <v>0</v>
      </c>
      <c r="S32" s="63">
        <f t="shared" si="11"/>
        <v>6354000</v>
      </c>
      <c r="T32" s="63">
        <f t="shared" si="2"/>
        <v>6782222.222222222</v>
      </c>
      <c r="U32" s="59">
        <f t="shared" si="12"/>
        <v>428222</v>
      </c>
      <c r="V32" s="65">
        <f t="shared" si="13"/>
        <v>18330722</v>
      </c>
    </row>
    <row r="33" spans="2:22" customFormat="1" ht="16" thickBot="1">
      <c r="B33" s="173"/>
      <c r="C33" s="96" t="s">
        <v>25</v>
      </c>
      <c r="D33" s="86">
        <f>+D32+525000</f>
        <v>17325000</v>
      </c>
      <c r="E33" s="175"/>
      <c r="F33" s="43">
        <f t="shared" si="3"/>
        <v>1446000</v>
      </c>
      <c r="G33" s="43">
        <f t="shared" si="4"/>
        <v>5379000</v>
      </c>
      <c r="H33" s="43">
        <f t="shared" si="19"/>
        <v>6825000</v>
      </c>
      <c r="I33" s="87"/>
      <c r="J33" s="88">
        <f t="shared" si="5"/>
        <v>9000000</v>
      </c>
      <c r="K33" s="70">
        <f t="shared" si="20"/>
        <v>840000</v>
      </c>
      <c r="L33" s="71">
        <f t="shared" si="21"/>
        <v>157500</v>
      </c>
      <c r="M33" s="70">
        <f t="shared" si="22"/>
        <v>105000</v>
      </c>
      <c r="N33" s="89">
        <f t="shared" si="9"/>
        <v>6879000</v>
      </c>
      <c r="O33" s="90">
        <f t="shared" si="0"/>
        <v>7365555.555555555</v>
      </c>
      <c r="P33" s="90">
        <f t="shared" si="10"/>
        <v>16365555.555555556</v>
      </c>
      <c r="Q33" s="91">
        <f t="shared" si="1"/>
        <v>2454833.3333333335</v>
      </c>
      <c r="R33" s="92">
        <v>0</v>
      </c>
      <c r="S33" s="91">
        <f t="shared" si="11"/>
        <v>6879000</v>
      </c>
      <c r="T33" s="91">
        <f t="shared" si="2"/>
        <v>7365555.555555555</v>
      </c>
      <c r="U33" s="93">
        <f t="shared" si="12"/>
        <v>486556</v>
      </c>
      <c r="V33" s="86">
        <f t="shared" si="13"/>
        <v>18914056</v>
      </c>
    </row>
    <row r="34" spans="2:22" customFormat="1" ht="18" customHeight="1">
      <c r="B34" s="176" t="s">
        <v>136</v>
      </c>
      <c r="C34" s="97" t="s">
        <v>132</v>
      </c>
      <c r="D34" s="46">
        <v>17850000</v>
      </c>
      <c r="E34" s="170">
        <v>14700000</v>
      </c>
      <c r="F34" s="47">
        <f t="shared" si="3"/>
        <v>1446000</v>
      </c>
      <c r="G34" s="47">
        <f t="shared" si="4"/>
        <v>1704000</v>
      </c>
      <c r="H34" s="47">
        <f>+D34-$E$34</f>
        <v>3150000</v>
      </c>
      <c r="I34" s="48"/>
      <c r="J34" s="49">
        <f t="shared" si="5"/>
        <v>9000000</v>
      </c>
      <c r="K34" s="85">
        <f>$E$34*0.08</f>
        <v>1176000</v>
      </c>
      <c r="L34" s="94">
        <f>$E$34*0.015</f>
        <v>220500</v>
      </c>
      <c r="M34" s="85">
        <f>$E$34*0.01</f>
        <v>147000</v>
      </c>
      <c r="N34" s="52">
        <f t="shared" si="9"/>
        <v>7404000</v>
      </c>
      <c r="O34" s="53">
        <f t="shared" si="0"/>
        <v>7948888.888888889</v>
      </c>
      <c r="P34" s="53">
        <f t="shared" si="10"/>
        <v>16948888.888888888</v>
      </c>
      <c r="Q34" s="54">
        <f t="shared" si="1"/>
        <v>2542333.333333333</v>
      </c>
      <c r="R34" s="55">
        <v>0</v>
      </c>
      <c r="S34" s="54">
        <f t="shared" si="11"/>
        <v>7404000</v>
      </c>
      <c r="T34" s="54">
        <f t="shared" si="2"/>
        <v>7948888.888888889</v>
      </c>
      <c r="U34" s="50">
        <f t="shared" si="12"/>
        <v>544889</v>
      </c>
      <c r="V34" s="46">
        <f t="shared" si="13"/>
        <v>19938389</v>
      </c>
    </row>
    <row r="35" spans="2:22" customFormat="1">
      <c r="B35" s="177"/>
      <c r="C35" s="8" t="s">
        <v>123</v>
      </c>
      <c r="D35" s="76">
        <f t="shared" ref="D35:D44" si="23">D34+630000</f>
        <v>18480000</v>
      </c>
      <c r="E35" s="171"/>
      <c r="F35" s="57">
        <f t="shared" si="3"/>
        <v>1446000</v>
      </c>
      <c r="G35" s="57">
        <f t="shared" si="4"/>
        <v>2334000</v>
      </c>
      <c r="H35" s="57">
        <f t="shared" ref="H35:H63" si="24">+D35-$E$34</f>
        <v>3780000</v>
      </c>
      <c r="I35" s="29"/>
      <c r="J35" s="58">
        <f t="shared" si="5"/>
        <v>9000000</v>
      </c>
      <c r="K35" s="85">
        <f t="shared" ref="K35:K43" si="25">$E$34*0.08</f>
        <v>1176000</v>
      </c>
      <c r="L35" s="94">
        <f t="shared" ref="L35:L43" si="26">$E$34*0.015</f>
        <v>220500</v>
      </c>
      <c r="M35" s="85">
        <f t="shared" ref="M35:M43" si="27">$E$34*0.01</f>
        <v>147000</v>
      </c>
      <c r="N35" s="61">
        <f t="shared" si="9"/>
        <v>8034000</v>
      </c>
      <c r="O35" s="62">
        <f t="shared" si="0"/>
        <v>8648888.8888888881</v>
      </c>
      <c r="P35" s="62">
        <f t="shared" si="10"/>
        <v>17648888.888888888</v>
      </c>
      <c r="Q35" s="63">
        <f t="shared" si="1"/>
        <v>2647333.333333333</v>
      </c>
      <c r="R35" s="64">
        <v>0</v>
      </c>
      <c r="S35" s="63">
        <f t="shared" si="11"/>
        <v>8034000</v>
      </c>
      <c r="T35" s="63">
        <f t="shared" si="2"/>
        <v>8648888.8888888881</v>
      </c>
      <c r="U35" s="59">
        <f t="shared" si="12"/>
        <v>614889</v>
      </c>
      <c r="V35" s="76">
        <f t="shared" si="13"/>
        <v>20638389</v>
      </c>
    </row>
    <row r="36" spans="2:22" customFormat="1">
      <c r="B36" s="177"/>
      <c r="C36" s="8" t="s">
        <v>133</v>
      </c>
      <c r="D36" s="76">
        <f t="shared" si="23"/>
        <v>19110000</v>
      </c>
      <c r="E36" s="171"/>
      <c r="F36" s="57">
        <f t="shared" si="3"/>
        <v>1446000</v>
      </c>
      <c r="G36" s="57">
        <f t="shared" si="4"/>
        <v>2964000</v>
      </c>
      <c r="H36" s="57">
        <f t="shared" si="24"/>
        <v>4410000</v>
      </c>
      <c r="I36" s="29"/>
      <c r="J36" s="58">
        <f t="shared" si="5"/>
        <v>9000000</v>
      </c>
      <c r="K36" s="85">
        <f t="shared" si="25"/>
        <v>1176000</v>
      </c>
      <c r="L36" s="94">
        <f t="shared" si="26"/>
        <v>220500</v>
      </c>
      <c r="M36" s="85">
        <f t="shared" si="27"/>
        <v>147000</v>
      </c>
      <c r="N36" s="61">
        <f t="shared" si="9"/>
        <v>8664000</v>
      </c>
      <c r="O36" s="62">
        <f t="shared" si="0"/>
        <v>9348888.8888888881</v>
      </c>
      <c r="P36" s="62">
        <f t="shared" si="10"/>
        <v>18348888.888888888</v>
      </c>
      <c r="Q36" s="63">
        <f t="shared" si="1"/>
        <v>2752333.333333333</v>
      </c>
      <c r="R36" s="64">
        <v>0</v>
      </c>
      <c r="S36" s="63">
        <f t="shared" si="11"/>
        <v>8664000</v>
      </c>
      <c r="T36" s="63">
        <f t="shared" si="2"/>
        <v>9348888.8888888881</v>
      </c>
      <c r="U36" s="59">
        <f t="shared" si="12"/>
        <v>684889</v>
      </c>
      <c r="V36" s="76">
        <f t="shared" si="13"/>
        <v>21338389</v>
      </c>
    </row>
    <row r="37" spans="2:22" customFormat="1">
      <c r="B37" s="177"/>
      <c r="C37" s="8" t="s">
        <v>125</v>
      </c>
      <c r="D37" s="76">
        <f t="shared" si="23"/>
        <v>19740000</v>
      </c>
      <c r="E37" s="171"/>
      <c r="F37" s="57">
        <f t="shared" si="3"/>
        <v>1446000</v>
      </c>
      <c r="G37" s="57">
        <f t="shared" si="4"/>
        <v>3594000</v>
      </c>
      <c r="H37" s="57">
        <f t="shared" si="24"/>
        <v>5040000</v>
      </c>
      <c r="I37" s="29"/>
      <c r="J37" s="58">
        <f t="shared" si="5"/>
        <v>9000000</v>
      </c>
      <c r="K37" s="85">
        <f t="shared" si="25"/>
        <v>1176000</v>
      </c>
      <c r="L37" s="94">
        <f t="shared" si="26"/>
        <v>220500</v>
      </c>
      <c r="M37" s="85">
        <f t="shared" si="27"/>
        <v>147000</v>
      </c>
      <c r="N37" s="61">
        <f t="shared" si="9"/>
        <v>9294000</v>
      </c>
      <c r="O37" s="62">
        <f t="shared" si="0"/>
        <v>10051764.705882354</v>
      </c>
      <c r="P37" s="62">
        <f t="shared" si="10"/>
        <v>19051764.705882356</v>
      </c>
      <c r="Q37" s="63">
        <f t="shared" si="1"/>
        <v>2857764.7058823532</v>
      </c>
      <c r="R37" s="64">
        <v>0</v>
      </c>
      <c r="S37" s="63">
        <f t="shared" si="11"/>
        <v>9294000</v>
      </c>
      <c r="T37" s="63">
        <f t="shared" si="2"/>
        <v>10051764.705882354</v>
      </c>
      <c r="U37" s="59">
        <f t="shared" si="12"/>
        <v>757765</v>
      </c>
      <c r="V37" s="76">
        <f t="shared" si="13"/>
        <v>22041265</v>
      </c>
    </row>
    <row r="38" spans="2:22" customFormat="1">
      <c r="B38" s="177"/>
      <c r="C38" s="8" t="s">
        <v>126</v>
      </c>
      <c r="D38" s="76">
        <f t="shared" si="23"/>
        <v>20370000</v>
      </c>
      <c r="E38" s="171"/>
      <c r="F38" s="57">
        <f t="shared" si="3"/>
        <v>1446000</v>
      </c>
      <c r="G38" s="57">
        <f t="shared" si="4"/>
        <v>4224000</v>
      </c>
      <c r="H38" s="57">
        <f>+D38-$E$34</f>
        <v>5670000</v>
      </c>
      <c r="I38" s="29"/>
      <c r="J38" s="58">
        <f t="shared" si="5"/>
        <v>9000000</v>
      </c>
      <c r="K38" s="85">
        <f t="shared" si="25"/>
        <v>1176000</v>
      </c>
      <c r="L38" s="94">
        <f t="shared" si="26"/>
        <v>220500</v>
      </c>
      <c r="M38" s="85">
        <f t="shared" si="27"/>
        <v>147000</v>
      </c>
      <c r="N38" s="61">
        <f t="shared" si="9"/>
        <v>9924000</v>
      </c>
      <c r="O38" s="62">
        <f t="shared" si="0"/>
        <v>10792941.176470589</v>
      </c>
      <c r="P38" s="62">
        <f t="shared" si="10"/>
        <v>19792941.176470589</v>
      </c>
      <c r="Q38" s="63">
        <f t="shared" si="1"/>
        <v>2968941.1764705884</v>
      </c>
      <c r="R38" s="64">
        <v>0</v>
      </c>
      <c r="S38" s="63">
        <f t="shared" si="11"/>
        <v>9924000</v>
      </c>
      <c r="T38" s="63">
        <f t="shared" si="2"/>
        <v>10792941.176470589</v>
      </c>
      <c r="U38" s="59">
        <f t="shared" si="12"/>
        <v>868941</v>
      </c>
      <c r="V38" s="76">
        <f t="shared" si="13"/>
        <v>22782441</v>
      </c>
    </row>
    <row r="39" spans="2:22" customFormat="1">
      <c r="B39" s="177"/>
      <c r="C39" s="6" t="s">
        <v>127</v>
      </c>
      <c r="D39" s="65">
        <f t="shared" si="23"/>
        <v>21000000</v>
      </c>
      <c r="E39" s="171"/>
      <c r="F39" s="57">
        <f t="shared" si="3"/>
        <v>1446000</v>
      </c>
      <c r="G39" s="57">
        <f t="shared" si="4"/>
        <v>4854000</v>
      </c>
      <c r="H39" s="57">
        <f t="shared" si="24"/>
        <v>6300000</v>
      </c>
      <c r="I39" s="29"/>
      <c r="J39" s="58">
        <f t="shared" si="5"/>
        <v>9000000</v>
      </c>
      <c r="K39" s="85">
        <f t="shared" si="25"/>
        <v>1176000</v>
      </c>
      <c r="L39" s="94">
        <f t="shared" si="26"/>
        <v>220500</v>
      </c>
      <c r="M39" s="85">
        <f t="shared" si="27"/>
        <v>147000</v>
      </c>
      <c r="N39" s="61">
        <f t="shared" si="9"/>
        <v>10554000</v>
      </c>
      <c r="O39" s="62">
        <f t="shared" si="0"/>
        <v>11534117.647058824</v>
      </c>
      <c r="P39" s="62">
        <f t="shared" si="10"/>
        <v>20534117.647058822</v>
      </c>
      <c r="Q39" s="63">
        <f t="shared" si="1"/>
        <v>3080117.6470588231</v>
      </c>
      <c r="R39" s="64">
        <v>0</v>
      </c>
      <c r="S39" s="63">
        <f t="shared" si="11"/>
        <v>10554000</v>
      </c>
      <c r="T39" s="63">
        <f t="shared" si="2"/>
        <v>11534117.647058824</v>
      </c>
      <c r="U39" s="59">
        <f t="shared" si="12"/>
        <v>980118</v>
      </c>
      <c r="V39" s="65">
        <f t="shared" si="13"/>
        <v>23523618</v>
      </c>
    </row>
    <row r="40" spans="2:22" customFormat="1">
      <c r="B40" s="177"/>
      <c r="C40" s="6" t="s">
        <v>134</v>
      </c>
      <c r="D40" s="76">
        <f t="shared" si="23"/>
        <v>21630000</v>
      </c>
      <c r="E40" s="171"/>
      <c r="F40" s="57">
        <f t="shared" si="3"/>
        <v>1446000</v>
      </c>
      <c r="G40" s="57">
        <f t="shared" si="4"/>
        <v>5484000</v>
      </c>
      <c r="H40" s="57">
        <f t="shared" si="24"/>
        <v>6930000</v>
      </c>
      <c r="I40" s="29"/>
      <c r="J40" s="58">
        <f t="shared" si="5"/>
        <v>9000000</v>
      </c>
      <c r="K40" s="85">
        <f t="shared" si="25"/>
        <v>1176000</v>
      </c>
      <c r="L40" s="94">
        <f t="shared" si="26"/>
        <v>220500</v>
      </c>
      <c r="M40" s="85">
        <f t="shared" si="27"/>
        <v>147000</v>
      </c>
      <c r="N40" s="61">
        <f t="shared" si="9"/>
        <v>11184000</v>
      </c>
      <c r="O40" s="62">
        <f t="shared" si="0"/>
        <v>12275294.117647059</v>
      </c>
      <c r="P40" s="62">
        <f t="shared" si="10"/>
        <v>21275294.117647059</v>
      </c>
      <c r="Q40" s="63">
        <f t="shared" si="1"/>
        <v>3191294.1176470588</v>
      </c>
      <c r="R40" s="64">
        <v>0</v>
      </c>
      <c r="S40" s="63">
        <f t="shared" si="11"/>
        <v>11184000</v>
      </c>
      <c r="T40" s="63">
        <f t="shared" si="2"/>
        <v>12275294.117647059</v>
      </c>
      <c r="U40" s="59">
        <f t="shared" si="12"/>
        <v>1091294</v>
      </c>
      <c r="V40" s="76">
        <f t="shared" si="13"/>
        <v>24264794</v>
      </c>
    </row>
    <row r="41" spans="2:22" customFormat="1">
      <c r="B41" s="177"/>
      <c r="C41" s="6" t="s">
        <v>129</v>
      </c>
      <c r="D41" s="76">
        <f t="shared" si="23"/>
        <v>22260000</v>
      </c>
      <c r="E41" s="171"/>
      <c r="F41" s="57">
        <f t="shared" si="3"/>
        <v>1446000</v>
      </c>
      <c r="G41" s="57">
        <f t="shared" si="4"/>
        <v>6114000</v>
      </c>
      <c r="H41" s="57">
        <f t="shared" si="24"/>
        <v>7560000</v>
      </c>
      <c r="I41" s="29"/>
      <c r="J41" s="58">
        <f t="shared" si="5"/>
        <v>9000000</v>
      </c>
      <c r="K41" s="85">
        <f t="shared" si="25"/>
        <v>1176000</v>
      </c>
      <c r="L41" s="94">
        <f t="shared" si="26"/>
        <v>220500</v>
      </c>
      <c r="M41" s="85">
        <f t="shared" si="27"/>
        <v>147000</v>
      </c>
      <c r="N41" s="61">
        <f t="shared" si="9"/>
        <v>11814000</v>
      </c>
      <c r="O41" s="62">
        <f t="shared" si="0"/>
        <v>13016470.588235294</v>
      </c>
      <c r="P41" s="62">
        <f t="shared" si="10"/>
        <v>22016470.588235296</v>
      </c>
      <c r="Q41" s="63">
        <f t="shared" si="1"/>
        <v>3302470.5882352944</v>
      </c>
      <c r="R41" s="64">
        <v>0</v>
      </c>
      <c r="S41" s="63">
        <f t="shared" si="11"/>
        <v>11814000</v>
      </c>
      <c r="T41" s="63">
        <f t="shared" si="2"/>
        <v>13016470.588235294</v>
      </c>
      <c r="U41" s="59">
        <f t="shared" si="12"/>
        <v>1202471</v>
      </c>
      <c r="V41" s="76">
        <f t="shared" si="13"/>
        <v>25005971</v>
      </c>
    </row>
    <row r="42" spans="2:22" customFormat="1">
      <c r="B42" s="177"/>
      <c r="C42" s="6" t="s">
        <v>130</v>
      </c>
      <c r="D42" s="76">
        <f t="shared" si="23"/>
        <v>22890000</v>
      </c>
      <c r="E42" s="171"/>
      <c r="F42" s="57">
        <f t="shared" si="3"/>
        <v>1446000</v>
      </c>
      <c r="G42" s="57">
        <f t="shared" si="4"/>
        <v>6744000</v>
      </c>
      <c r="H42" s="57">
        <f t="shared" si="24"/>
        <v>8190000</v>
      </c>
      <c r="I42" s="29"/>
      <c r="J42" s="58">
        <f t="shared" si="5"/>
        <v>9000000</v>
      </c>
      <c r="K42" s="85">
        <f t="shared" si="25"/>
        <v>1176000</v>
      </c>
      <c r="L42" s="94">
        <f t="shared" si="26"/>
        <v>220500</v>
      </c>
      <c r="M42" s="85">
        <f t="shared" si="27"/>
        <v>147000</v>
      </c>
      <c r="N42" s="61">
        <f t="shared" si="9"/>
        <v>12444000</v>
      </c>
      <c r="O42" s="62">
        <f t="shared" si="0"/>
        <v>13757647.05882353</v>
      </c>
      <c r="P42" s="62">
        <f t="shared" si="10"/>
        <v>22757647.05882353</v>
      </c>
      <c r="Q42" s="63">
        <f t="shared" si="1"/>
        <v>3413647.0588235292</v>
      </c>
      <c r="R42" s="64">
        <v>0</v>
      </c>
      <c r="S42" s="63">
        <f t="shared" si="11"/>
        <v>12444000</v>
      </c>
      <c r="T42" s="63">
        <f t="shared" si="2"/>
        <v>13757647.05882353</v>
      </c>
      <c r="U42" s="59">
        <f t="shared" si="12"/>
        <v>1313647</v>
      </c>
      <c r="V42" s="76">
        <f t="shared" si="13"/>
        <v>25747147</v>
      </c>
    </row>
    <row r="43" spans="2:22" customFormat="1" ht="16" thickBot="1">
      <c r="B43" s="178"/>
      <c r="C43" s="95" t="s">
        <v>137</v>
      </c>
      <c r="D43" s="66">
        <f t="shared" si="23"/>
        <v>23520000</v>
      </c>
      <c r="E43" s="172"/>
      <c r="F43" s="67">
        <f t="shared" si="3"/>
        <v>1446000</v>
      </c>
      <c r="G43" s="67">
        <f t="shared" si="4"/>
        <v>7374000</v>
      </c>
      <c r="H43" s="67">
        <f t="shared" si="24"/>
        <v>8820000</v>
      </c>
      <c r="I43" s="31"/>
      <c r="J43" s="69">
        <f t="shared" si="5"/>
        <v>9000000</v>
      </c>
      <c r="K43" s="85">
        <f t="shared" si="25"/>
        <v>1176000</v>
      </c>
      <c r="L43" s="94">
        <f t="shared" si="26"/>
        <v>220500</v>
      </c>
      <c r="M43" s="85">
        <f t="shared" si="27"/>
        <v>147000</v>
      </c>
      <c r="N43" s="72">
        <f t="shared" si="9"/>
        <v>13074000</v>
      </c>
      <c r="O43" s="73">
        <f t="shared" si="0"/>
        <v>14498823.529411765</v>
      </c>
      <c r="P43" s="73">
        <f t="shared" si="10"/>
        <v>23498823.529411763</v>
      </c>
      <c r="Q43" s="74">
        <f t="shared" si="1"/>
        <v>3524823.5294117643</v>
      </c>
      <c r="R43" s="75">
        <v>0</v>
      </c>
      <c r="S43" s="74">
        <f t="shared" si="11"/>
        <v>13074000</v>
      </c>
      <c r="T43" s="74">
        <f t="shared" si="2"/>
        <v>14498823.529411765</v>
      </c>
      <c r="U43" s="70">
        <f t="shared" si="12"/>
        <v>1424824</v>
      </c>
      <c r="V43" s="66">
        <f t="shared" si="13"/>
        <v>26488324</v>
      </c>
    </row>
    <row r="44" spans="2:22" customFormat="1" ht="18" customHeight="1">
      <c r="B44" s="167" t="s">
        <v>138</v>
      </c>
      <c r="C44" s="45" t="s">
        <v>132</v>
      </c>
      <c r="D44" s="46">
        <f t="shared" si="23"/>
        <v>24150000</v>
      </c>
      <c r="E44" s="170">
        <v>17850000</v>
      </c>
      <c r="F44" s="47">
        <f t="shared" si="3"/>
        <v>1446000</v>
      </c>
      <c r="G44" s="47">
        <f t="shared" si="4"/>
        <v>8004000</v>
      </c>
      <c r="H44" s="47">
        <f t="shared" si="24"/>
        <v>9450000</v>
      </c>
      <c r="I44" s="48"/>
      <c r="J44" s="49">
        <f t="shared" si="5"/>
        <v>9000000</v>
      </c>
      <c r="K44" s="50">
        <f>$E$44*0.08</f>
        <v>1428000</v>
      </c>
      <c r="L44" s="51">
        <f>$E$44*0.015</f>
        <v>267750</v>
      </c>
      <c r="M44" s="50">
        <f>$E$44*0.01</f>
        <v>178500</v>
      </c>
      <c r="N44" s="52">
        <f t="shared" si="9"/>
        <v>13704000</v>
      </c>
      <c r="O44" s="53">
        <f t="shared" si="0"/>
        <v>15240000</v>
      </c>
      <c r="P44" s="53">
        <f t="shared" si="10"/>
        <v>24240000</v>
      </c>
      <c r="Q44" s="54">
        <f t="shared" si="1"/>
        <v>3636000</v>
      </c>
      <c r="R44" s="55">
        <v>0</v>
      </c>
      <c r="S44" s="54">
        <f t="shared" si="11"/>
        <v>13704000</v>
      </c>
      <c r="T44" s="54">
        <f t="shared" si="2"/>
        <v>15240000</v>
      </c>
      <c r="U44" s="50">
        <f t="shared" si="12"/>
        <v>1536000</v>
      </c>
      <c r="V44" s="46">
        <f t="shared" si="13"/>
        <v>27560250</v>
      </c>
    </row>
    <row r="45" spans="2:22" customFormat="1">
      <c r="B45" s="168"/>
      <c r="C45" s="6" t="s">
        <v>123</v>
      </c>
      <c r="D45" s="76">
        <f t="shared" ref="D45:D54" si="28">D44+735000</f>
        <v>24885000</v>
      </c>
      <c r="E45" s="171"/>
      <c r="F45" s="57">
        <f t="shared" si="3"/>
        <v>1446000</v>
      </c>
      <c r="G45" s="57">
        <f t="shared" si="4"/>
        <v>8739000</v>
      </c>
      <c r="H45" s="57">
        <f t="shared" si="24"/>
        <v>10185000</v>
      </c>
      <c r="I45" s="29"/>
      <c r="J45" s="58">
        <f t="shared" si="5"/>
        <v>9000000</v>
      </c>
      <c r="K45" s="59">
        <f t="shared" ref="K45:K53" si="29">$E$44*0.08</f>
        <v>1428000</v>
      </c>
      <c r="L45" s="60">
        <f t="shared" ref="L45:L53" si="30">$E$44*0.015</f>
        <v>267750</v>
      </c>
      <c r="M45" s="59">
        <f t="shared" ref="M45:M53" si="31">$E$44*0.01</f>
        <v>178500</v>
      </c>
      <c r="N45" s="61">
        <f t="shared" si="9"/>
        <v>14439000</v>
      </c>
      <c r="O45" s="62">
        <f t="shared" si="0"/>
        <v>16104705.882352941</v>
      </c>
      <c r="P45" s="62">
        <f t="shared" si="10"/>
        <v>25104705.882352941</v>
      </c>
      <c r="Q45" s="63">
        <f t="shared" si="1"/>
        <v>3765705.8823529412</v>
      </c>
      <c r="R45" s="64">
        <v>0</v>
      </c>
      <c r="S45" s="63">
        <f t="shared" si="11"/>
        <v>14439000</v>
      </c>
      <c r="T45" s="63">
        <f t="shared" si="2"/>
        <v>16104705.882352941</v>
      </c>
      <c r="U45" s="59">
        <f t="shared" si="12"/>
        <v>1665706</v>
      </c>
      <c r="V45" s="76">
        <f t="shared" si="13"/>
        <v>28424956</v>
      </c>
    </row>
    <row r="46" spans="2:22" customFormat="1">
      <c r="B46" s="168"/>
      <c r="C46" s="6" t="s">
        <v>133</v>
      </c>
      <c r="D46" s="76">
        <f t="shared" si="28"/>
        <v>25620000</v>
      </c>
      <c r="E46" s="171"/>
      <c r="F46" s="57">
        <f t="shared" si="3"/>
        <v>1446000</v>
      </c>
      <c r="G46" s="57">
        <f t="shared" si="4"/>
        <v>9474000</v>
      </c>
      <c r="H46" s="57">
        <f t="shared" si="24"/>
        <v>10920000</v>
      </c>
      <c r="I46" s="29"/>
      <c r="J46" s="58">
        <f t="shared" si="5"/>
        <v>9000000</v>
      </c>
      <c r="K46" s="59">
        <f t="shared" si="29"/>
        <v>1428000</v>
      </c>
      <c r="L46" s="60">
        <f t="shared" si="30"/>
        <v>267750</v>
      </c>
      <c r="M46" s="59">
        <f t="shared" si="31"/>
        <v>178500</v>
      </c>
      <c r="N46" s="61">
        <f t="shared" si="9"/>
        <v>15174000</v>
      </c>
      <c r="O46" s="62">
        <f t="shared" si="0"/>
        <v>16969411.764705881</v>
      </c>
      <c r="P46" s="62">
        <f t="shared" si="10"/>
        <v>25969411.764705881</v>
      </c>
      <c r="Q46" s="63">
        <f t="shared" si="1"/>
        <v>3895411.7647058819</v>
      </c>
      <c r="R46" s="64">
        <v>0</v>
      </c>
      <c r="S46" s="63">
        <f t="shared" si="11"/>
        <v>15174000</v>
      </c>
      <c r="T46" s="63">
        <f t="shared" si="2"/>
        <v>16969411.764705881</v>
      </c>
      <c r="U46" s="59">
        <f t="shared" si="12"/>
        <v>1795412</v>
      </c>
      <c r="V46" s="76">
        <f t="shared" si="13"/>
        <v>29289662</v>
      </c>
    </row>
    <row r="47" spans="2:22" customFormat="1">
      <c r="B47" s="168"/>
      <c r="C47" s="8" t="s">
        <v>125</v>
      </c>
      <c r="D47" s="76">
        <f t="shared" si="28"/>
        <v>26355000</v>
      </c>
      <c r="E47" s="171"/>
      <c r="F47" s="57">
        <f t="shared" si="3"/>
        <v>1446000</v>
      </c>
      <c r="G47" s="57">
        <f t="shared" si="4"/>
        <v>10209000</v>
      </c>
      <c r="H47" s="57">
        <f t="shared" si="24"/>
        <v>11655000</v>
      </c>
      <c r="I47" s="29"/>
      <c r="J47" s="58">
        <f t="shared" si="5"/>
        <v>9000000</v>
      </c>
      <c r="K47" s="59">
        <f t="shared" si="29"/>
        <v>1428000</v>
      </c>
      <c r="L47" s="60">
        <f t="shared" si="30"/>
        <v>267750</v>
      </c>
      <c r="M47" s="59">
        <f t="shared" si="31"/>
        <v>178500</v>
      </c>
      <c r="N47" s="61">
        <f t="shared" si="9"/>
        <v>15909000</v>
      </c>
      <c r="O47" s="62">
        <f t="shared" si="0"/>
        <v>17834117.647058822</v>
      </c>
      <c r="P47" s="62">
        <f t="shared" si="10"/>
        <v>26834117.647058822</v>
      </c>
      <c r="Q47" s="63">
        <f t="shared" si="1"/>
        <v>4025117.6470588231</v>
      </c>
      <c r="R47" s="64">
        <v>0</v>
      </c>
      <c r="S47" s="63">
        <f t="shared" si="11"/>
        <v>15909000</v>
      </c>
      <c r="T47" s="63">
        <f t="shared" si="2"/>
        <v>17834117.647058822</v>
      </c>
      <c r="U47" s="59">
        <f t="shared" si="12"/>
        <v>1925118</v>
      </c>
      <c r="V47" s="76">
        <f t="shared" si="13"/>
        <v>30154368</v>
      </c>
    </row>
    <row r="48" spans="2:22" customFormat="1">
      <c r="B48" s="168"/>
      <c r="C48" s="8" t="s">
        <v>126</v>
      </c>
      <c r="D48" s="76">
        <f t="shared" si="28"/>
        <v>27090000</v>
      </c>
      <c r="E48" s="171"/>
      <c r="F48" s="57">
        <f t="shared" si="3"/>
        <v>1446000</v>
      </c>
      <c r="G48" s="57">
        <f t="shared" si="4"/>
        <v>10944000</v>
      </c>
      <c r="H48" s="57">
        <f t="shared" si="24"/>
        <v>12390000</v>
      </c>
      <c r="I48" s="29"/>
      <c r="J48" s="58">
        <f>IF(I48="",9000000,9000000+(I48*3600000))</f>
        <v>9000000</v>
      </c>
      <c r="K48" s="59">
        <f t="shared" si="29"/>
        <v>1428000</v>
      </c>
      <c r="L48" s="60">
        <f t="shared" si="30"/>
        <v>267750</v>
      </c>
      <c r="M48" s="59">
        <f t="shared" si="31"/>
        <v>178500</v>
      </c>
      <c r="N48" s="61">
        <f>IF(D48-J48-F48&lt;0,0,D48-J48-F48)</f>
        <v>16644000</v>
      </c>
      <c r="O48" s="62">
        <f t="shared" si="0"/>
        <v>18742500</v>
      </c>
      <c r="P48" s="62">
        <f>O48+J48</f>
        <v>27742500</v>
      </c>
      <c r="Q48" s="63">
        <f t="shared" si="1"/>
        <v>4161375</v>
      </c>
      <c r="R48" s="64">
        <v>0</v>
      </c>
      <c r="S48" s="63">
        <f>N48+MIN(Q48,R48)</f>
        <v>16644000</v>
      </c>
      <c r="T48" s="63">
        <f t="shared" si="2"/>
        <v>18742500</v>
      </c>
      <c r="U48" s="59">
        <f>ROUND(IF(T48&lt;=5000000,T48*0.05,IF(T48&lt;=10000000,250000+(T48-5000000)*0.1,IF(T48&lt;=18000000,750000+(T48-10000000)*0.15,IF(T48&lt;=32000000,1950000+(T48-18000000)*0.2,IF(T48&lt;=52000000,4750000+(T48-32000000)*0.25,IF(T48&lt;=80000000,9750000+(T48-52000000)*0.3,18150000+(T48-80000000)*0.35)))))),0)</f>
        <v>2098500</v>
      </c>
      <c r="V48" s="76">
        <f>D48+U48+K48+L48+M48+MIN(Q48,R48)</f>
        <v>31062750</v>
      </c>
    </row>
    <row r="49" spans="1:22">
      <c r="B49" s="168"/>
      <c r="C49" s="8" t="s">
        <v>127</v>
      </c>
      <c r="D49" s="76">
        <f t="shared" si="28"/>
        <v>27825000</v>
      </c>
      <c r="E49" s="171"/>
      <c r="F49" s="57">
        <f t="shared" si="3"/>
        <v>1446000</v>
      </c>
      <c r="G49" s="57">
        <f t="shared" si="4"/>
        <v>11679000</v>
      </c>
      <c r="H49" s="57">
        <f t="shared" si="24"/>
        <v>13125000</v>
      </c>
      <c r="I49" s="29"/>
      <c r="J49" s="58">
        <f t="shared" si="5"/>
        <v>9000000</v>
      </c>
      <c r="K49" s="59">
        <f t="shared" si="29"/>
        <v>1428000</v>
      </c>
      <c r="L49" s="60">
        <f t="shared" si="30"/>
        <v>267750</v>
      </c>
      <c r="M49" s="59">
        <f t="shared" si="31"/>
        <v>178500</v>
      </c>
      <c r="N49" s="61">
        <f t="shared" ref="N49:N63" si="32">IF(D49-J49-F49&lt;0,0,D49-J49-F49)</f>
        <v>17379000</v>
      </c>
      <c r="O49" s="62">
        <f t="shared" si="0"/>
        <v>19661250</v>
      </c>
      <c r="P49" s="62">
        <f t="shared" ref="P49:P63" si="33">O49+J49</f>
        <v>28661250</v>
      </c>
      <c r="Q49" s="63">
        <f t="shared" si="1"/>
        <v>4299187.5</v>
      </c>
      <c r="R49" s="64">
        <v>0</v>
      </c>
      <c r="S49" s="63">
        <f t="shared" ref="S49:S63" si="34">N49+MIN(Q49,R49)</f>
        <v>17379000</v>
      </c>
      <c r="T49" s="63">
        <f t="shared" si="2"/>
        <v>19661250</v>
      </c>
      <c r="U49" s="59">
        <f t="shared" si="12"/>
        <v>2282250</v>
      </c>
      <c r="V49" s="76">
        <f t="shared" ref="V49:V63" si="35">D49+U49+K49+L49+M49+MIN(Q49,R49)</f>
        <v>31981500</v>
      </c>
    </row>
    <row r="50" spans="1:22">
      <c r="B50" s="168"/>
      <c r="C50" s="8" t="s">
        <v>134</v>
      </c>
      <c r="D50" s="76">
        <f t="shared" si="28"/>
        <v>28560000</v>
      </c>
      <c r="E50" s="171"/>
      <c r="F50" s="57">
        <f t="shared" si="3"/>
        <v>1446000</v>
      </c>
      <c r="G50" s="57">
        <f t="shared" si="4"/>
        <v>12414000</v>
      </c>
      <c r="H50" s="57">
        <f t="shared" si="24"/>
        <v>13860000</v>
      </c>
      <c r="I50" s="29"/>
      <c r="J50" s="58">
        <f t="shared" si="5"/>
        <v>9000000</v>
      </c>
      <c r="K50" s="59">
        <f t="shared" si="29"/>
        <v>1428000</v>
      </c>
      <c r="L50" s="60">
        <f t="shared" si="30"/>
        <v>267750</v>
      </c>
      <c r="M50" s="59">
        <f t="shared" si="31"/>
        <v>178500</v>
      </c>
      <c r="N50" s="61">
        <f t="shared" si="32"/>
        <v>18114000</v>
      </c>
      <c r="O50" s="62">
        <f t="shared" si="0"/>
        <v>20580000</v>
      </c>
      <c r="P50" s="62">
        <f t="shared" si="33"/>
        <v>29580000</v>
      </c>
      <c r="Q50" s="63">
        <f t="shared" si="1"/>
        <v>4437000</v>
      </c>
      <c r="R50" s="64">
        <v>0</v>
      </c>
      <c r="S50" s="63">
        <f t="shared" si="34"/>
        <v>18114000</v>
      </c>
      <c r="T50" s="63">
        <f t="shared" si="2"/>
        <v>20580000</v>
      </c>
      <c r="U50" s="59">
        <f t="shared" si="12"/>
        <v>2466000</v>
      </c>
      <c r="V50" s="76">
        <f t="shared" si="35"/>
        <v>32900250</v>
      </c>
    </row>
    <row r="51" spans="1:22">
      <c r="B51" s="168"/>
      <c r="C51" s="8" t="s">
        <v>129</v>
      </c>
      <c r="D51" s="76">
        <f t="shared" si="28"/>
        <v>29295000</v>
      </c>
      <c r="E51" s="171"/>
      <c r="F51" s="57">
        <f t="shared" si="3"/>
        <v>1446000</v>
      </c>
      <c r="G51" s="57">
        <f t="shared" si="4"/>
        <v>13149000</v>
      </c>
      <c r="H51" s="57">
        <f t="shared" si="24"/>
        <v>14595000</v>
      </c>
      <c r="I51" s="29"/>
      <c r="J51" s="58">
        <f t="shared" si="5"/>
        <v>9000000</v>
      </c>
      <c r="K51" s="59">
        <f t="shared" si="29"/>
        <v>1428000</v>
      </c>
      <c r="L51" s="60">
        <f t="shared" si="30"/>
        <v>267750</v>
      </c>
      <c r="M51" s="59">
        <f t="shared" si="31"/>
        <v>178500</v>
      </c>
      <c r="N51" s="61">
        <f t="shared" si="32"/>
        <v>18849000</v>
      </c>
      <c r="O51" s="62">
        <f t="shared" si="0"/>
        <v>21498750</v>
      </c>
      <c r="P51" s="62">
        <f t="shared" si="33"/>
        <v>30498750</v>
      </c>
      <c r="Q51" s="63">
        <f t="shared" si="1"/>
        <v>4574812.5</v>
      </c>
      <c r="R51" s="64">
        <v>0</v>
      </c>
      <c r="S51" s="63">
        <f t="shared" si="34"/>
        <v>18849000</v>
      </c>
      <c r="T51" s="63">
        <f t="shared" si="2"/>
        <v>21498750</v>
      </c>
      <c r="U51" s="59">
        <f t="shared" si="12"/>
        <v>2649750</v>
      </c>
      <c r="V51" s="76">
        <f t="shared" si="35"/>
        <v>33819000</v>
      </c>
    </row>
    <row r="52" spans="1:22">
      <c r="B52" s="168"/>
      <c r="C52" s="6" t="s">
        <v>130</v>
      </c>
      <c r="D52" s="76">
        <f t="shared" si="28"/>
        <v>30030000</v>
      </c>
      <c r="E52" s="171"/>
      <c r="F52" s="57">
        <f t="shared" si="3"/>
        <v>1446000</v>
      </c>
      <c r="G52" s="57">
        <f t="shared" si="4"/>
        <v>13884000</v>
      </c>
      <c r="H52" s="57">
        <f t="shared" si="24"/>
        <v>15330000</v>
      </c>
      <c r="I52" s="29"/>
      <c r="J52" s="58">
        <f t="shared" si="5"/>
        <v>9000000</v>
      </c>
      <c r="K52" s="59">
        <f t="shared" si="29"/>
        <v>1428000</v>
      </c>
      <c r="L52" s="60">
        <f t="shared" si="30"/>
        <v>267750</v>
      </c>
      <c r="M52" s="59">
        <f t="shared" si="31"/>
        <v>178500</v>
      </c>
      <c r="N52" s="61">
        <f t="shared" si="32"/>
        <v>19584000</v>
      </c>
      <c r="O52" s="62">
        <f t="shared" si="0"/>
        <v>22417500</v>
      </c>
      <c r="P52" s="62">
        <f t="shared" si="33"/>
        <v>31417500</v>
      </c>
      <c r="Q52" s="63">
        <f t="shared" si="1"/>
        <v>4712625</v>
      </c>
      <c r="R52" s="64">
        <v>0</v>
      </c>
      <c r="S52" s="63">
        <f t="shared" si="34"/>
        <v>19584000</v>
      </c>
      <c r="T52" s="63">
        <f t="shared" si="2"/>
        <v>22417500</v>
      </c>
      <c r="U52" s="59">
        <f t="shared" si="12"/>
        <v>2833500</v>
      </c>
      <c r="V52" s="76">
        <f t="shared" si="35"/>
        <v>34737750</v>
      </c>
    </row>
    <row r="53" spans="1:22" ht="16" thickBot="1">
      <c r="B53" s="169"/>
      <c r="C53" s="95" t="s">
        <v>137</v>
      </c>
      <c r="D53" s="66">
        <f t="shared" si="28"/>
        <v>30765000</v>
      </c>
      <c r="E53" s="172"/>
      <c r="F53" s="67">
        <f t="shared" si="3"/>
        <v>1446000</v>
      </c>
      <c r="G53" s="67">
        <f t="shared" si="4"/>
        <v>14619000</v>
      </c>
      <c r="H53" s="67">
        <f t="shared" si="24"/>
        <v>16065000</v>
      </c>
      <c r="I53" s="31"/>
      <c r="J53" s="69">
        <f t="shared" si="5"/>
        <v>9000000</v>
      </c>
      <c r="K53" s="70">
        <f t="shared" si="29"/>
        <v>1428000</v>
      </c>
      <c r="L53" s="71">
        <f t="shared" si="30"/>
        <v>267750</v>
      </c>
      <c r="M53" s="70">
        <f t="shared" si="31"/>
        <v>178500</v>
      </c>
      <c r="N53" s="72">
        <f t="shared" si="32"/>
        <v>20319000</v>
      </c>
      <c r="O53" s="73">
        <f t="shared" si="0"/>
        <v>23336250</v>
      </c>
      <c r="P53" s="73">
        <f t="shared" si="33"/>
        <v>32336250</v>
      </c>
      <c r="Q53" s="74">
        <f t="shared" si="1"/>
        <v>4850437.5</v>
      </c>
      <c r="R53" s="75">
        <v>0</v>
      </c>
      <c r="S53" s="74">
        <f t="shared" si="34"/>
        <v>20319000</v>
      </c>
      <c r="T53" s="74">
        <f t="shared" si="2"/>
        <v>23336250</v>
      </c>
      <c r="U53" s="70">
        <f t="shared" si="12"/>
        <v>3017250</v>
      </c>
      <c r="V53" s="66">
        <f t="shared" si="35"/>
        <v>35656500</v>
      </c>
    </row>
    <row r="54" spans="1:22" ht="18" customHeight="1">
      <c r="B54" s="167" t="s">
        <v>139</v>
      </c>
      <c r="C54" s="45" t="s">
        <v>132</v>
      </c>
      <c r="D54" s="46">
        <f t="shared" si="28"/>
        <v>31500000</v>
      </c>
      <c r="E54" s="170">
        <v>23100000</v>
      </c>
      <c r="F54" s="47">
        <f t="shared" si="3"/>
        <v>1446000</v>
      </c>
      <c r="G54" s="47">
        <f t="shared" si="4"/>
        <v>15354000</v>
      </c>
      <c r="H54" s="47">
        <f t="shared" si="24"/>
        <v>16800000</v>
      </c>
      <c r="I54" s="48"/>
      <c r="J54" s="49">
        <f t="shared" si="5"/>
        <v>9000000</v>
      </c>
      <c r="K54" s="50">
        <f>$E$54*0.08</f>
        <v>1848000</v>
      </c>
      <c r="L54" s="51">
        <f>$E$54*0.015</f>
        <v>346500</v>
      </c>
      <c r="M54" s="50">
        <f>$E$54*0.01</f>
        <v>231000</v>
      </c>
      <c r="N54" s="52">
        <f t="shared" si="32"/>
        <v>21054000</v>
      </c>
      <c r="O54" s="53">
        <f t="shared" si="0"/>
        <v>24255000</v>
      </c>
      <c r="P54" s="53">
        <f t="shared" si="33"/>
        <v>33255000</v>
      </c>
      <c r="Q54" s="54">
        <f t="shared" si="1"/>
        <v>4988250</v>
      </c>
      <c r="R54" s="55">
        <v>0</v>
      </c>
      <c r="S54" s="54">
        <f t="shared" si="34"/>
        <v>21054000</v>
      </c>
      <c r="T54" s="54">
        <f t="shared" si="2"/>
        <v>24255000</v>
      </c>
      <c r="U54" s="50">
        <f t="shared" si="12"/>
        <v>3201000</v>
      </c>
      <c r="V54" s="46">
        <f t="shared" si="35"/>
        <v>37126500</v>
      </c>
    </row>
    <row r="55" spans="1:22">
      <c r="B55" s="168"/>
      <c r="C55" s="6" t="s">
        <v>123</v>
      </c>
      <c r="D55" s="76">
        <f t="shared" ref="D55:D63" si="36">D54+840000</f>
        <v>32340000</v>
      </c>
      <c r="E55" s="171"/>
      <c r="F55" s="57">
        <f t="shared" si="3"/>
        <v>1446000</v>
      </c>
      <c r="G55" s="57">
        <f t="shared" si="4"/>
        <v>16194000</v>
      </c>
      <c r="H55" s="57">
        <f t="shared" si="24"/>
        <v>17640000</v>
      </c>
      <c r="I55" s="29"/>
      <c r="J55" s="58">
        <f t="shared" si="5"/>
        <v>9000000</v>
      </c>
      <c r="K55" s="59">
        <f t="shared" ref="K55:K63" si="37">$E$54*0.08</f>
        <v>1848000</v>
      </c>
      <c r="L55" s="60">
        <f t="shared" ref="L55:L63" si="38">$E$54*0.015</f>
        <v>346500</v>
      </c>
      <c r="M55" s="59">
        <f t="shared" ref="M55:M63" si="39">$E$54*0.01</f>
        <v>231000</v>
      </c>
      <c r="N55" s="61">
        <f t="shared" si="32"/>
        <v>21894000</v>
      </c>
      <c r="O55" s="62">
        <f t="shared" si="0"/>
        <v>25305000</v>
      </c>
      <c r="P55" s="62">
        <f t="shared" si="33"/>
        <v>34305000</v>
      </c>
      <c r="Q55" s="63">
        <f t="shared" si="1"/>
        <v>5145750</v>
      </c>
      <c r="R55" s="64">
        <v>0</v>
      </c>
      <c r="S55" s="63">
        <f t="shared" si="34"/>
        <v>21894000</v>
      </c>
      <c r="T55" s="63">
        <f t="shared" si="2"/>
        <v>25305000</v>
      </c>
      <c r="U55" s="59">
        <f t="shared" si="12"/>
        <v>3411000</v>
      </c>
      <c r="V55" s="76">
        <f t="shared" si="35"/>
        <v>38176500</v>
      </c>
    </row>
    <row r="56" spans="1:22">
      <c r="B56" s="168"/>
      <c r="C56" s="6" t="s">
        <v>133</v>
      </c>
      <c r="D56" s="76">
        <f t="shared" si="36"/>
        <v>33180000</v>
      </c>
      <c r="E56" s="171"/>
      <c r="F56" s="57">
        <f t="shared" si="3"/>
        <v>1446000</v>
      </c>
      <c r="G56" s="57">
        <f t="shared" si="4"/>
        <v>17034000</v>
      </c>
      <c r="H56" s="57">
        <f t="shared" si="24"/>
        <v>18480000</v>
      </c>
      <c r="I56" s="29"/>
      <c r="J56" s="58">
        <f t="shared" si="5"/>
        <v>9000000</v>
      </c>
      <c r="K56" s="59">
        <f t="shared" si="37"/>
        <v>1848000</v>
      </c>
      <c r="L56" s="60">
        <f t="shared" si="38"/>
        <v>346500</v>
      </c>
      <c r="M56" s="59">
        <f t="shared" si="39"/>
        <v>231000</v>
      </c>
      <c r="N56" s="61">
        <f t="shared" si="32"/>
        <v>22734000</v>
      </c>
      <c r="O56" s="62">
        <f t="shared" si="0"/>
        <v>26355000</v>
      </c>
      <c r="P56" s="62">
        <f t="shared" si="33"/>
        <v>35355000</v>
      </c>
      <c r="Q56" s="63">
        <f t="shared" si="1"/>
        <v>5303250</v>
      </c>
      <c r="R56" s="64">
        <v>0</v>
      </c>
      <c r="S56" s="63">
        <f t="shared" si="34"/>
        <v>22734000</v>
      </c>
      <c r="T56" s="63">
        <f t="shared" si="2"/>
        <v>26355000</v>
      </c>
      <c r="U56" s="59">
        <f t="shared" si="12"/>
        <v>3621000</v>
      </c>
      <c r="V56" s="76">
        <f t="shared" si="35"/>
        <v>39226500</v>
      </c>
    </row>
    <row r="57" spans="1:22">
      <c r="A57" s="5"/>
      <c r="B57" s="168"/>
      <c r="C57" s="6" t="s">
        <v>125</v>
      </c>
      <c r="D57" s="76">
        <f t="shared" si="36"/>
        <v>34020000</v>
      </c>
      <c r="E57" s="171"/>
      <c r="F57" s="57">
        <f t="shared" si="3"/>
        <v>1446000</v>
      </c>
      <c r="G57" s="57">
        <f t="shared" si="4"/>
        <v>17874000</v>
      </c>
      <c r="H57" s="57">
        <f t="shared" si="24"/>
        <v>19320000</v>
      </c>
      <c r="I57" s="29"/>
      <c r="J57" s="58">
        <f t="shared" si="5"/>
        <v>9000000</v>
      </c>
      <c r="K57" s="59">
        <f t="shared" si="37"/>
        <v>1848000</v>
      </c>
      <c r="L57" s="60">
        <f t="shared" si="38"/>
        <v>346500</v>
      </c>
      <c r="M57" s="59">
        <f t="shared" si="39"/>
        <v>231000</v>
      </c>
      <c r="N57" s="61">
        <f t="shared" si="32"/>
        <v>23574000</v>
      </c>
      <c r="O57" s="62">
        <f t="shared" si="0"/>
        <v>27405000</v>
      </c>
      <c r="P57" s="62">
        <f t="shared" si="33"/>
        <v>36405000</v>
      </c>
      <c r="Q57" s="63">
        <f t="shared" si="1"/>
        <v>5460750</v>
      </c>
      <c r="R57" s="64">
        <v>0</v>
      </c>
      <c r="S57" s="63">
        <f t="shared" si="34"/>
        <v>23574000</v>
      </c>
      <c r="T57" s="63">
        <f t="shared" si="2"/>
        <v>27405000</v>
      </c>
      <c r="U57" s="59">
        <f t="shared" si="12"/>
        <v>3831000</v>
      </c>
      <c r="V57" s="76">
        <f t="shared" si="35"/>
        <v>40276500</v>
      </c>
    </row>
    <row r="58" spans="1:22">
      <c r="A58" s="5"/>
      <c r="B58" s="168"/>
      <c r="C58" s="6" t="s">
        <v>126</v>
      </c>
      <c r="D58" s="76">
        <f t="shared" si="36"/>
        <v>34860000</v>
      </c>
      <c r="E58" s="171"/>
      <c r="F58" s="57">
        <f t="shared" si="3"/>
        <v>1446000</v>
      </c>
      <c r="G58" s="57">
        <f t="shared" si="4"/>
        <v>18714000</v>
      </c>
      <c r="H58" s="57">
        <f t="shared" si="24"/>
        <v>20160000</v>
      </c>
      <c r="I58" s="29"/>
      <c r="J58" s="58">
        <f t="shared" si="5"/>
        <v>9000000</v>
      </c>
      <c r="K58" s="59">
        <f t="shared" si="37"/>
        <v>1848000</v>
      </c>
      <c r="L58" s="60">
        <f t="shared" si="38"/>
        <v>346500</v>
      </c>
      <c r="M58" s="59">
        <f t="shared" si="39"/>
        <v>231000</v>
      </c>
      <c r="N58" s="61">
        <f t="shared" si="32"/>
        <v>24414000</v>
      </c>
      <c r="O58" s="62">
        <f t="shared" si="0"/>
        <v>28455000</v>
      </c>
      <c r="P58" s="62">
        <f t="shared" si="33"/>
        <v>37455000</v>
      </c>
      <c r="Q58" s="63">
        <f t="shared" si="1"/>
        <v>5618250</v>
      </c>
      <c r="R58" s="64">
        <v>0</v>
      </c>
      <c r="S58" s="63">
        <f t="shared" si="34"/>
        <v>24414000</v>
      </c>
      <c r="T58" s="63">
        <f t="shared" si="2"/>
        <v>28455000</v>
      </c>
      <c r="U58" s="59">
        <f t="shared" si="12"/>
        <v>4041000</v>
      </c>
      <c r="V58" s="76">
        <f t="shared" si="35"/>
        <v>41326500</v>
      </c>
    </row>
    <row r="59" spans="1:22">
      <c r="A59" s="5"/>
      <c r="B59" s="168"/>
      <c r="C59" s="6" t="s">
        <v>127</v>
      </c>
      <c r="D59" s="76">
        <f t="shared" si="36"/>
        <v>35700000</v>
      </c>
      <c r="E59" s="171"/>
      <c r="F59" s="57">
        <f t="shared" si="3"/>
        <v>1446000</v>
      </c>
      <c r="G59" s="57">
        <f t="shared" si="4"/>
        <v>19554000</v>
      </c>
      <c r="H59" s="57">
        <f t="shared" si="24"/>
        <v>21000000</v>
      </c>
      <c r="I59" s="29"/>
      <c r="J59" s="58">
        <f t="shared" si="5"/>
        <v>9000000</v>
      </c>
      <c r="K59" s="59">
        <f t="shared" si="37"/>
        <v>1848000</v>
      </c>
      <c r="L59" s="60">
        <f t="shared" si="38"/>
        <v>346500</v>
      </c>
      <c r="M59" s="59">
        <f t="shared" si="39"/>
        <v>231000</v>
      </c>
      <c r="N59" s="61">
        <f t="shared" si="32"/>
        <v>25254000</v>
      </c>
      <c r="O59" s="62">
        <f t="shared" si="0"/>
        <v>29505000</v>
      </c>
      <c r="P59" s="62">
        <f t="shared" si="33"/>
        <v>38505000</v>
      </c>
      <c r="Q59" s="63">
        <f t="shared" si="1"/>
        <v>5775750</v>
      </c>
      <c r="R59" s="64">
        <v>0</v>
      </c>
      <c r="S59" s="63">
        <f t="shared" si="34"/>
        <v>25254000</v>
      </c>
      <c r="T59" s="63">
        <f t="shared" si="2"/>
        <v>29505000</v>
      </c>
      <c r="U59" s="59">
        <f t="shared" si="12"/>
        <v>4251000</v>
      </c>
      <c r="V59" s="76">
        <f t="shared" si="35"/>
        <v>42376500</v>
      </c>
    </row>
    <row r="60" spans="1:22">
      <c r="A60" s="5"/>
      <c r="B60" s="168"/>
      <c r="C60" s="6" t="s">
        <v>134</v>
      </c>
      <c r="D60" s="76">
        <f t="shared" si="36"/>
        <v>36540000</v>
      </c>
      <c r="E60" s="171"/>
      <c r="F60" s="57">
        <f t="shared" si="3"/>
        <v>1446000</v>
      </c>
      <c r="G60" s="57">
        <f t="shared" si="4"/>
        <v>20394000</v>
      </c>
      <c r="H60" s="57">
        <f t="shared" si="24"/>
        <v>21840000</v>
      </c>
      <c r="I60" s="29"/>
      <c r="J60" s="58">
        <f t="shared" si="5"/>
        <v>9000000</v>
      </c>
      <c r="K60" s="59">
        <f t="shared" si="37"/>
        <v>1848000</v>
      </c>
      <c r="L60" s="60">
        <f t="shared" si="38"/>
        <v>346500</v>
      </c>
      <c r="M60" s="59">
        <f t="shared" si="39"/>
        <v>231000</v>
      </c>
      <c r="N60" s="61">
        <f t="shared" si="32"/>
        <v>26094000</v>
      </c>
      <c r="O60" s="62">
        <f t="shared" si="0"/>
        <v>30555000</v>
      </c>
      <c r="P60" s="62">
        <f t="shared" si="33"/>
        <v>39555000</v>
      </c>
      <c r="Q60" s="63">
        <f t="shared" si="1"/>
        <v>5933250</v>
      </c>
      <c r="R60" s="64">
        <v>0</v>
      </c>
      <c r="S60" s="63">
        <f t="shared" si="34"/>
        <v>26094000</v>
      </c>
      <c r="T60" s="63">
        <f t="shared" si="2"/>
        <v>30555000</v>
      </c>
      <c r="U60" s="59">
        <f t="shared" si="12"/>
        <v>4461000</v>
      </c>
      <c r="V60" s="76">
        <f t="shared" si="35"/>
        <v>43426500</v>
      </c>
    </row>
    <row r="61" spans="1:22">
      <c r="A61" s="5"/>
      <c r="B61" s="168"/>
      <c r="C61" s="8" t="s">
        <v>129</v>
      </c>
      <c r="D61" s="76">
        <f t="shared" si="36"/>
        <v>37380000</v>
      </c>
      <c r="E61" s="171"/>
      <c r="F61" s="57">
        <f t="shared" si="3"/>
        <v>1446000</v>
      </c>
      <c r="G61" s="57">
        <f t="shared" si="4"/>
        <v>21234000</v>
      </c>
      <c r="H61" s="57">
        <f t="shared" si="24"/>
        <v>22680000</v>
      </c>
      <c r="I61" s="29"/>
      <c r="J61" s="58">
        <f t="shared" si="5"/>
        <v>9000000</v>
      </c>
      <c r="K61" s="59">
        <f t="shared" si="37"/>
        <v>1848000</v>
      </c>
      <c r="L61" s="60">
        <f t="shared" si="38"/>
        <v>346500</v>
      </c>
      <c r="M61" s="59">
        <f t="shared" si="39"/>
        <v>231000</v>
      </c>
      <c r="N61" s="61">
        <f t="shared" si="32"/>
        <v>26934000</v>
      </c>
      <c r="O61" s="62">
        <f t="shared" si="0"/>
        <v>31605000</v>
      </c>
      <c r="P61" s="62">
        <f t="shared" si="33"/>
        <v>40605000</v>
      </c>
      <c r="Q61" s="63">
        <f t="shared" si="1"/>
        <v>6090750</v>
      </c>
      <c r="R61" s="64">
        <v>0</v>
      </c>
      <c r="S61" s="63">
        <f t="shared" si="34"/>
        <v>26934000</v>
      </c>
      <c r="T61" s="63">
        <f t="shared" si="2"/>
        <v>31605000</v>
      </c>
      <c r="U61" s="59">
        <f t="shared" si="12"/>
        <v>4671000</v>
      </c>
      <c r="V61" s="76">
        <f t="shared" si="35"/>
        <v>44476500</v>
      </c>
    </row>
    <row r="62" spans="1:22">
      <c r="A62" s="5"/>
      <c r="B62" s="168"/>
      <c r="C62" s="8" t="s">
        <v>130</v>
      </c>
      <c r="D62" s="76">
        <f t="shared" si="36"/>
        <v>38220000</v>
      </c>
      <c r="E62" s="171"/>
      <c r="F62" s="57">
        <f t="shared" si="3"/>
        <v>1446000</v>
      </c>
      <c r="G62" s="57">
        <f t="shared" si="4"/>
        <v>22074000</v>
      </c>
      <c r="H62" s="57">
        <f t="shared" si="24"/>
        <v>23520000</v>
      </c>
      <c r="I62" s="29"/>
      <c r="J62" s="58">
        <f t="shared" si="5"/>
        <v>9000000</v>
      </c>
      <c r="K62" s="59">
        <f t="shared" si="37"/>
        <v>1848000</v>
      </c>
      <c r="L62" s="60">
        <f t="shared" si="38"/>
        <v>346500</v>
      </c>
      <c r="M62" s="59">
        <f t="shared" si="39"/>
        <v>231000</v>
      </c>
      <c r="N62" s="61">
        <f t="shared" si="32"/>
        <v>27774000</v>
      </c>
      <c r="O62" s="62">
        <f t="shared" si="0"/>
        <v>32698666.666666668</v>
      </c>
      <c r="P62" s="62">
        <f t="shared" si="33"/>
        <v>41698666.666666672</v>
      </c>
      <c r="Q62" s="63">
        <f t="shared" si="1"/>
        <v>6254800.0000000009</v>
      </c>
      <c r="R62" s="64">
        <v>0</v>
      </c>
      <c r="S62" s="63">
        <f t="shared" si="34"/>
        <v>27774000</v>
      </c>
      <c r="T62" s="63">
        <f t="shared" si="2"/>
        <v>32698666.666666668</v>
      </c>
      <c r="U62" s="59">
        <f t="shared" si="12"/>
        <v>4924667</v>
      </c>
      <c r="V62" s="76">
        <f t="shared" si="35"/>
        <v>45570167</v>
      </c>
    </row>
    <row r="63" spans="1:22" ht="16" thickBot="1">
      <c r="A63" s="5"/>
      <c r="B63" s="169"/>
      <c r="C63" s="9" t="s">
        <v>137</v>
      </c>
      <c r="D63" s="66">
        <f t="shared" si="36"/>
        <v>39060000</v>
      </c>
      <c r="E63" s="172"/>
      <c r="F63" s="67">
        <f t="shared" si="3"/>
        <v>1446000</v>
      </c>
      <c r="G63" s="67">
        <f t="shared" si="4"/>
        <v>22914000</v>
      </c>
      <c r="H63" s="67">
        <f t="shared" si="24"/>
        <v>24360000</v>
      </c>
      <c r="I63" s="31"/>
      <c r="J63" s="69">
        <f t="shared" si="5"/>
        <v>9000000</v>
      </c>
      <c r="K63" s="70">
        <f t="shared" si="37"/>
        <v>1848000</v>
      </c>
      <c r="L63" s="71">
        <f t="shared" si="38"/>
        <v>346500</v>
      </c>
      <c r="M63" s="70">
        <f t="shared" si="39"/>
        <v>231000</v>
      </c>
      <c r="N63" s="72">
        <f t="shared" si="32"/>
        <v>28614000</v>
      </c>
      <c r="O63" s="73">
        <f t="shared" si="0"/>
        <v>33818666.666666664</v>
      </c>
      <c r="P63" s="73">
        <f t="shared" si="33"/>
        <v>42818666.666666664</v>
      </c>
      <c r="Q63" s="74">
        <f t="shared" si="1"/>
        <v>6422799.9999999991</v>
      </c>
      <c r="R63" s="75">
        <v>0</v>
      </c>
      <c r="S63" s="74">
        <f t="shared" si="34"/>
        <v>28614000</v>
      </c>
      <c r="T63" s="74">
        <f t="shared" si="2"/>
        <v>33818666.666666664</v>
      </c>
      <c r="U63" s="70">
        <f t="shared" si="12"/>
        <v>5204667</v>
      </c>
      <c r="V63" s="66">
        <f t="shared" si="35"/>
        <v>46690167</v>
      </c>
    </row>
  </sheetData>
  <mergeCells count="35">
    <mergeCell ref="T1:T3"/>
    <mergeCell ref="U1:U3"/>
    <mergeCell ref="V1:V3"/>
    <mergeCell ref="H2:H3"/>
    <mergeCell ref="K2:K3"/>
    <mergeCell ref="L2:L3"/>
    <mergeCell ref="M2:M3"/>
    <mergeCell ref="O1:O3"/>
    <mergeCell ref="P1:P3"/>
    <mergeCell ref="Q1:Q3"/>
    <mergeCell ref="R1:R3"/>
    <mergeCell ref="S1:S3"/>
    <mergeCell ref="F1:H1"/>
    <mergeCell ref="I1:I3"/>
    <mergeCell ref="J1:J3"/>
    <mergeCell ref="K1:M1"/>
    <mergeCell ref="N1:N3"/>
    <mergeCell ref="B1:B3"/>
    <mergeCell ref="C1:C3"/>
    <mergeCell ref="D1:D3"/>
    <mergeCell ref="E1:E3"/>
    <mergeCell ref="G2:G3"/>
    <mergeCell ref="B4:B13"/>
    <mergeCell ref="E4:E13"/>
    <mergeCell ref="B14:B23"/>
    <mergeCell ref="E14:E23"/>
    <mergeCell ref="F2:F3"/>
    <mergeCell ref="B54:B63"/>
    <mergeCell ref="E54:E63"/>
    <mergeCell ref="B24:B33"/>
    <mergeCell ref="E24:E33"/>
    <mergeCell ref="B34:B43"/>
    <mergeCell ref="E34:E43"/>
    <mergeCell ref="B44:B53"/>
    <mergeCell ref="E44:E53"/>
  </mergeCells>
  <phoneticPr fontId="4"/>
  <pageMargins left="0.7" right="0.7" top="0.75" bottom="0.75" header="0.3" footer="0.3"/>
  <pageSetup paperSize="9" scale="65" orientation="portrait" horizontalDpi="4294967292" verticalDpi="4294967292"/>
  <rowBreaks count="1" manualBreakCount="1">
    <brk id="63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0" OnePage="0" WScale="6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KPI result</vt:lpstr>
      <vt:lpstr>Salary rising</vt:lpstr>
      <vt:lpstr>Salary table</vt:lpstr>
    </vt:vector>
  </TitlesOfParts>
  <Company>Jelly Fish HR Co.,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中園 晋二郎</dc:creator>
  <cp:lastModifiedBy>Windows</cp:lastModifiedBy>
  <cp:lastPrinted>2018-09-24T10:16:36Z</cp:lastPrinted>
  <dcterms:created xsi:type="dcterms:W3CDTF">2018-04-03T10:48:17Z</dcterms:created>
  <dcterms:modified xsi:type="dcterms:W3CDTF">2021-05-25T10:08:21Z</dcterms:modified>
</cp:coreProperties>
</file>