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/>
  <mc:AlternateContent xmlns:mc="http://schemas.openxmlformats.org/markup-compatibility/2006">
    <mc:Choice Requires="x15">
      <x15ac:absPath xmlns:x15ac="http://schemas.microsoft.com/office/spreadsheetml/2010/11/ac" url="/Users/nganphan/Downloads/"/>
    </mc:Choice>
  </mc:AlternateContent>
  <xr:revisionPtr revIDLastSave="0" documentId="8_{BB23EDA6-4F5D-AE41-909E-828234D51407}" xr6:coauthVersionLast="47" xr6:coauthVersionMax="47" xr10:uidLastSave="{00000000-0000-0000-0000-000000000000}"/>
  <bookViews>
    <workbookView xWindow="9680" yWindow="640" windowWidth="19920" windowHeight="16480" firstSheet="1" activeTab="7" xr2:uid="{00000000-000D-0000-FFFF-FFFF00000000}"/>
  </bookViews>
  <sheets>
    <sheet name="Income Statement" sheetId="2" r:id="rId1"/>
    <sheet name="BS" sheetId="8" r:id="rId2"/>
    <sheet name="CFS" sheetId="9" r:id="rId3"/>
    <sheet name="Historical data" sheetId="11" r:id="rId4"/>
    <sheet name="3-Statements" sheetId="15" r:id="rId5"/>
    <sheet name="Captial Budgeting analysis" sheetId="17" r:id="rId6"/>
    <sheet name="Ratio Analysis" sheetId="12" r:id="rId7"/>
    <sheet name="Stock " sheetId="14" r:id="rId8"/>
    <sheet name="DCF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G15" i="4"/>
  <c r="B23" i="4"/>
  <c r="C23" i="4" s="1"/>
  <c r="D23" i="4" s="1"/>
  <c r="E23" i="4" s="1"/>
  <c r="F23" i="4" s="1"/>
  <c r="G23" i="4" s="1"/>
  <c r="G25" i="4" l="1"/>
  <c r="B26" i="4"/>
  <c r="B11" i="15"/>
  <c r="I30" i="15"/>
  <c r="F30" i="15"/>
  <c r="G30" i="15"/>
  <c r="H30" i="15"/>
  <c r="E30" i="15"/>
  <c r="B30" i="15"/>
  <c r="C30" i="15"/>
  <c r="D30" i="15"/>
  <c r="C10" i="15"/>
  <c r="D10" i="15"/>
  <c r="B10" i="15"/>
  <c r="D18" i="15"/>
  <c r="C18" i="15"/>
  <c r="B18" i="15"/>
  <c r="D17" i="15"/>
  <c r="C17" i="15"/>
  <c r="B17" i="15"/>
  <c r="D66" i="15"/>
  <c r="C66" i="15"/>
  <c r="B66" i="15"/>
  <c r="D65" i="15"/>
  <c r="E65" i="15" s="1"/>
  <c r="F65" i="15" s="1"/>
  <c r="G65" i="15" s="1"/>
  <c r="H65" i="15" s="1"/>
  <c r="I65" i="15" s="1"/>
  <c r="C65" i="15"/>
  <c r="B65" i="15"/>
  <c r="D64" i="15"/>
  <c r="E64" i="15" s="1"/>
  <c r="F64" i="15" s="1"/>
  <c r="G64" i="15" s="1"/>
  <c r="H64" i="15" s="1"/>
  <c r="I64" i="15" s="1"/>
  <c r="C64" i="15"/>
  <c r="B64" i="15"/>
  <c r="D63" i="15"/>
  <c r="E63" i="15" s="1"/>
  <c r="C63" i="15"/>
  <c r="B63" i="15"/>
  <c r="D61" i="15"/>
  <c r="E61" i="15" s="1"/>
  <c r="F61" i="15" s="1"/>
  <c r="G61" i="15" s="1"/>
  <c r="H61" i="15" s="1"/>
  <c r="I61" i="15" s="1"/>
  <c r="C61" i="15"/>
  <c r="B61" i="15"/>
  <c r="D60" i="15"/>
  <c r="C60" i="15"/>
  <c r="B60" i="15"/>
  <c r="D57" i="15"/>
  <c r="C57" i="15"/>
  <c r="B57" i="15"/>
  <c r="D56" i="15"/>
  <c r="C56" i="15"/>
  <c r="B56" i="15"/>
  <c r="D49" i="15"/>
  <c r="C49" i="15"/>
  <c r="B49" i="15"/>
  <c r="D48" i="15"/>
  <c r="E48" i="15" s="1"/>
  <c r="F48" i="15" s="1"/>
  <c r="G48" i="15" s="1"/>
  <c r="H48" i="15" s="1"/>
  <c r="I48" i="15" s="1"/>
  <c r="C48" i="15"/>
  <c r="B48" i="15"/>
  <c r="D55" i="15"/>
  <c r="C55" i="15"/>
  <c r="B55" i="15"/>
  <c r="F63" i="15" l="1"/>
  <c r="E66" i="15"/>
  <c r="B7" i="11"/>
  <c r="C7" i="11"/>
  <c r="D7" i="11"/>
  <c r="E7" i="11"/>
  <c r="E24" i="12" s="1"/>
  <c r="F7" i="11"/>
  <c r="F24" i="12" s="1"/>
  <c r="G7" i="11"/>
  <c r="H7" i="11"/>
  <c r="H24" i="12" s="1"/>
  <c r="I7" i="11"/>
  <c r="I24" i="12" s="1"/>
  <c r="J7" i="11"/>
  <c r="K7" i="11"/>
  <c r="B13" i="11"/>
  <c r="C13" i="11"/>
  <c r="C14" i="12" s="1"/>
  <c r="D13" i="11"/>
  <c r="D14" i="12" s="1"/>
  <c r="E13" i="11"/>
  <c r="F13" i="11"/>
  <c r="F14" i="12" s="1"/>
  <c r="G13" i="11"/>
  <c r="G14" i="12" s="1"/>
  <c r="H13" i="11"/>
  <c r="I13" i="11"/>
  <c r="J13" i="11"/>
  <c r="K13" i="11"/>
  <c r="K14" i="12" s="1"/>
  <c r="D58" i="15"/>
  <c r="C58" i="15"/>
  <c r="C67" i="15" s="1"/>
  <c r="B58" i="15"/>
  <c r="B67" i="15" s="1"/>
  <c r="D54" i="15"/>
  <c r="E54" i="15" s="1"/>
  <c r="F54" i="15" s="1"/>
  <c r="G54" i="15" s="1"/>
  <c r="H54" i="15" s="1"/>
  <c r="I54" i="15" s="1"/>
  <c r="C54" i="15"/>
  <c r="B54" i="15"/>
  <c r="J28" i="12"/>
  <c r="K28" i="12"/>
  <c r="C28" i="12"/>
  <c r="D28" i="12"/>
  <c r="E28" i="12"/>
  <c r="F28" i="12"/>
  <c r="G28" i="12"/>
  <c r="H28" i="12"/>
  <c r="I28" i="12"/>
  <c r="B28" i="12"/>
  <c r="J27" i="12"/>
  <c r="K27" i="12"/>
  <c r="C27" i="12"/>
  <c r="D27" i="12"/>
  <c r="E27" i="12"/>
  <c r="F27" i="12"/>
  <c r="G27" i="12"/>
  <c r="H27" i="12"/>
  <c r="I27" i="12"/>
  <c r="B27" i="12"/>
  <c r="K46" i="11"/>
  <c r="J46" i="11"/>
  <c r="I46" i="11"/>
  <c r="H46" i="11"/>
  <c r="G46" i="11"/>
  <c r="F46" i="11"/>
  <c r="E46" i="11"/>
  <c r="D46" i="11"/>
  <c r="C46" i="11"/>
  <c r="B46" i="11"/>
  <c r="K44" i="11"/>
  <c r="J44" i="11"/>
  <c r="I44" i="11"/>
  <c r="H44" i="11"/>
  <c r="G44" i="11"/>
  <c r="F44" i="11"/>
  <c r="E44" i="11"/>
  <c r="D44" i="11"/>
  <c r="C44" i="11"/>
  <c r="B44" i="11"/>
  <c r="K25" i="12"/>
  <c r="D25" i="12"/>
  <c r="E25" i="12"/>
  <c r="F25" i="12"/>
  <c r="G25" i="12"/>
  <c r="H25" i="12"/>
  <c r="I25" i="12"/>
  <c r="J25" i="12"/>
  <c r="C25" i="12"/>
  <c r="K50" i="11"/>
  <c r="J50" i="11"/>
  <c r="I50" i="11"/>
  <c r="H50" i="11"/>
  <c r="G50" i="11"/>
  <c r="F50" i="11"/>
  <c r="E50" i="11"/>
  <c r="D50" i="11"/>
  <c r="C50" i="11"/>
  <c r="B50" i="11"/>
  <c r="K24" i="12"/>
  <c r="D24" i="12"/>
  <c r="G24" i="12"/>
  <c r="J24" i="12"/>
  <c r="C24" i="12"/>
  <c r="K48" i="11"/>
  <c r="J48" i="11"/>
  <c r="I48" i="11"/>
  <c r="H48" i="11"/>
  <c r="G48" i="11"/>
  <c r="F48" i="11"/>
  <c r="E48" i="11"/>
  <c r="D48" i="11"/>
  <c r="C48" i="11"/>
  <c r="B48" i="11"/>
  <c r="K22" i="12"/>
  <c r="J22" i="12"/>
  <c r="I22" i="12"/>
  <c r="H22" i="12"/>
  <c r="G22" i="12"/>
  <c r="F22" i="12"/>
  <c r="E22" i="12"/>
  <c r="D22" i="12"/>
  <c r="C22" i="12"/>
  <c r="B22" i="12"/>
  <c r="C4" i="12"/>
  <c r="D4" i="12"/>
  <c r="E4" i="12"/>
  <c r="F4" i="12"/>
  <c r="G4" i="12"/>
  <c r="H4" i="12"/>
  <c r="I4" i="12"/>
  <c r="J4" i="12"/>
  <c r="K4" i="12"/>
  <c r="C6" i="12"/>
  <c r="D6" i="12"/>
  <c r="E6" i="12"/>
  <c r="F6" i="12"/>
  <c r="G6" i="12"/>
  <c r="H6" i="12"/>
  <c r="I6" i="12"/>
  <c r="J6" i="12"/>
  <c r="K6" i="12"/>
  <c r="C7" i="12"/>
  <c r="D7" i="12"/>
  <c r="E7" i="12"/>
  <c r="F7" i="12"/>
  <c r="G7" i="12"/>
  <c r="H7" i="12"/>
  <c r="I7" i="12"/>
  <c r="J7" i="12"/>
  <c r="K7" i="12"/>
  <c r="C10" i="12"/>
  <c r="D10" i="12"/>
  <c r="E10" i="12"/>
  <c r="F10" i="12"/>
  <c r="G10" i="12"/>
  <c r="H10" i="12"/>
  <c r="I10" i="12"/>
  <c r="J10" i="12"/>
  <c r="K10" i="12"/>
  <c r="C12" i="12"/>
  <c r="D12" i="12"/>
  <c r="E12" i="12"/>
  <c r="F12" i="12"/>
  <c r="G12" i="12"/>
  <c r="H12" i="12"/>
  <c r="I12" i="12"/>
  <c r="J12" i="12"/>
  <c r="K12" i="12"/>
  <c r="E14" i="12"/>
  <c r="H14" i="12"/>
  <c r="I14" i="12"/>
  <c r="J14" i="12"/>
  <c r="C15" i="12"/>
  <c r="D15" i="12"/>
  <c r="E15" i="12"/>
  <c r="F15" i="12"/>
  <c r="G15" i="12"/>
  <c r="H15" i="12"/>
  <c r="I15" i="12"/>
  <c r="J15" i="12"/>
  <c r="K15" i="12"/>
  <c r="C18" i="12"/>
  <c r="D18" i="12"/>
  <c r="E18" i="12"/>
  <c r="F18" i="12"/>
  <c r="G18" i="12"/>
  <c r="H18" i="12"/>
  <c r="I18" i="12"/>
  <c r="J18" i="12"/>
  <c r="K18" i="12"/>
  <c r="C19" i="12"/>
  <c r="D19" i="12"/>
  <c r="E19" i="12"/>
  <c r="F19" i="12"/>
  <c r="G19" i="12"/>
  <c r="H19" i="12"/>
  <c r="I19" i="12"/>
  <c r="J19" i="12"/>
  <c r="K19" i="12"/>
  <c r="C20" i="12"/>
  <c r="D20" i="12"/>
  <c r="E20" i="12"/>
  <c r="F20" i="12"/>
  <c r="G20" i="12"/>
  <c r="H20" i="12"/>
  <c r="I20" i="12"/>
  <c r="J20" i="12"/>
  <c r="K20" i="12"/>
  <c r="C21" i="12"/>
  <c r="D21" i="12"/>
  <c r="E21" i="12"/>
  <c r="F21" i="12"/>
  <c r="G21" i="12"/>
  <c r="H21" i="12"/>
  <c r="I21" i="12"/>
  <c r="J21" i="12"/>
  <c r="K21" i="12"/>
  <c r="E58" i="15" l="1"/>
  <c r="D67" i="15"/>
  <c r="G63" i="15"/>
  <c r="F66" i="15"/>
  <c r="H63" i="15" l="1"/>
  <c r="G66" i="15"/>
  <c r="F58" i="15"/>
  <c r="E67" i="15"/>
  <c r="D47" i="15"/>
  <c r="E47" i="15" s="1"/>
  <c r="F47" i="15" s="1"/>
  <c r="G47" i="15" s="1"/>
  <c r="H47" i="15" s="1"/>
  <c r="I47" i="15" s="1"/>
  <c r="C47" i="15"/>
  <c r="B47" i="15"/>
  <c r="K5" i="11"/>
  <c r="J5" i="11"/>
  <c r="C16" i="17"/>
  <c r="C14" i="17"/>
  <c r="C12" i="17"/>
  <c r="D7" i="17"/>
  <c r="E7" i="17" s="1"/>
  <c r="F7" i="17" s="1"/>
  <c r="G7" i="17" s="1"/>
  <c r="H7" i="17" s="1"/>
  <c r="I7" i="17" s="1"/>
  <c r="J7" i="17" s="1"/>
  <c r="K7" i="17" s="1"/>
  <c r="C7" i="17"/>
  <c r="B7" i="17"/>
  <c r="K6" i="17"/>
  <c r="C6" i="17"/>
  <c r="D6" i="17"/>
  <c r="E6" i="17"/>
  <c r="F6" i="17"/>
  <c r="G6" i="17"/>
  <c r="H6" i="17"/>
  <c r="I6" i="17"/>
  <c r="J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G58" i="15" l="1"/>
  <c r="F67" i="15"/>
  <c r="I63" i="15"/>
  <c r="I66" i="15" s="1"/>
  <c r="H66" i="15"/>
  <c r="K20" i="4"/>
  <c r="J20" i="4"/>
  <c r="I20" i="4"/>
  <c r="H20" i="4"/>
  <c r="H21" i="4" s="1"/>
  <c r="G20" i="4"/>
  <c r="F20" i="4"/>
  <c r="E20" i="4"/>
  <c r="D20" i="4"/>
  <c r="C20" i="4"/>
  <c r="B20" i="4"/>
  <c r="D45" i="15"/>
  <c r="E45" i="15" s="1"/>
  <c r="F45" i="15" s="1"/>
  <c r="G45" i="15" s="1"/>
  <c r="H45" i="15" s="1"/>
  <c r="I45" i="15" s="1"/>
  <c r="C45" i="15"/>
  <c r="B45" i="15"/>
  <c r="D44" i="15"/>
  <c r="E44" i="15" s="1"/>
  <c r="F44" i="15" s="1"/>
  <c r="G44" i="15" s="1"/>
  <c r="H44" i="15" s="1"/>
  <c r="I44" i="15" s="1"/>
  <c r="C44" i="15"/>
  <c r="B44" i="15"/>
  <c r="D43" i="15"/>
  <c r="E43" i="15" s="1"/>
  <c r="F43" i="15" s="1"/>
  <c r="G43" i="15" s="1"/>
  <c r="H43" i="15" s="1"/>
  <c r="I43" i="15" s="1"/>
  <c r="C43" i="15"/>
  <c r="B43" i="15"/>
  <c r="D42" i="15"/>
  <c r="C42" i="15"/>
  <c r="B42" i="15"/>
  <c r="D40" i="15"/>
  <c r="C40" i="15"/>
  <c r="B40" i="15"/>
  <c r="D39" i="15"/>
  <c r="E39" i="15" s="1"/>
  <c r="F39" i="15" s="1"/>
  <c r="G39" i="15" s="1"/>
  <c r="H39" i="15" s="1"/>
  <c r="I39" i="15" s="1"/>
  <c r="C39" i="15"/>
  <c r="B39" i="15"/>
  <c r="D38" i="15"/>
  <c r="C38" i="15"/>
  <c r="B38" i="15"/>
  <c r="D37" i="15"/>
  <c r="C37" i="15"/>
  <c r="B37" i="15"/>
  <c r="D36" i="15"/>
  <c r="C36" i="15"/>
  <c r="C15" i="15" s="1"/>
  <c r="B36" i="15"/>
  <c r="D35" i="15"/>
  <c r="C35" i="15"/>
  <c r="B35" i="15"/>
  <c r="D34" i="15"/>
  <c r="C34" i="15"/>
  <c r="B34" i="15"/>
  <c r="C9" i="15"/>
  <c r="D9" i="15"/>
  <c r="B9" i="15"/>
  <c r="C29" i="15"/>
  <c r="C52" i="15" s="1"/>
  <c r="D29" i="15"/>
  <c r="D52" i="15" s="1"/>
  <c r="B29" i="15"/>
  <c r="B52" i="15" s="1"/>
  <c r="C28" i="15"/>
  <c r="D28" i="15"/>
  <c r="B28" i="15"/>
  <c r="C26" i="15"/>
  <c r="D26" i="15"/>
  <c r="B26" i="15"/>
  <c r="C24" i="15"/>
  <c r="D24" i="15"/>
  <c r="B24" i="15"/>
  <c r="C23" i="15"/>
  <c r="D23" i="15"/>
  <c r="B23" i="15"/>
  <c r="C21" i="15"/>
  <c r="D21" i="15"/>
  <c r="B21" i="15"/>
  <c r="C20" i="15"/>
  <c r="C12" i="15" s="1"/>
  <c r="D20" i="15"/>
  <c r="B20" i="15"/>
  <c r="B12" i="15" s="1"/>
  <c r="C8" i="15"/>
  <c r="D8" i="15"/>
  <c r="B8" i="15"/>
  <c r="K22" i="11"/>
  <c r="J22" i="11"/>
  <c r="I22" i="11"/>
  <c r="H22" i="11"/>
  <c r="G22" i="11"/>
  <c r="F22" i="11"/>
  <c r="E22" i="11"/>
  <c r="D22" i="11"/>
  <c r="C22" i="11"/>
  <c r="B22" i="11"/>
  <c r="C5" i="15"/>
  <c r="D5" i="15"/>
  <c r="B5" i="15"/>
  <c r="F21" i="4" l="1"/>
  <c r="G21" i="4"/>
  <c r="J21" i="4"/>
  <c r="K21" i="4"/>
  <c r="D21" i="4"/>
  <c r="E21" i="4"/>
  <c r="I21" i="4"/>
  <c r="C21" i="4"/>
  <c r="D16" i="15"/>
  <c r="D14" i="15"/>
  <c r="B15" i="15"/>
  <c r="C16" i="15"/>
  <c r="H58" i="15"/>
  <c r="G67" i="15"/>
  <c r="D15" i="15"/>
  <c r="C11" i="15"/>
  <c r="E34" i="15"/>
  <c r="D11" i="15"/>
  <c r="B16" i="15"/>
  <c r="B53" i="15"/>
  <c r="B13" i="15"/>
  <c r="D53" i="15"/>
  <c r="D13" i="15"/>
  <c r="C53" i="15"/>
  <c r="C13" i="15"/>
  <c r="B14" i="15"/>
  <c r="E20" i="15"/>
  <c r="D12" i="15"/>
  <c r="C14" i="15"/>
  <c r="B22" i="15"/>
  <c r="D22" i="15"/>
  <c r="C22" i="15"/>
  <c r="I58" i="15" l="1"/>
  <c r="I67" i="15" s="1"/>
  <c r="H67" i="15"/>
  <c r="E42" i="15"/>
  <c r="E56" i="15" s="1"/>
  <c r="E35" i="15"/>
  <c r="E55" i="15" s="1"/>
  <c r="E60" i="15"/>
  <c r="F34" i="15"/>
  <c r="E24" i="15"/>
  <c r="E53" i="15" s="1"/>
  <c r="F20" i="15"/>
  <c r="E23" i="15"/>
  <c r="E21" i="15"/>
  <c r="K30" i="12"/>
  <c r="C30" i="12"/>
  <c r="D30" i="12"/>
  <c r="E30" i="12"/>
  <c r="F30" i="12"/>
  <c r="G30" i="12"/>
  <c r="H30" i="12"/>
  <c r="I30" i="12"/>
  <c r="J30" i="12"/>
  <c r="B30" i="12"/>
  <c r="K49" i="11"/>
  <c r="J49" i="11"/>
  <c r="I49" i="11"/>
  <c r="H49" i="11"/>
  <c r="G49" i="11"/>
  <c r="F49" i="11"/>
  <c r="E49" i="11"/>
  <c r="D49" i="11"/>
  <c r="C49" i="11"/>
  <c r="B49" i="11"/>
  <c r="B21" i="12"/>
  <c r="B20" i="12"/>
  <c r="B19" i="12"/>
  <c r="B18" i="12"/>
  <c r="K47" i="11"/>
  <c r="J47" i="11"/>
  <c r="I47" i="11"/>
  <c r="H47" i="11"/>
  <c r="G47" i="11"/>
  <c r="F47" i="11"/>
  <c r="E47" i="11"/>
  <c r="D47" i="11"/>
  <c r="C47" i="11"/>
  <c r="B47" i="11"/>
  <c r="K45" i="11"/>
  <c r="J45" i="11"/>
  <c r="I45" i="11"/>
  <c r="H45" i="11"/>
  <c r="G45" i="11"/>
  <c r="F45" i="11"/>
  <c r="E45" i="11"/>
  <c r="D45" i="11"/>
  <c r="C45" i="11"/>
  <c r="B45" i="11"/>
  <c r="B15" i="12"/>
  <c r="B14" i="12"/>
  <c r="C39" i="11"/>
  <c r="D39" i="11"/>
  <c r="E39" i="11"/>
  <c r="F39" i="11"/>
  <c r="G39" i="11"/>
  <c r="H39" i="11"/>
  <c r="I39" i="11"/>
  <c r="J39" i="11"/>
  <c r="K39" i="11"/>
  <c r="B39" i="11"/>
  <c r="H5" i="14"/>
  <c r="H7" i="14" s="1"/>
  <c r="H4" i="14"/>
  <c r="H3" i="14"/>
  <c r="D41" i="11"/>
  <c r="D42" i="11" s="1"/>
  <c r="B68" i="2"/>
  <c r="K40" i="11"/>
  <c r="J40" i="11"/>
  <c r="I40" i="11"/>
  <c r="H40" i="11"/>
  <c r="G40" i="11"/>
  <c r="G41" i="11" s="1"/>
  <c r="G42" i="11" s="1"/>
  <c r="F40" i="11"/>
  <c r="F41" i="11" s="1"/>
  <c r="F42" i="11" s="1"/>
  <c r="E40" i="11"/>
  <c r="D40" i="11"/>
  <c r="C40" i="11"/>
  <c r="B40" i="11"/>
  <c r="K37" i="11"/>
  <c r="K38" i="11" s="1"/>
  <c r="J37" i="11"/>
  <c r="I37" i="11"/>
  <c r="H37" i="11"/>
  <c r="H38" i="11" s="1"/>
  <c r="G37" i="11"/>
  <c r="F37" i="11"/>
  <c r="E37" i="11"/>
  <c r="D37" i="11"/>
  <c r="C37" i="11"/>
  <c r="C38" i="11" s="1"/>
  <c r="B37" i="11"/>
  <c r="K35" i="11"/>
  <c r="J35" i="11"/>
  <c r="I35" i="11"/>
  <c r="H35" i="11"/>
  <c r="H41" i="11" s="1"/>
  <c r="H42" i="11" s="1"/>
  <c r="G35" i="11"/>
  <c r="F35" i="11"/>
  <c r="E35" i="11"/>
  <c r="D35" i="11"/>
  <c r="C35" i="11"/>
  <c r="B35" i="11"/>
  <c r="F10" i="4"/>
  <c r="K16" i="11"/>
  <c r="J16" i="11"/>
  <c r="I16" i="11"/>
  <c r="H16" i="11"/>
  <c r="G16" i="11"/>
  <c r="F16" i="11"/>
  <c r="E16" i="11"/>
  <c r="D16" i="11"/>
  <c r="C16" i="11"/>
  <c r="B16" i="11"/>
  <c r="K28" i="11"/>
  <c r="J28" i="11"/>
  <c r="I28" i="11"/>
  <c r="H28" i="11"/>
  <c r="H32" i="11" s="1"/>
  <c r="G28" i="11"/>
  <c r="G32" i="11" s="1"/>
  <c r="F28" i="11"/>
  <c r="E28" i="11"/>
  <c r="D28" i="11"/>
  <c r="D32" i="11" s="1"/>
  <c r="C28" i="11"/>
  <c r="B28" i="11"/>
  <c r="K29" i="11"/>
  <c r="J29" i="11"/>
  <c r="I29" i="11"/>
  <c r="I30" i="11" s="1"/>
  <c r="H29" i="11"/>
  <c r="G29" i="11"/>
  <c r="F29" i="11"/>
  <c r="F32" i="11" s="1"/>
  <c r="E29" i="11"/>
  <c r="E30" i="11" s="1"/>
  <c r="D29" i="11"/>
  <c r="C29" i="11"/>
  <c r="B29" i="11"/>
  <c r="B30" i="11" s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3" i="14"/>
  <c r="B10" i="4"/>
  <c r="B11" i="4"/>
  <c r="B8" i="4"/>
  <c r="F13" i="4" s="1"/>
  <c r="B7" i="4"/>
  <c r="B9" i="4" s="1"/>
  <c r="K19" i="11"/>
  <c r="J19" i="11"/>
  <c r="I19" i="11"/>
  <c r="H19" i="11"/>
  <c r="G19" i="11"/>
  <c r="F19" i="11"/>
  <c r="E19" i="11"/>
  <c r="D19" i="11"/>
  <c r="C19" i="11"/>
  <c r="B19" i="11"/>
  <c r="J2" i="12"/>
  <c r="K2" i="12"/>
  <c r="H2" i="12"/>
  <c r="I2" i="12"/>
  <c r="C2" i="12"/>
  <c r="D2" i="12"/>
  <c r="E2" i="12"/>
  <c r="F2" i="12"/>
  <c r="G2" i="12"/>
  <c r="B2" i="12"/>
  <c r="B12" i="4" l="1"/>
  <c r="B13" i="4"/>
  <c r="F15" i="4"/>
  <c r="G14" i="4" s="1"/>
  <c r="F60" i="15"/>
  <c r="F42" i="15"/>
  <c r="F56" i="15" s="1"/>
  <c r="F35" i="15"/>
  <c r="F55" i="15" s="1"/>
  <c r="E38" i="15"/>
  <c r="E22" i="15"/>
  <c r="E25" i="15" s="1"/>
  <c r="E31" i="15" s="1"/>
  <c r="E36" i="15"/>
  <c r="G34" i="15"/>
  <c r="F37" i="15"/>
  <c r="G20" i="15"/>
  <c r="F23" i="15"/>
  <c r="F21" i="15"/>
  <c r="F36" i="15" s="1"/>
  <c r="F24" i="15"/>
  <c r="F53" i="15" s="1"/>
  <c r="F22" i="15"/>
  <c r="F25" i="15" s="1"/>
  <c r="F31" i="15" s="1"/>
  <c r="C41" i="11"/>
  <c r="C42" i="11" s="1"/>
  <c r="F38" i="11"/>
  <c r="E32" i="11"/>
  <c r="E41" i="11" s="1"/>
  <c r="E42" i="11" s="1"/>
  <c r="E38" i="11"/>
  <c r="G38" i="11"/>
  <c r="C30" i="11"/>
  <c r="K30" i="11"/>
  <c r="I38" i="11"/>
  <c r="J38" i="11"/>
  <c r="D30" i="11"/>
  <c r="B32" i="11"/>
  <c r="B41" i="11" s="1"/>
  <c r="B42" i="11" s="1"/>
  <c r="J32" i="11"/>
  <c r="J41" i="11" s="1"/>
  <c r="J42" i="11" s="1"/>
  <c r="D38" i="11"/>
  <c r="G30" i="11"/>
  <c r="H30" i="11"/>
  <c r="I32" i="11"/>
  <c r="I41" i="11" s="1"/>
  <c r="I42" i="11" s="1"/>
  <c r="F33" i="11"/>
  <c r="F30" i="11"/>
  <c r="J30" i="11"/>
  <c r="K32" i="11"/>
  <c r="K41" i="11" s="1"/>
  <c r="K42" i="11" s="1"/>
  <c r="C32" i="11"/>
  <c r="F20" i="11"/>
  <c r="K4" i="11"/>
  <c r="J4" i="11"/>
  <c r="J17" i="11" s="1"/>
  <c r="I4" i="11"/>
  <c r="I23" i="11" s="1"/>
  <c r="H4" i="11"/>
  <c r="H33" i="11" s="1"/>
  <c r="G4" i="11"/>
  <c r="G17" i="11" s="1"/>
  <c r="F4" i="11"/>
  <c r="E4" i="11"/>
  <c r="D4" i="11"/>
  <c r="D23" i="11" s="1"/>
  <c r="C4" i="11"/>
  <c r="B4" i="11"/>
  <c r="G13" i="4" l="1"/>
  <c r="F17" i="4" s="1"/>
  <c r="F57" i="15"/>
  <c r="E57" i="15"/>
  <c r="E37" i="15"/>
  <c r="E40" i="15"/>
  <c r="G60" i="15"/>
  <c r="G42" i="15"/>
  <c r="G56" i="15" s="1"/>
  <c r="G35" i="15"/>
  <c r="G55" i="15" s="1"/>
  <c r="H34" i="15"/>
  <c r="F38" i="15"/>
  <c r="E26" i="15"/>
  <c r="E27" i="15" s="1"/>
  <c r="F40" i="15"/>
  <c r="F26" i="15"/>
  <c r="F27" i="15" s="1"/>
  <c r="H20" i="15"/>
  <c r="G21" i="15"/>
  <c r="G24" i="15"/>
  <c r="G53" i="15" s="1"/>
  <c r="G23" i="15"/>
  <c r="D17" i="11"/>
  <c r="C23" i="11"/>
  <c r="C17" i="11"/>
  <c r="K14" i="11"/>
  <c r="D7" i="15" s="1"/>
  <c r="K17" i="11"/>
  <c r="E14" i="11"/>
  <c r="E17" i="11"/>
  <c r="J33" i="11"/>
  <c r="I5" i="11"/>
  <c r="I3" i="12" s="1"/>
  <c r="I17" i="11"/>
  <c r="F8" i="11"/>
  <c r="F17" i="11"/>
  <c r="H17" i="11"/>
  <c r="B33" i="11"/>
  <c r="B12" i="12" s="1"/>
  <c r="B17" i="11"/>
  <c r="B10" i="12" s="1"/>
  <c r="D33" i="11"/>
  <c r="C8" i="11"/>
  <c r="F5" i="11"/>
  <c r="F3" i="12" s="1"/>
  <c r="E20" i="11"/>
  <c r="E5" i="11"/>
  <c r="E3" i="12" s="1"/>
  <c r="D20" i="11"/>
  <c r="C33" i="11"/>
  <c r="E33" i="11"/>
  <c r="C14" i="11"/>
  <c r="G5" i="11"/>
  <c r="G3" i="12" s="1"/>
  <c r="G33" i="11"/>
  <c r="K8" i="11"/>
  <c r="D6" i="15" s="1"/>
  <c r="I14" i="11"/>
  <c r="B7" i="15" s="1"/>
  <c r="K33" i="11"/>
  <c r="I33" i="11"/>
  <c r="H10" i="11"/>
  <c r="H25" i="11" s="1"/>
  <c r="H8" i="11"/>
  <c r="G20" i="11"/>
  <c r="B10" i="11"/>
  <c r="B25" i="11" s="1"/>
  <c r="B16" i="12" s="1"/>
  <c r="B14" i="11"/>
  <c r="J20" i="11"/>
  <c r="J10" i="11"/>
  <c r="J25" i="11" s="1"/>
  <c r="J14" i="11"/>
  <c r="C7" i="15" s="1"/>
  <c r="H23" i="11"/>
  <c r="K23" i="11"/>
  <c r="C5" i="11"/>
  <c r="C3" i="12" s="1"/>
  <c r="B8" i="11"/>
  <c r="E23" i="11"/>
  <c r="E10" i="11"/>
  <c r="E25" i="11" s="1"/>
  <c r="E8" i="11"/>
  <c r="K3" i="12"/>
  <c r="J23" i="11"/>
  <c r="G23" i="11"/>
  <c r="G14" i="11"/>
  <c r="G10" i="11"/>
  <c r="G25" i="11" s="1"/>
  <c r="H5" i="11"/>
  <c r="H3" i="12" s="1"/>
  <c r="I10" i="11"/>
  <c r="I25" i="11" s="1"/>
  <c r="I20" i="11"/>
  <c r="G8" i="11"/>
  <c r="J8" i="11"/>
  <c r="C6" i="15" s="1"/>
  <c r="C20" i="11"/>
  <c r="C10" i="11"/>
  <c r="C25" i="11" s="1"/>
  <c r="K10" i="11"/>
  <c r="K25" i="11" s="1"/>
  <c r="K20" i="11"/>
  <c r="B20" i="11"/>
  <c r="H14" i="11"/>
  <c r="D8" i="11"/>
  <c r="D10" i="11"/>
  <c r="D25" i="11" s="1"/>
  <c r="D5" i="11"/>
  <c r="D3" i="12" s="1"/>
  <c r="F23" i="11"/>
  <c r="F14" i="11"/>
  <c r="F10" i="11"/>
  <c r="F25" i="11" s="1"/>
  <c r="J3" i="12"/>
  <c r="B23" i="11"/>
  <c r="H20" i="11"/>
  <c r="D14" i="11"/>
  <c r="I8" i="11"/>
  <c r="B6" i="15" s="1"/>
  <c r="B25" i="4" l="1"/>
  <c r="C25" i="4"/>
  <c r="D25" i="4"/>
  <c r="F25" i="4"/>
  <c r="E25" i="4"/>
  <c r="E28" i="15"/>
  <c r="E29" i="15"/>
  <c r="E52" i="15" s="1"/>
  <c r="I34" i="15"/>
  <c r="G22" i="15"/>
  <c r="G25" i="15" s="1"/>
  <c r="G31" i="15" s="1"/>
  <c r="G36" i="15"/>
  <c r="G38" i="15"/>
  <c r="H60" i="15"/>
  <c r="H42" i="15"/>
  <c r="H56" i="15" s="1"/>
  <c r="H35" i="15"/>
  <c r="H55" i="15" s="1"/>
  <c r="F28" i="15"/>
  <c r="F29" i="15"/>
  <c r="F52" i="15" s="1"/>
  <c r="I20" i="15"/>
  <c r="H23" i="15"/>
  <c r="H21" i="15"/>
  <c r="H24" i="15"/>
  <c r="H53" i="15" s="1"/>
  <c r="I5" i="12"/>
  <c r="I16" i="12"/>
  <c r="B25" i="15"/>
  <c r="F5" i="12"/>
  <c r="F16" i="12"/>
  <c r="D5" i="12"/>
  <c r="D16" i="12"/>
  <c r="H16" i="12"/>
  <c r="H5" i="12"/>
  <c r="E5" i="12"/>
  <c r="E16" i="12"/>
  <c r="J5" i="12"/>
  <c r="J16" i="12"/>
  <c r="C25" i="15"/>
  <c r="K5" i="12"/>
  <c r="K16" i="12"/>
  <c r="D25" i="15"/>
  <c r="G5" i="12"/>
  <c r="G16" i="12"/>
  <c r="C5" i="12"/>
  <c r="C16" i="12"/>
  <c r="J11" i="11"/>
  <c r="J9" i="12" s="1"/>
  <c r="J26" i="11"/>
  <c r="J11" i="12" s="1"/>
  <c r="E26" i="11"/>
  <c r="E11" i="12" s="1"/>
  <c r="E11" i="11"/>
  <c r="E9" i="12" s="1"/>
  <c r="F11" i="11"/>
  <c r="F9" i="12" s="1"/>
  <c r="F26" i="11"/>
  <c r="F11" i="12" s="1"/>
  <c r="G11" i="11"/>
  <c r="G9" i="12" s="1"/>
  <c r="G26" i="11"/>
  <c r="G11" i="12" s="1"/>
  <c r="B26" i="11"/>
  <c r="B11" i="12" s="1"/>
  <c r="B11" i="11"/>
  <c r="B9" i="12" s="1"/>
  <c r="I26" i="11"/>
  <c r="I11" i="12" s="1"/>
  <c r="I11" i="11"/>
  <c r="I9" i="12" s="1"/>
  <c r="K11" i="11"/>
  <c r="K9" i="12" s="1"/>
  <c r="K26" i="11"/>
  <c r="K11" i="12" s="1"/>
  <c r="C11" i="11"/>
  <c r="C9" i="12" s="1"/>
  <c r="C26" i="11"/>
  <c r="C11" i="12" s="1"/>
  <c r="D11" i="11"/>
  <c r="D9" i="12" s="1"/>
  <c r="D26" i="11"/>
  <c r="D11" i="12" s="1"/>
  <c r="H11" i="11"/>
  <c r="H9" i="12" s="1"/>
  <c r="H26" i="11"/>
  <c r="H11" i="12" s="1"/>
  <c r="B27" i="4" l="1"/>
  <c r="B28" i="4"/>
  <c r="B29" i="4" s="1"/>
  <c r="H38" i="15"/>
  <c r="I35" i="15"/>
  <c r="I55" i="15" s="1"/>
  <c r="I60" i="15"/>
  <c r="I42" i="15"/>
  <c r="I56" i="15" s="1"/>
  <c r="G57" i="15"/>
  <c r="G37" i="15"/>
  <c r="G40" i="15" s="1"/>
  <c r="H22" i="15"/>
  <c r="H25" i="15" s="1"/>
  <c r="H31" i="15" s="1"/>
  <c r="H36" i="15"/>
  <c r="G26" i="15"/>
  <c r="G27" i="15" s="1"/>
  <c r="G28" i="15" s="1"/>
  <c r="G29" i="15" s="1"/>
  <c r="G52" i="15" s="1"/>
  <c r="I23" i="15"/>
  <c r="I24" i="15"/>
  <c r="I53" i="15" s="1"/>
  <c r="I21" i="15"/>
  <c r="B27" i="15"/>
  <c r="B31" i="15"/>
  <c r="C31" i="15"/>
  <c r="C27" i="15"/>
  <c r="D31" i="15"/>
  <c r="D27" i="15"/>
  <c r="H26" i="15" l="1"/>
  <c r="H27" i="15" s="1"/>
  <c r="H28" i="15" s="1"/>
  <c r="H29" i="15" s="1"/>
  <c r="H52" i="15" s="1"/>
  <c r="I38" i="15"/>
  <c r="I22" i="15"/>
  <c r="I25" i="15" s="1"/>
  <c r="I31" i="15" s="1"/>
  <c r="I36" i="15"/>
  <c r="H57" i="15"/>
  <c r="H37" i="15"/>
  <c r="H40" i="15" s="1"/>
  <c r="I26" i="15"/>
  <c r="I27" i="15" s="1"/>
  <c r="I57" i="15" l="1"/>
  <c r="I37" i="15"/>
  <c r="I40" i="15" s="1"/>
  <c r="I28" i="15"/>
  <c r="I29" i="15" s="1"/>
  <c r="I52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F352E2-98BC-4E42-B9ED-B44794375E83}" keepAlive="1" name="Query - SBUX-US" description="Connection to the 'SBUX-US' query in the workbook." type="5" refreshedVersion="8" background="1" saveData="1">
    <dbPr connection="Provider=Microsoft.Mashup.OleDb.1;Data Source=$Workbook$;Location=SBUX-US;Extended Properties=&quot;&quot;" command="SELECT * FROM [SBUX-US]"/>
  </connection>
  <connection id="2" xr16:uid="{AABC0E26-8F6B-5E42-BA89-2E975A1E7FCB}" keepAlive="1" name="Query - SBUX-US (2)" description="Connection to the 'SBUX-US (2)' query in the workbook." type="5" refreshedVersion="0" background="1">
    <dbPr connection="Provider=Microsoft.Mashup.OleDb.1;Data Source=$Workbook$;Location=&quot;SBUX-US (2)&quot;;Extended Properties=&quot;&quot;" command="SELECT * FROM [SBUX-US (2)]"/>
  </connection>
  <connection id="3" xr16:uid="{288AAFDD-D2FC-3441-BA53-B1E781C1713B}" keepAlive="1" name="Query - SBUX-US (3)" description="Connection to the 'SBUX-US (3)' query in the workbook." type="5" refreshedVersion="8" background="1" saveData="1">
    <dbPr connection="Provider=Microsoft.Mashup.OleDb.1;Data Source=$Workbook$;Location=&quot;SBUX-US (3)&quot;;Extended Properties=&quot;&quot;" command="SELECT * FROM [SBUX-US (3)]"/>
  </connection>
</connections>
</file>

<file path=xl/sharedStrings.xml><?xml version="1.0" encoding="utf-8"?>
<sst xmlns="http://schemas.openxmlformats.org/spreadsheetml/2006/main" count="480" uniqueCount="409">
  <si>
    <t>Starbucks Corporation</t>
  </si>
  <si>
    <t xml:space="preserve">SBUX   855244109   2842255   NASDAQ    Common stock    </t>
  </si>
  <si>
    <t>Source: FactSet Fundamentals</t>
  </si>
  <si>
    <t>MAR '25</t>
  </si>
  <si>
    <t>SEP '24</t>
  </si>
  <si>
    <t>SEP '23</t>
  </si>
  <si>
    <t>SEP '22</t>
  </si>
  <si>
    <t>SEP '21</t>
  </si>
  <si>
    <t>SEP '20</t>
  </si>
  <si>
    <t>SEP '19</t>
  </si>
  <si>
    <t>SEP '18</t>
  </si>
  <si>
    <t>SEP '17</t>
  </si>
  <si>
    <t>SEP '16</t>
  </si>
  <si>
    <t>SEP '15</t>
  </si>
  <si>
    <t>LTM</t>
  </si>
  <si>
    <t>Restate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</si>
  <si>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</si>
  <si>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</si>
  <si>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</si>
  <si>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</si>
  <si>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</si>
  <si>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</si>
  <si>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</si>
  <si>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</si>
  <si>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Other SG&amp;A</t>
  </si>
  <si>
    <t>EBIT (Operating Income)</t>
  </si>
  <si>
    <t>Nonoperating Income - Net</t>
  </si>
  <si>
    <t>Nonoperating Interest Income</t>
  </si>
  <si>
    <t>Equity in Earnings of Affiliates</t>
  </si>
  <si>
    <t>Other Income (Expense)</t>
  </si>
  <si>
    <t>Interest Expense</t>
  </si>
  <si>
    <t>Gross Interest Expense</t>
  </si>
  <si>
    <t>Interest Capitalized</t>
  </si>
  <si>
    <t>Unusual Expense - Net</t>
  </si>
  <si>
    <t>Impairments</t>
  </si>
  <si>
    <t>Goodwill</t>
  </si>
  <si>
    <t>Property,Plant &amp; Equipment</t>
  </si>
  <si>
    <t>Restructuring Expense</t>
  </si>
  <si>
    <t>Unrealized Valuation Gain/Loss</t>
  </si>
  <si>
    <t>Investments</t>
  </si>
  <si>
    <t>Hedges/Derivatives</t>
  </si>
  <si>
    <t>Excpl Chrgs - Others</t>
  </si>
  <si>
    <t>Restructuring of Debt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</si>
  <si>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</si>
  <si>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</si>
  <si>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</si>
  <si>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</si>
  <si>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</si>
  <si>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</si>
  <si>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Consolidated Net Income</t>
  </si>
  <si>
    <t>Minority Interest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</si>
  <si>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</si>
  <si>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</si>
  <si>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</si>
  <si>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</si>
  <si>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</si>
  <si>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</si>
  <si>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</si>
  <si>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</si>
  <si>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</si>
  <si>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</si>
  <si>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Dividends per Share</t>
  </si>
  <si>
    <t>Payout Ratio</t>
  </si>
  <si>
    <t>EBITDA</t>
  </si>
  <si>
    <t>EBIT</t>
  </si>
  <si>
    <t>All figures in millions of U.S. Dollar except per share items.</t>
  </si>
  <si>
    <t>Starbucks Corporation (SBUX)</t>
  </si>
  <si>
    <t>$82.01</t>
  </si>
  <si>
    <t>GAAP/IFRS Balance Sheet</t>
  </si>
  <si>
    <t>Assets</t>
  </si>
  <si>
    <t>Cash &amp; Short-Term Investments</t>
  </si>
  <si>
    <t>Cash Only</t>
  </si>
  <si>
    <t>Total Short Term Investments</t>
  </si>
  <si>
    <t>Short-Term Receivables</t>
  </si>
  <si>
    <t>Accounts Receivables, Net</t>
  </si>
  <si>
    <t>Accounts Receivables, Gross</t>
  </si>
  <si>
    <t>Bad Debt/Doubtful Accounts</t>
  </si>
  <si>
    <t>Other Receivables</t>
  </si>
  <si>
    <t>Inventories</t>
  </si>
  <si>
    <t>Finished Goods</t>
  </si>
  <si>
    <t>Raw Materials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</si>
  <si>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</si>
  <si>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</si>
  <si>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</si>
  <si>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</si>
  <si>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</si>
  <si>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</si>
  <si>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</si>
  <si>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Machinery &amp; Equipment</t>
  </si>
  <si>
    <t>Construction in Progress</t>
  </si>
  <si>
    <t>Computer Software and Equipment</t>
  </si>
  <si>
    <t>Other Property, Plant &amp; Equipment</t>
  </si>
  <si>
    <t>Operating Lease Right-of-Use Assets</t>
  </si>
  <si>
    <t>Accumulated Depreciation</t>
  </si>
  <si>
    <t xml:space="preserve">Total Long-Term Investments </t>
  </si>
  <si>
    <t>LT Investment - Affiliate Companies</t>
  </si>
  <si>
    <t>Other Long-Term Investments</t>
  </si>
  <si>
    <t>Intangible Assets</t>
  </si>
  <si>
    <t>Other Intangible Assets</t>
  </si>
  <si>
    <t>Deferred Tax Assets</t>
  </si>
  <si>
    <t>Other Assets</t>
  </si>
  <si>
    <t>Tangible Other Assets</t>
  </si>
  <si>
    <t>Total Assets</t>
  </si>
  <si>
    <t>Liabilities &amp; Shareholders' Equity</t>
  </si>
  <si>
    <t>Current</t>
  </si>
  <si>
    <t>ST Debt &amp; Curr. Portion LT Debt</t>
  </si>
  <si>
    <t>Accounts Payable</t>
  </si>
  <si>
    <t>Income Tax Payable</t>
  </si>
  <si>
    <t>Other Current Liabilities</t>
  </si>
  <si>
    <t>Dividends Payable</t>
  </si>
  <si>
    <t>Accrued Payroll</t>
  </si>
  <si>
    <t>Miscellaneous Current Liabilities</t>
  </si>
  <si>
    <t>Total Current Liabilities</t>
  </si>
  <si>
    <t>Long-Term</t>
  </si>
  <si>
    <t>Long-Term Debt</t>
  </si>
  <si>
    <t>Long-Term Debt excl Lease Obligations</t>
  </si>
  <si>
    <t>Capital and Operating Lease Obligations</t>
  </si>
  <si>
    <t>Provision for Risks &amp; Charges</t>
  </si>
  <si>
    <t>Deferred Tax Liabilities</t>
  </si>
  <si>
    <t>Other Liabilities</t>
  </si>
  <si>
    <t>Other Liabilities (excl. Deferred Income)</t>
  </si>
  <si>
    <t>Deferred Income</t>
  </si>
  <si>
    <t>Total Liabilities</t>
  </si>
  <si>
    <t>Equity</t>
  </si>
  <si>
    <t>Common Equity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</si>
  <si>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</si>
  <si>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</si>
  <si>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</si>
  <si>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</si>
  <si>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</si>
  <si>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</si>
  <si>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</si>
  <si>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Accumulated Minority Interest</t>
  </si>
  <si>
    <t>Total Equity</t>
  </si>
  <si>
    <t>Total Liabilities &amp; Shareholders' Equity</t>
  </si>
  <si>
    <t>Book Value per Share</t>
  </si>
  <si>
    <t>Tangible Book Value per Share</t>
  </si>
  <si>
    <t>Supplemental</t>
  </si>
  <si>
    <t>Working Capital</t>
  </si>
  <si>
    <t>Total Capital</t>
  </si>
  <si>
    <t>Total Debt</t>
  </si>
  <si>
    <t>Net Debt</t>
  </si>
  <si>
    <t>Efficiency</t>
  </si>
  <si>
    <t>Days of Inventory on Hand</t>
  </si>
  <si>
    <t>Days of Sales Outstanding</t>
  </si>
  <si>
    <t>Days of Payables Outstanding</t>
  </si>
  <si>
    <t>Comprehensive Income</t>
  </si>
  <si>
    <t>Comprehensive Income - Hedging Gain/Loss</t>
  </si>
  <si>
    <t>Stock Option Comp</t>
  </si>
  <si>
    <t>Stock Option Comp Exp (Net of Tax)</t>
  </si>
  <si>
    <t>Non-Qualified Option/Warrant Awards</t>
  </si>
  <si>
    <t>Operating Lease Commitments</t>
  </si>
  <si>
    <t>Year 1</t>
  </si>
  <si>
    <t>Year 2</t>
  </si>
  <si>
    <t>Year 3</t>
  </si>
  <si>
    <t>Year 4</t>
  </si>
  <si>
    <t>Year 5</t>
  </si>
  <si>
    <t>Over 5 Years</t>
  </si>
  <si>
    <t>Long Term Debt Maturities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</si>
  <si>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</si>
  <si>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</si>
  <si>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</si>
  <si>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</si>
  <si>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</si>
  <si>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</si>
  <si>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</si>
  <si>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</si>
  <si>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</si>
  <si>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</si>
  <si>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</si>
  <si>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Income Taxes Payable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</si>
  <si>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</si>
  <si>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</si>
  <si>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</si>
  <si>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</si>
  <si>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</si>
  <si>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</si>
  <si>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</si>
  <si>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</si>
  <si>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</si>
  <si>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</si>
  <si>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</si>
  <si>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</si>
  <si>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</si>
  <si>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</si>
  <si>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</si>
  <si>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</si>
  <si>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</si>
  <si>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</si>
  <si>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</si>
  <si>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</si>
  <si>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</si>
  <si>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</si>
  <si>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</si>
  <si>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</si>
  <si>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</si>
  <si>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</si>
  <si>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</si>
  <si>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</si>
  <si>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</si>
  <si>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</si>
  <si>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</si>
  <si>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</si>
  <si>
    <t>Market Cap</t>
  </si>
  <si>
    <t>Cost of Equity</t>
  </si>
  <si>
    <t>Risk Free Rate</t>
  </si>
  <si>
    <t>Beta</t>
  </si>
  <si>
    <t>Cost of Debt</t>
  </si>
  <si>
    <t>Tax Rate</t>
  </si>
  <si>
    <t>Total</t>
  </si>
  <si>
    <t>Years</t>
  </si>
  <si>
    <t xml:space="preserve">  Sales Growth</t>
  </si>
  <si>
    <t>COGS</t>
  </si>
  <si>
    <t xml:space="preserve">  COGS % Sales</t>
  </si>
  <si>
    <t>Gross Profit</t>
  </si>
  <si>
    <t xml:space="preserve">   Gross Margin</t>
  </si>
  <si>
    <t xml:space="preserve">  EBITDA Margins</t>
  </si>
  <si>
    <t>Interest</t>
  </si>
  <si>
    <t xml:space="preserve">   Interest % Sales</t>
  </si>
  <si>
    <t>SG&amp;A Expenses</t>
  </si>
  <si>
    <t xml:space="preserve">    SG&amp;A % Sales</t>
  </si>
  <si>
    <t xml:space="preserve">    Tax Rate</t>
  </si>
  <si>
    <t>SEP'15</t>
  </si>
  <si>
    <t>SEP'16</t>
  </si>
  <si>
    <t>SEP'17</t>
  </si>
  <si>
    <t>SEP'18</t>
  </si>
  <si>
    <t>SEP'19</t>
  </si>
  <si>
    <t>SEP'20</t>
  </si>
  <si>
    <t>SEP'21</t>
  </si>
  <si>
    <t>SEP'22</t>
  </si>
  <si>
    <t>SEP'23</t>
  </si>
  <si>
    <t>SEP'24</t>
  </si>
  <si>
    <t>Net Profit</t>
  </si>
  <si>
    <t xml:space="preserve">    Net Margins</t>
  </si>
  <si>
    <t>Shares of Equity</t>
  </si>
  <si>
    <t>Earning per share</t>
  </si>
  <si>
    <t xml:space="preserve">     EPS Growth %</t>
  </si>
  <si>
    <t>Dividend per share</t>
  </si>
  <si>
    <t>Income Statement</t>
  </si>
  <si>
    <t>Total of Debt</t>
  </si>
  <si>
    <t>Income Before Tax</t>
  </si>
  <si>
    <t>Cost of Debt after tax</t>
  </si>
  <si>
    <t xml:space="preserve">Cost of Debt </t>
  </si>
  <si>
    <t>Income Tax Expense</t>
  </si>
  <si>
    <t xml:space="preserve">Market Return </t>
  </si>
  <si>
    <t>Year</t>
  </si>
  <si>
    <t>FCF</t>
  </si>
  <si>
    <t>YoY Growth Rate</t>
  </si>
  <si>
    <t>Weight of Debt and Equity</t>
  </si>
  <si>
    <t>Company</t>
  </si>
  <si>
    <t>Sales Growth</t>
  </si>
  <si>
    <t>EBITDA Growth</t>
  </si>
  <si>
    <t>EBIT Growth</t>
  </si>
  <si>
    <t xml:space="preserve"> EBIT% Sales</t>
  </si>
  <si>
    <t>Net Profit Growth</t>
  </si>
  <si>
    <t>Dividend Growth</t>
  </si>
  <si>
    <t>Gross Margin</t>
  </si>
  <si>
    <t>EBITDA Margin</t>
  </si>
  <si>
    <t>EBIT Margin</t>
  </si>
  <si>
    <t>Net Profit Margin</t>
  </si>
  <si>
    <t>SalesExpense%Sales</t>
  </si>
  <si>
    <t>Decreciation%Sales</t>
  </si>
  <si>
    <t>OperaitngIncome%Sales</t>
  </si>
  <si>
    <t>ROA</t>
  </si>
  <si>
    <t>ROE</t>
  </si>
  <si>
    <t>ROR</t>
  </si>
  <si>
    <t>Dividend Payout Ratio</t>
  </si>
  <si>
    <t>Price Earning Ratio</t>
  </si>
  <si>
    <t>Inventory Turnover</t>
  </si>
  <si>
    <t>Fixed Asset Turnover</t>
  </si>
  <si>
    <t>Current Ratio</t>
  </si>
  <si>
    <t>Quick Ratio</t>
  </si>
  <si>
    <t>Debt to Total Assets</t>
  </si>
  <si>
    <t xml:space="preserve">Historical Financial Statement </t>
  </si>
  <si>
    <t>Date</t>
  </si>
  <si>
    <t>SBUX</t>
  </si>
  <si>
    <t>SP500</t>
  </si>
  <si>
    <t xml:space="preserve">SBUX Return </t>
  </si>
  <si>
    <t>SP500 Return</t>
  </si>
  <si>
    <t>Tax Income</t>
  </si>
  <si>
    <t xml:space="preserve">  Dividend payout ratio </t>
  </si>
  <si>
    <t xml:space="preserve">  Retained Earning %</t>
  </si>
  <si>
    <t>STDEV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</si>
  <si>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</si>
  <si>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</si>
  <si>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</si>
  <si>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</si>
  <si>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</si>
  <si>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</si>
  <si>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</si>
  <si>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</si>
  <si>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</si>
  <si>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</si>
  <si>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</si>
  <si>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</si>
  <si>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</si>
  <si>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</si>
  <si>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</si>
  <si>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</si>
  <si>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</si>
  <si>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</si>
  <si>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</si>
  <si>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</si>
  <si>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</si>
  <si>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</si>
  <si>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</si>
  <si>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Covariance </t>
  </si>
  <si>
    <t>Positive</t>
  </si>
  <si>
    <t>Correlation</t>
  </si>
  <si>
    <t xml:space="preserve">No correlation </t>
  </si>
  <si>
    <t>Risk-Free-Rate</t>
  </si>
  <si>
    <t>Shapre Ratio</t>
  </si>
  <si>
    <t>Dividends</t>
  </si>
  <si>
    <t>Asset</t>
  </si>
  <si>
    <t>Total Asset</t>
  </si>
  <si>
    <t>Total Current Asset</t>
  </si>
  <si>
    <t xml:space="preserve">Total Current Liability </t>
  </si>
  <si>
    <t>3 Statement Financial Model</t>
  </si>
  <si>
    <t>SG&amp;A</t>
  </si>
  <si>
    <t>Operating Profit (EBIT)</t>
  </si>
  <si>
    <t>EBT</t>
  </si>
  <si>
    <t>Taxes</t>
  </si>
  <si>
    <t>Balance Sheet</t>
  </si>
  <si>
    <t>Income Statement - Firgures in USD millions</t>
  </si>
  <si>
    <t>Revenue</t>
  </si>
  <si>
    <t>2022A</t>
  </si>
  <si>
    <t>2023A</t>
  </si>
  <si>
    <t>2024A</t>
  </si>
  <si>
    <t>2025F</t>
  </si>
  <si>
    <t>2026F</t>
  </si>
  <si>
    <t>2027F</t>
  </si>
  <si>
    <t>2028F</t>
  </si>
  <si>
    <t>2029F</t>
  </si>
  <si>
    <t>D&amp;A</t>
  </si>
  <si>
    <t>Assumption</t>
  </si>
  <si>
    <t>Revenue Growth %</t>
  </si>
  <si>
    <t>COGS % of Revenue</t>
  </si>
  <si>
    <t>SG&amp;A % of Revenue</t>
  </si>
  <si>
    <t>D&amp;A % of Revenue</t>
  </si>
  <si>
    <t>Taxe Rate</t>
  </si>
  <si>
    <t>CapEx % of Revenue</t>
  </si>
  <si>
    <t>Depresciation % of PPE</t>
  </si>
  <si>
    <t>A/R Days</t>
  </si>
  <si>
    <t>Inventory Days</t>
  </si>
  <si>
    <t>A/P Days</t>
  </si>
  <si>
    <t>Payout Ratio ( Net Income)</t>
  </si>
  <si>
    <t xml:space="preserve">Shares Outstanding </t>
  </si>
  <si>
    <t xml:space="preserve">  Cash &amp; Equivalents</t>
  </si>
  <si>
    <t xml:space="preserve">  Accounts Receceivable</t>
  </si>
  <si>
    <t xml:space="preserve">  Inventory</t>
  </si>
  <si>
    <t xml:space="preserve">Liabilities </t>
  </si>
  <si>
    <t xml:space="preserve">  Total Current Assets</t>
  </si>
  <si>
    <t xml:space="preserve">  PP&amp;E</t>
  </si>
  <si>
    <t xml:space="preserve">  Other Long- Term Assets</t>
  </si>
  <si>
    <t xml:space="preserve">  Total Assets</t>
  </si>
  <si>
    <t xml:space="preserve">  Accounts Payable </t>
  </si>
  <si>
    <t xml:space="preserve">  Accured Liabilities</t>
  </si>
  <si>
    <t xml:space="preserve">  Long-Term Debt</t>
  </si>
  <si>
    <t xml:space="preserve">  Total Liabilities</t>
  </si>
  <si>
    <t xml:space="preserve">  Common Stock</t>
  </si>
  <si>
    <t xml:space="preserve">  Retained Earnings</t>
  </si>
  <si>
    <t xml:space="preserve">  Total Equity</t>
  </si>
  <si>
    <t xml:space="preserve">Cash Flow Statement </t>
  </si>
  <si>
    <t xml:space="preserve"> Net Income</t>
  </si>
  <si>
    <t xml:space="preserve">  D&amp;A</t>
  </si>
  <si>
    <t xml:space="preserve">  Change in Working Capital</t>
  </si>
  <si>
    <t xml:space="preserve">Cash from Operating Activities </t>
  </si>
  <si>
    <t xml:space="preserve">Investing Activities </t>
  </si>
  <si>
    <t xml:space="preserve">  CapEx</t>
  </si>
  <si>
    <t xml:space="preserve">Cash from Investing Activities </t>
  </si>
  <si>
    <t xml:space="preserve">Financing ctivities </t>
  </si>
  <si>
    <t xml:space="preserve">Cash from Financing Activities </t>
  </si>
  <si>
    <t xml:space="preserve">   D&amp;A % Sales</t>
  </si>
  <si>
    <t>Captial Budgeting Analysis</t>
  </si>
  <si>
    <t>Periods</t>
  </si>
  <si>
    <t xml:space="preserve">Cash inflow </t>
  </si>
  <si>
    <t>Cash outlow</t>
  </si>
  <si>
    <t>Net cash Flow</t>
  </si>
  <si>
    <t>Cumulative Cash Flow</t>
  </si>
  <si>
    <t>Discount Rate</t>
  </si>
  <si>
    <t>NPV</t>
  </si>
  <si>
    <t>IRR</t>
  </si>
  <si>
    <t>Payback Period</t>
  </si>
  <si>
    <t>Figures in $ millions USD</t>
  </si>
  <si>
    <t>Ratio Analysis</t>
  </si>
  <si>
    <t>years</t>
  </si>
  <si>
    <t>FFCF</t>
  </si>
  <si>
    <t>Inventory</t>
  </si>
  <si>
    <t>Total Fixed Asset</t>
  </si>
  <si>
    <t xml:space="preserve">  Change in Accounts Receivable</t>
  </si>
  <si>
    <t xml:space="preserve">  Change in LT debt</t>
  </si>
  <si>
    <t xml:space="preserve">  Change in Captial Stock</t>
  </si>
  <si>
    <t xml:space="preserve">   Dividends</t>
  </si>
  <si>
    <t xml:space="preserve">  Change in Cash</t>
  </si>
  <si>
    <t xml:space="preserve">  Change in Accounts Payable</t>
  </si>
  <si>
    <t>Interest Rate % Revenue</t>
  </si>
  <si>
    <t xml:space="preserve">Cash Equivalents % growth rate </t>
  </si>
  <si>
    <t xml:space="preserve">  Change in Inventory</t>
  </si>
  <si>
    <t xml:space="preserve">DFC modeling </t>
  </si>
  <si>
    <t>WACC</t>
  </si>
  <si>
    <t xml:space="preserve">Growth Rate </t>
  </si>
  <si>
    <t xml:space="preserve">Terminal Value </t>
  </si>
  <si>
    <t xml:space="preserve">Perpetual Growth Rate </t>
  </si>
  <si>
    <t>PV</t>
  </si>
  <si>
    <t>Enterprise Value</t>
  </si>
  <si>
    <t>Equity Value</t>
  </si>
  <si>
    <t>EV/Share</t>
  </si>
  <si>
    <t>All firgues are in millions USD</t>
  </si>
  <si>
    <t>Termial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</si>
</sst>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%"/>
    <numFmt numFmtId="181" formatCode="0.0000%"/>
    <numFmt numFmtId="187" formatCode="0.000%"/>
    <numFmt numFmtId="201" formatCode="_(* #,##0.00_);_(* \(#,##0.00\);_(* &quot;-&quot;_);_(@_)"/>
    <numFmt numFmtId="210" formatCode="0.000"/>
    <numFmt numFmtId="212" formatCode="0.00\x"/>
  </numFmts>
  <fonts count="2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rgb="FF006039"/>
      <name val="Arial"/>
      <family val="2"/>
    </font>
    <font>
      <sz val="10"/>
      <color rgb="FF006039"/>
      <name val="Arial"/>
      <family val="2"/>
    </font>
    <font>
      <sz val="12"/>
      <color rgb="FF232A31"/>
      <name val="Helvetica Neue"/>
      <family val="2"/>
    </font>
    <font>
      <sz val="12"/>
      <color theme="1"/>
      <name val="Arial"/>
      <family val="2"/>
    </font>
    <font>
      <b/>
      <sz val="12"/>
      <color theme="0"/>
      <name val="Helvetica Neue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rgb="FF188C51"/>
      <name val="Arial"/>
      <family val="2"/>
    </font>
    <font>
      <b/>
      <sz val="10"/>
      <color rgb="FF006039"/>
      <name val="Arial"/>
      <family val="2"/>
    </font>
    <font>
      <b/>
      <sz val="20"/>
      <color rgb="FF006039"/>
      <name val="Arial"/>
      <family val="2"/>
    </font>
    <font>
      <b/>
      <sz val="18"/>
      <color theme="1"/>
      <name val="Arial"/>
      <family val="2"/>
    </font>
    <font>
      <b/>
      <sz val="10"/>
      <color rgb="FF188C5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03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indent="3"/>
    </xf>
    <xf numFmtId="0" fontId="3" fillId="3" borderId="0" xfId="0" applyFont="1" applyFill="1" applyAlignment="1">
      <alignment horizontal="left" indent="3"/>
    </xf>
    <xf numFmtId="3" fontId="3" fillId="3" borderId="0" xfId="0" applyNumberFormat="1" applyFont="1" applyFill="1" applyAlignment="1">
      <alignment horizontal="right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left" indent="6"/>
    </xf>
    <xf numFmtId="0" fontId="3" fillId="3" borderId="0" xfId="0" applyFont="1" applyFill="1" applyAlignment="1">
      <alignment horizontal="left" indent="6"/>
    </xf>
    <xf numFmtId="0" fontId="0" fillId="0" borderId="0" xfId="0" applyAlignment="1">
      <alignment horizontal="left" indent="7"/>
    </xf>
    <xf numFmtId="0" fontId="0" fillId="3" borderId="0" xfId="0" applyFill="1" applyAlignment="1">
      <alignment horizontal="left" indent="7"/>
    </xf>
    <xf numFmtId="3" fontId="0" fillId="3" borderId="0" xfId="0" applyNumberForma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 indent="4"/>
    </xf>
    <xf numFmtId="3" fontId="4" fillId="3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4" fontId="0" fillId="0" borderId="0" xfId="0" applyNumberFormat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3" borderId="0" xfId="0" applyFill="1" applyAlignment="1">
      <alignment horizontal="left" indent="1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4" fontId="4" fillId="0" borderId="0" xfId="0" applyNumberFormat="1" applyFont="1" applyAlignment="1">
      <alignment horizontal="right"/>
    </xf>
    <xf numFmtId="4" fontId="4" fillId="3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/>
    <xf numFmtId="16" fontId="0" fillId="0" borderId="0" xfId="0" applyNumberFormat="1"/>
    <xf numFmtId="0" fontId="0" fillId="4" borderId="0" xfId="0" applyFill="1"/>
    <xf numFmtId="3" fontId="0" fillId="0" borderId="0" xfId="0" applyNumberFormat="1"/>
    <xf numFmtId="0" fontId="5" fillId="4" borderId="0" xfId="0" applyFont="1" applyFill="1"/>
    <xf numFmtId="0" fontId="8" fillId="0" borderId="0" xfId="0" applyFont="1"/>
    <xf numFmtId="0" fontId="9" fillId="0" borderId="3" xfId="0" applyFont="1" applyBorder="1"/>
    <xf numFmtId="0" fontId="9" fillId="0" borderId="5" xfId="0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12" fillId="5" borderId="0" xfId="0" applyFont="1" applyFill="1"/>
    <xf numFmtId="0" fontId="13" fillId="5" borderId="0" xfId="0" applyFont="1" applyFill="1"/>
    <xf numFmtId="0" fontId="6" fillId="5" borderId="0" xfId="0" applyFont="1" applyFill="1"/>
    <xf numFmtId="0" fontId="6" fillId="5" borderId="8" xfId="0" applyFont="1" applyFill="1" applyBorder="1"/>
    <xf numFmtId="0" fontId="6" fillId="5" borderId="9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10" xfId="0" applyFill="1" applyBorder="1"/>
    <xf numFmtId="0" fontId="6" fillId="5" borderId="14" xfId="0" applyFont="1" applyFill="1" applyBorder="1"/>
    <xf numFmtId="0" fontId="0" fillId="0" borderId="15" xfId="0" applyBorder="1"/>
    <xf numFmtId="0" fontId="0" fillId="4" borderId="15" xfId="0" applyFill="1" applyBorder="1"/>
    <xf numFmtId="0" fontId="0" fillId="0" borderId="15" xfId="0" applyFill="1" applyBorder="1"/>
    <xf numFmtId="0" fontId="0" fillId="0" borderId="16" xfId="0" applyBorder="1"/>
    <xf numFmtId="165" fontId="0" fillId="0" borderId="0" xfId="2" applyNumberFormat="1" applyFont="1"/>
    <xf numFmtId="10" fontId="0" fillId="0" borderId="0" xfId="2" applyNumberFormat="1" applyFont="1"/>
    <xf numFmtId="0" fontId="14" fillId="0" borderId="0" xfId="0" applyFont="1"/>
    <xf numFmtId="10" fontId="14" fillId="0" borderId="0" xfId="0" applyNumberFormat="1" applyFont="1"/>
    <xf numFmtId="10" fontId="14" fillId="0" borderId="0" xfId="2" applyNumberFormat="1" applyFont="1"/>
    <xf numFmtId="0" fontId="1" fillId="4" borderId="17" xfId="0" applyFont="1" applyFill="1" applyBorder="1"/>
    <xf numFmtId="3" fontId="1" fillId="4" borderId="17" xfId="0" applyNumberFormat="1" applyFont="1" applyFill="1" applyBorder="1"/>
    <xf numFmtId="3" fontId="0" fillId="0" borderId="4" xfId="0" applyNumberFormat="1" applyBorder="1"/>
    <xf numFmtId="10" fontId="0" fillId="0" borderId="4" xfId="2" applyNumberFormat="1" applyFont="1" applyBorder="1"/>
    <xf numFmtId="181" fontId="0" fillId="0" borderId="6" xfId="0" applyNumberFormat="1" applyBorder="1"/>
    <xf numFmtId="0" fontId="16" fillId="0" borderId="0" xfId="0" applyFont="1"/>
    <xf numFmtId="2" fontId="17" fillId="0" borderId="0" xfId="0" applyNumberFormat="1" applyFont="1"/>
    <xf numFmtId="0" fontId="17" fillId="0" borderId="0" xfId="0" applyFont="1"/>
    <xf numFmtId="14" fontId="16" fillId="0" borderId="0" xfId="0" applyNumberFormat="1" applyFont="1"/>
    <xf numFmtId="14" fontId="17" fillId="0" borderId="0" xfId="0" applyNumberFormat="1" applyFont="1"/>
    <xf numFmtId="187" fontId="0" fillId="0" borderId="0" xfId="2" applyNumberFormat="1" applyFont="1"/>
    <xf numFmtId="10" fontId="0" fillId="0" borderId="0" xfId="0" applyNumberFormat="1" applyBorder="1"/>
    <xf numFmtId="10" fontId="0" fillId="0" borderId="0" xfId="0" applyNumberFormat="1"/>
    <xf numFmtId="10" fontId="17" fillId="0" borderId="0" xfId="2" applyNumberFormat="1" applyFont="1"/>
    <xf numFmtId="14" fontId="18" fillId="5" borderId="0" xfId="0" applyNumberFormat="1" applyFont="1" applyFill="1"/>
    <xf numFmtId="0" fontId="18" fillId="5" borderId="0" xfId="0" applyFont="1" applyFill="1"/>
    <xf numFmtId="0" fontId="11" fillId="5" borderId="18" xfId="0" applyFont="1" applyFill="1" applyBorder="1" applyAlignment="1">
      <alignment horizontal="center" vertical="top"/>
    </xf>
    <xf numFmtId="0" fontId="19" fillId="5" borderId="0" xfId="0" applyFont="1" applyFill="1"/>
    <xf numFmtId="4" fontId="0" fillId="0" borderId="0" xfId="0" applyNumberFormat="1"/>
    <xf numFmtId="10" fontId="14" fillId="0" borderId="0" xfId="2" applyNumberFormat="1" applyFon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9" fontId="0" fillId="0" borderId="0" xfId="0" applyNumberFormat="1"/>
    <xf numFmtId="187" fontId="0" fillId="0" borderId="0" xfId="2" applyNumberFormat="1" applyFont="1" applyBorder="1"/>
    <xf numFmtId="187" fontId="0" fillId="0" borderId="11" xfId="2" applyNumberFormat="1" applyFont="1" applyBorder="1"/>
    <xf numFmtId="0" fontId="13" fillId="6" borderId="0" xfId="0" applyFont="1" applyFill="1"/>
    <xf numFmtId="0" fontId="20" fillId="5" borderId="0" xfId="0" applyFont="1" applyFill="1"/>
    <xf numFmtId="0" fontId="0" fillId="0" borderId="17" xfId="0" applyBorder="1"/>
    <xf numFmtId="41" fontId="15" fillId="0" borderId="0" xfId="0" applyNumberFormat="1" applyFont="1"/>
    <xf numFmtId="41" fontId="1" fillId="0" borderId="0" xfId="0" applyNumberFormat="1" applyFont="1"/>
    <xf numFmtId="41" fontId="1" fillId="0" borderId="17" xfId="0" applyNumberFormat="1" applyFont="1" applyBorder="1"/>
    <xf numFmtId="9" fontId="0" fillId="0" borderId="18" xfId="0" applyNumberFormat="1" applyBorder="1"/>
    <xf numFmtId="0" fontId="0" fillId="0" borderId="1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8" borderId="18" xfId="0" applyNumberFormat="1" applyFill="1" applyBorder="1" applyAlignment="1">
      <alignment horizontal="center"/>
    </xf>
    <xf numFmtId="9" fontId="0" fillId="8" borderId="18" xfId="0" applyNumberForma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201" fontId="0" fillId="8" borderId="18" xfId="0" applyNumberFormat="1" applyFill="1" applyBorder="1" applyAlignment="1">
      <alignment horizontal="center"/>
    </xf>
    <xf numFmtId="10" fontId="24" fillId="0" borderId="18" xfId="0" applyNumberFormat="1" applyFont="1" applyBorder="1" applyAlignment="1">
      <alignment horizontal="center"/>
    </xf>
    <xf numFmtId="212" fontId="0" fillId="0" borderId="0" xfId="0" applyNumberFormat="1" applyFill="1" applyBorder="1"/>
    <xf numFmtId="212" fontId="0" fillId="0" borderId="10" xfId="0" applyNumberFormat="1" applyFill="1" applyBorder="1"/>
    <xf numFmtId="212" fontId="0" fillId="0" borderId="0" xfId="0" applyNumberFormat="1" applyBorder="1"/>
    <xf numFmtId="10" fontId="23" fillId="0" borderId="0" xfId="2" applyNumberFormat="1" applyFont="1"/>
    <xf numFmtId="9" fontId="23" fillId="0" borderId="0" xfId="2" applyNumberFormat="1" applyFont="1"/>
    <xf numFmtId="9" fontId="23" fillId="0" borderId="0" xfId="0" applyNumberFormat="1" applyFont="1"/>
    <xf numFmtId="0" fontId="23" fillId="0" borderId="0" xfId="0" applyFont="1"/>
    <xf numFmtId="43" fontId="0" fillId="0" borderId="0" xfId="0" applyNumberFormat="1"/>
    <xf numFmtId="43" fontId="23" fillId="0" borderId="0" xfId="0" applyNumberFormat="1" applyFont="1"/>
    <xf numFmtId="43" fontId="0" fillId="0" borderId="0" xfId="0" applyNumberFormat="1" applyFont="1"/>
    <xf numFmtId="1" fontId="0" fillId="0" borderId="0" xfId="0" applyNumberFormat="1"/>
    <xf numFmtId="10" fontId="23" fillId="0" borderId="0" xfId="0" applyNumberFormat="1" applyFont="1"/>
    <xf numFmtId="4" fontId="23" fillId="0" borderId="0" xfId="0" applyNumberFormat="1" applyFont="1"/>
    <xf numFmtId="0" fontId="27" fillId="5" borderId="0" xfId="0" applyFont="1" applyFill="1"/>
    <xf numFmtId="44" fontId="23" fillId="0" borderId="0" xfId="2" applyNumberFormat="1" applyFont="1"/>
    <xf numFmtId="43" fontId="0" fillId="0" borderId="18" xfId="1" applyFont="1" applyBorder="1"/>
    <xf numFmtId="43" fontId="0" fillId="0" borderId="18" xfId="0" applyNumberFormat="1" applyBorder="1"/>
    <xf numFmtId="0" fontId="5" fillId="0" borderId="18" xfId="0" applyFont="1" applyBorder="1"/>
    <xf numFmtId="3" fontId="0" fillId="0" borderId="18" xfId="0" applyNumberFormat="1" applyBorder="1"/>
    <xf numFmtId="10" fontId="0" fillId="0" borderId="18" xfId="2" applyNumberFormat="1" applyFont="1" applyBorder="1"/>
    <xf numFmtId="0" fontId="0" fillId="0" borderId="20" xfId="0" applyBorder="1"/>
    <xf numFmtId="43" fontId="0" fillId="0" borderId="20" xfId="1" applyFont="1" applyBorder="1"/>
    <xf numFmtId="0" fontId="21" fillId="5" borderId="18" xfId="0" applyFont="1" applyFill="1" applyBorder="1"/>
    <xf numFmtId="2" fontId="0" fillId="0" borderId="18" xfId="0" applyNumberFormat="1" applyBorder="1"/>
    <xf numFmtId="0" fontId="0" fillId="7" borderId="18" xfId="0" applyFill="1" applyBorder="1"/>
    <xf numFmtId="43" fontId="0" fillId="7" borderId="18" xfId="0" applyNumberFormat="1" applyFill="1" applyBorder="1"/>
    <xf numFmtId="0" fontId="1" fillId="0" borderId="18" xfId="0" applyFont="1" applyBorder="1" applyAlignment="1">
      <alignment horizontal="center"/>
    </xf>
    <xf numFmtId="10" fontId="0" fillId="0" borderId="18" xfId="0" applyNumberFormat="1" applyBorder="1"/>
    <xf numFmtId="210" fontId="0" fillId="7" borderId="18" xfId="0" applyNumberFormat="1" applyFill="1" applyBorder="1"/>
    <xf numFmtId="10" fontId="0" fillId="7" borderId="18" xfId="0" applyNumberFormat="1" applyFill="1" applyBorder="1"/>
    <xf numFmtId="187" fontId="0" fillId="0" borderId="18" xfId="2" applyNumberFormat="1" applyFont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0" fillId="7" borderId="18" xfId="2" applyNumberFormat="1" applyFont="1" applyFill="1" applyBorder="1"/>
    <xf numFmtId="0" fontId="22" fillId="5" borderId="0" xfId="0" applyFont="1" applyFill="1" applyAlignment="1">
      <alignment horizontal="center"/>
    </xf>
    <xf numFmtId="187" fontId="0" fillId="7" borderId="18" xfId="0" applyNumberFormat="1" applyFill="1" applyBorder="1"/>
    <xf numFmtId="43" fontId="0" fillId="0" borderId="21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039"/>
      <color rgb="FF188C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'Historical data'!$A$4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'Historical data'!$B$2:$K$2</c:f>
              <c:strCache>
                <c:ptCount val="10"/>
                <c:pt idx="0">
                  <c:v>SEP'15</c:v>
                </c:pt>
                <c:pt idx="1">
                  <c:v>SEP'16</c:v>
                </c:pt>
                <c:pt idx="2">
                  <c:v>SEP'17</c:v>
                </c:pt>
                <c:pt idx="3">
                  <c:v>SEP'18</c:v>
                </c:pt>
                <c:pt idx="4">
                  <c:v>SEP'19</c:v>
                </c:pt>
                <c:pt idx="5">
                  <c:v>SEP'20</c:v>
                </c:pt>
                <c:pt idx="6">
                  <c:v>SEP'21</c:v>
                </c:pt>
                <c:pt idx="7">
                  <c:v>SEP'22</c:v>
                </c:pt>
                <c:pt idx="8">
                  <c:v>SEP'23</c:v>
                </c:pt>
                <c:pt idx="9">
                  <c:v>SEP'24</c:v>
                </c:pt>
              </c:strCache>
            </c:strRef>
          </c:cat>
          <c:val>
            <c:numRef>
              <c:f>'Historical data'!$B$4:$K$4</c:f>
              <c:numCache>
                <c:formatCode>#,##0</c:formatCode>
                <c:ptCount val="10"/>
                <c:pt idx="0">
                  <c:v>19148.7</c:v>
                </c:pt>
                <c:pt idx="1">
                  <c:v>21311</c:v>
                </c:pt>
                <c:pt idx="2">
                  <c:v>22383.8</c:v>
                </c:pt>
                <c:pt idx="3">
                  <c:v>24719.9</c:v>
                </c:pt>
                <c:pt idx="4">
                  <c:v>26501.599999999999</c:v>
                </c:pt>
                <c:pt idx="5">
                  <c:v>23512.5</c:v>
                </c:pt>
                <c:pt idx="6">
                  <c:v>29058.799999999999</c:v>
                </c:pt>
                <c:pt idx="7">
                  <c:v>32228.3</c:v>
                </c:pt>
                <c:pt idx="8">
                  <c:v>35952</c:v>
                </c:pt>
                <c:pt idx="9">
                  <c:v>36148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7-1D40-B8DD-FF1A60F3EDE1}"/>
            </c:ext>
          </c:extLst>
        </c:ser>
        <c:ser>
          <c:idx val="1"/>
          <c:order val="1"/>
          <c:tx>
            <c:strRef>
              <c:f>'Historical data'!$A$32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6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'Historical data'!$B$2:$K$2</c:f>
              <c:strCache>
                <c:ptCount val="10"/>
                <c:pt idx="0">
                  <c:v>SEP'15</c:v>
                </c:pt>
                <c:pt idx="1">
                  <c:v>SEP'16</c:v>
                </c:pt>
                <c:pt idx="2">
                  <c:v>SEP'17</c:v>
                </c:pt>
                <c:pt idx="3">
                  <c:v>SEP'18</c:v>
                </c:pt>
                <c:pt idx="4">
                  <c:v>SEP'19</c:v>
                </c:pt>
                <c:pt idx="5">
                  <c:v>SEP'20</c:v>
                </c:pt>
                <c:pt idx="6">
                  <c:v>SEP'21</c:v>
                </c:pt>
                <c:pt idx="7">
                  <c:v>SEP'22</c:v>
                </c:pt>
                <c:pt idx="8">
                  <c:v>SEP'23</c:v>
                </c:pt>
                <c:pt idx="9">
                  <c:v>SEP'24</c:v>
                </c:pt>
              </c:strCache>
            </c:strRef>
          </c:cat>
          <c:val>
            <c:numRef>
              <c:f>'Historical data'!$B$32:$K$32</c:f>
              <c:numCache>
                <c:formatCode>#,##0</c:formatCode>
                <c:ptCount val="10"/>
                <c:pt idx="0">
                  <c:v>2759.3</c:v>
                </c:pt>
                <c:pt idx="1">
                  <c:v>2818.9000000000005</c:v>
                </c:pt>
                <c:pt idx="2">
                  <c:v>2884.9</c:v>
                </c:pt>
                <c:pt idx="3">
                  <c:v>4518</c:v>
                </c:pt>
                <c:pt idx="4">
                  <c:v>3594.6</c:v>
                </c:pt>
                <c:pt idx="5">
                  <c:v>924.7</c:v>
                </c:pt>
                <c:pt idx="6">
                  <c:v>4200.2999999999993</c:v>
                </c:pt>
                <c:pt idx="7">
                  <c:v>3283.3999999999996</c:v>
                </c:pt>
                <c:pt idx="8">
                  <c:v>4124.7</c:v>
                </c:pt>
                <c:pt idx="9">
                  <c:v>3762.3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7-1D40-B8DD-FF1A60F3ED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5780943"/>
        <c:axId val="1640223775"/>
      </c:barChart>
      <c:catAx>
        <c:axId val="16457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23775"/>
        <c:crosses val="autoZero"/>
        <c:auto val="1"/>
        <c:lblAlgn val="ctr"/>
        <c:lblOffset val="100"/>
        <c:noMultiLvlLbl val="0"/>
      </c:catAx>
      <c:valAx>
        <c:axId val="16402237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6457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762000</xdr:colOff>
      <xdr:row>1</xdr:row>
      <xdr:rowOff>25400</xdr:rowOff>
    </xdr:from>
    <xdr:to>
      <xdr:col>19</xdr:col>
      <xdr:colOff>84867</xdr:colOff>
      <xdr:row>17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97467-7A48-4098-C7E5-B0A4B7B81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3600" y="190500"/>
          <a:ext cx="4275867" cy="2755900"/>
        </a:xfrm>
        <a:prstGeom prst="rect">
          <a:avLst/>
        </a:prstGeom>
      </xdr:spPr>
    </xdr:pic>
    <xdr:clientData/>
  </xdr:twoCellAnchor>
  <xdr:twoCellAnchor>
    <xdr:from>
      <xdr:col>11</xdr:col>
      <xdr:colOff>198438</xdr:colOff>
      <xdr:row>18</xdr:row>
      <xdr:rowOff>9525</xdr:rowOff>
    </xdr:from>
    <xdr:to>
      <xdr:col>18</xdr:col>
      <xdr:colOff>349250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1D244-E73F-BA41-1BBD-881745651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B7C4-E3BB-4766-B9AE-1BA0950DC304}">
  <sheetPr>
    <outlinePr summaryBelow="0" summaryRight="0"/>
  </sheetPr>
  <dimension ref="A1:L68"/>
  <sheetViews>
    <sheetView topLeftCell="A35" workbookViewId="0">
      <selection activeCell="A2" sqref="A2"/>
    </sheetView>
  </sheetViews>
  <sheetFormatPr baseColWidth="10" defaultColWidth="9.1640625" defaultRowHeight="15" customHeight="1" outlineLevelRow="3" x14ac:dyDescent="0.15"/>
  <cols>
    <col min="1" max="1" width="53.33203125" customWidth="1"/>
    <col min="2" max="12" width="8.5" customWidth="1"/>
  </cols>
  <sheetData>
    <row r="1" spans="1:12" ht="15" customHeight="1" x14ac:dyDescent="0.15">
      <c r="A1" s="27" t="s">
        <v>66</v>
      </c>
    </row>
    <row r="2" spans="1:12" ht="15" customHeight="1" x14ac:dyDescent="0.15">
      <c r="A2" s="29" t="s">
        <v>67</v>
      </c>
    </row>
    <row r="3" spans="1:12" ht="1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5" spans="1:12" ht="15" customHeight="1" x14ac:dyDescent="0.1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" customHeight="1" x14ac:dyDescent="0.1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" customHeight="1" x14ac:dyDescent="0.1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" customHeight="1" x14ac:dyDescent="0.15">
      <c r="A8" s="1"/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</row>
    <row r="9" spans="1:12" ht="15" customHeight="1" x14ac:dyDescent="0.15">
      <c r="A9" s="1"/>
      <c r="B9" s="1" t="s">
        <v>14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15</v>
      </c>
      <c r="L10" s="1" t="s">
        <v>15</v>
      </c>
    </row>
    <row r="11" spans="1:12" ht="15" customHeight="1" x14ac:dyDescent="0.15">
      <c r="A11" s="2" t="s">
        <v>16</v>
      </c>
      <c r="B11" s="3">
        <v>36326.5</v>
      </c>
      <c r="C11" s="3">
        <v>36148</v>
      </c>
      <c r="D11" s="3">
        <v>35952</v>
      </c>
      <c r="E11" s="3">
        <v>32228.3</v>
      </c>
      <c r="F11" s="3">
        <v>29058.799999999999</v>
      </c>
      <c r="G11" s="3">
        <v>23512.5</v>
      </c>
      <c r="H11" s="3">
        <v>26501.599999999999</v>
      </c>
      <c r="I11" s="3">
        <v>24719.9</v>
      </c>
      <c r="J11" s="3">
        <v>22383.8</v>
      </c>
      <c r="K11" s="3">
        <v>21311</v>
      </c>
      <c r="L11" s="3">
        <v>19148.7</v>
      </c>
    </row>
    <row r="12" spans="1:12" ht="15" customHeight="1" outlineLevel="1" x14ac:dyDescent="0.15">
      <c r="A12" s="5" t="s">
        <v>17</v>
      </c>
      <c r="B12" s="6">
        <v>29489.3</v>
      </c>
      <c r="C12" s="6">
        <v>28490.3</v>
      </c>
      <c r="D12" s="6">
        <v>28136.3</v>
      </c>
      <c r="E12" s="6">
        <v>25919</v>
      </c>
      <c r="F12" s="6">
        <v>22461.7</v>
      </c>
      <c r="G12" s="6">
        <v>20316.3</v>
      </c>
      <c r="H12" s="6">
        <v>20772.900000000001</v>
      </c>
      <c r="I12" s="6">
        <v>19104.8</v>
      </c>
      <c r="J12" s="6">
        <v>17039.3</v>
      </c>
      <c r="K12" s="6">
        <v>16041</v>
      </c>
      <c r="L12" s="6">
        <v>14585.2</v>
      </c>
    </row>
    <row r="13" spans="1:12" ht="15" customHeight="1" outlineLevel="2" x14ac:dyDescent="0.15">
      <c r="A13" s="7" t="s">
        <v>18</v>
      </c>
      <c r="B13" s="8">
        <v>27813</v>
      </c>
      <c r="C13" s="8">
        <v>26897.9</v>
      </c>
      <c r="D13" s="8">
        <v>26686</v>
      </c>
      <c r="E13" s="8">
        <v>22891.9</v>
      </c>
      <c r="F13" s="8">
        <v>19689</v>
      </c>
      <c r="G13" s="8">
        <v>17615.5</v>
      </c>
      <c r="H13" s="8">
        <v>19323.599999999999</v>
      </c>
      <c r="I13" s="8">
        <v>17798.900000000001</v>
      </c>
      <c r="J13" s="8">
        <v>15972.2</v>
      </c>
      <c r="K13" s="8">
        <v>15010.9</v>
      </c>
      <c r="L13" s="8">
        <v>13651.4</v>
      </c>
    </row>
    <row r="14" spans="1:12" ht="15" customHeight="1" outlineLevel="2" x14ac:dyDescent="0.15">
      <c r="A14" s="10" t="s">
        <v>19</v>
      </c>
      <c r="B14" s="6">
        <v>1676.3</v>
      </c>
      <c r="C14" s="6">
        <v>1592.4</v>
      </c>
      <c r="D14" s="6">
        <v>1450.3</v>
      </c>
      <c r="E14" s="6">
        <v>3027.1</v>
      </c>
      <c r="F14" s="6">
        <v>2772.7</v>
      </c>
      <c r="G14" s="6">
        <v>2700.8</v>
      </c>
      <c r="H14" s="6">
        <v>1449.3</v>
      </c>
      <c r="I14" s="6">
        <v>1305.9000000000001</v>
      </c>
      <c r="J14" s="6">
        <v>1067.0999999999999</v>
      </c>
      <c r="K14" s="6">
        <v>1030.0999999999999</v>
      </c>
      <c r="L14" s="6">
        <v>933.8</v>
      </c>
    </row>
    <row r="15" spans="1:12" ht="15" customHeight="1" outlineLevel="3" x14ac:dyDescent="0.15">
      <c r="A15" s="11" t="s">
        <v>20</v>
      </c>
      <c r="B15" s="8">
        <v>1654.7</v>
      </c>
      <c r="C15" s="8">
        <v>1572</v>
      </c>
      <c r="D15" s="8">
        <v>1428.8</v>
      </c>
      <c r="E15" s="8">
        <v>2834.4</v>
      </c>
      <c r="F15" s="8">
        <v>2549.3000000000002</v>
      </c>
      <c r="G15" s="8">
        <v>2477.1</v>
      </c>
      <c r="H15" s="8">
        <v>1216.5</v>
      </c>
      <c r="I15" s="8">
        <v>1119.4000000000001</v>
      </c>
      <c r="J15" s="8">
        <v>1009.6</v>
      </c>
      <c r="K15" s="8">
        <v>972.8</v>
      </c>
      <c r="L15" s="8">
        <v>883.8</v>
      </c>
    </row>
    <row r="16" spans="1:12" ht="15" customHeight="1" outlineLevel="3" x14ac:dyDescent="0.15">
      <c r="A16" s="12" t="s">
        <v>21</v>
      </c>
      <c r="B16" s="13">
        <v>21.6</v>
      </c>
      <c r="C16" s="13">
        <v>20.399999999999999</v>
      </c>
      <c r="D16" s="13">
        <v>21.5</v>
      </c>
      <c r="E16" s="13">
        <v>192.7</v>
      </c>
      <c r="F16" s="13">
        <v>223.4</v>
      </c>
      <c r="G16" s="13">
        <v>223.7</v>
      </c>
      <c r="H16" s="13">
        <v>232.8</v>
      </c>
      <c r="I16" s="13">
        <v>186.5</v>
      </c>
      <c r="J16" s="13">
        <v>57.5</v>
      </c>
      <c r="K16" s="13">
        <v>57.3</v>
      </c>
      <c r="L16" s="13">
        <v>50</v>
      </c>
    </row>
    <row r="17" spans="1:12" ht="15" customHeight="1" x14ac:dyDescent="0.15">
      <c r="A17" s="2" t="s">
        <v>22</v>
      </c>
      <c r="B17" s="3">
        <v>6857.2</v>
      </c>
      <c r="C17" s="3">
        <v>7657.7</v>
      </c>
      <c r="D17" s="3">
        <v>7815.7</v>
      </c>
      <c r="E17" s="3">
        <v>6309.3</v>
      </c>
      <c r="F17" s="3">
        <v>6597.1</v>
      </c>
      <c r="G17" s="3">
        <v>3196.2</v>
      </c>
      <c r="H17" s="3">
        <v>5728.7</v>
      </c>
      <c r="I17" s="3">
        <v>5615.1</v>
      </c>
      <c r="J17" s="3">
        <v>5344.5</v>
      </c>
      <c r="K17" s="3">
        <v>5270</v>
      </c>
      <c r="L17" s="3">
        <v>4563.5</v>
      </c>
    </row>
    <row r="18" spans="1:12" ht="15" customHeight="1" outlineLevel="1" x14ac:dyDescent="0.15">
      <c r="A18" s="5" t="s">
        <v>23</v>
      </c>
      <c r="B18" s="6">
        <v>2518.9</v>
      </c>
      <c r="C18" s="6">
        <v>2523.3000000000002</v>
      </c>
      <c r="D18" s="6">
        <v>2441.3000000000002</v>
      </c>
      <c r="E18" s="6">
        <v>2032</v>
      </c>
      <c r="F18" s="6">
        <v>1932.6</v>
      </c>
      <c r="G18" s="6">
        <v>1679.6</v>
      </c>
      <c r="H18" s="6">
        <v>1824.1</v>
      </c>
      <c r="I18" s="6">
        <v>1755.4</v>
      </c>
      <c r="J18" s="6">
        <v>1393.3</v>
      </c>
      <c r="K18" s="6">
        <v>1360.6</v>
      </c>
      <c r="L18" s="6">
        <v>1196.7</v>
      </c>
    </row>
    <row r="19" spans="1:12" ht="15" customHeight="1" outlineLevel="2" x14ac:dyDescent="0.15">
      <c r="A19" s="7" t="s">
        <v>24</v>
      </c>
      <c r="B19" s="8">
        <v>2518.9</v>
      </c>
      <c r="C19" s="8">
        <v>2523.3000000000002</v>
      </c>
      <c r="D19" s="8">
        <v>2441.3000000000002</v>
      </c>
      <c r="E19" s="8">
        <v>2032</v>
      </c>
      <c r="F19" s="8">
        <v>1932.6</v>
      </c>
      <c r="G19" s="8">
        <v>1679.6</v>
      </c>
      <c r="H19" s="8">
        <v>1824.1</v>
      </c>
      <c r="I19" s="8">
        <v>1755.4</v>
      </c>
      <c r="J19" s="8">
        <v>1393.3</v>
      </c>
      <c r="K19" s="8">
        <v>1360.6</v>
      </c>
      <c r="L19" s="8">
        <v>1196.7</v>
      </c>
    </row>
    <row r="20" spans="1:12" ht="15" customHeight="1" x14ac:dyDescent="0.15">
      <c r="A20" s="14" t="s">
        <v>25</v>
      </c>
      <c r="B20" s="6">
        <v>4338.3</v>
      </c>
      <c r="C20" s="6">
        <v>5134.3999999999996</v>
      </c>
      <c r="D20" s="6">
        <v>5374.4</v>
      </c>
      <c r="E20" s="6">
        <v>4277.3</v>
      </c>
      <c r="F20" s="6">
        <v>4664.5</v>
      </c>
      <c r="G20" s="6">
        <v>1516.6</v>
      </c>
      <c r="H20" s="6">
        <v>3904.6</v>
      </c>
      <c r="I20" s="6">
        <v>3859.7</v>
      </c>
      <c r="J20" s="6">
        <v>3951.2</v>
      </c>
      <c r="K20" s="6">
        <v>3909.4</v>
      </c>
      <c r="L20" s="6">
        <v>3366.8</v>
      </c>
    </row>
    <row r="21" spans="1:12" ht="15" customHeight="1" outlineLevel="1" x14ac:dyDescent="0.15">
      <c r="A21" s="4" t="s">
        <v>26</v>
      </c>
      <c r="B21" s="3">
        <v>542.6</v>
      </c>
      <c r="C21" s="3">
        <v>446.1</v>
      </c>
      <c r="D21" s="3">
        <v>642.4</v>
      </c>
      <c r="E21" s="3">
        <v>429</v>
      </c>
      <c r="F21" s="3">
        <v>1336</v>
      </c>
      <c r="G21" s="3">
        <v>387.6</v>
      </c>
      <c r="H21" s="3">
        <v>1049.0999999999999</v>
      </c>
      <c r="I21" s="3">
        <v>1025.5</v>
      </c>
      <c r="J21" s="3">
        <v>622.1</v>
      </c>
      <c r="K21" s="3">
        <v>407.4</v>
      </c>
      <c r="L21" s="3">
        <v>296.39999999999998</v>
      </c>
    </row>
    <row r="22" spans="1:12" ht="15" customHeight="1" outlineLevel="2" x14ac:dyDescent="0.15">
      <c r="A22" s="15" t="s">
        <v>27</v>
      </c>
      <c r="B22" s="13">
        <v>0</v>
      </c>
      <c r="C22" s="13">
        <v>0</v>
      </c>
      <c r="D22" s="13">
        <v>0</v>
      </c>
      <c r="E22" s="13">
        <v>0</v>
      </c>
      <c r="F22" s="13">
        <v>70.900000000000006</v>
      </c>
      <c r="G22" s="13">
        <v>49.9</v>
      </c>
      <c r="H22" s="13">
        <v>132.19999999999999</v>
      </c>
      <c r="I22" s="13">
        <v>259.89999999999998</v>
      </c>
      <c r="J22" s="13">
        <v>126.5</v>
      </c>
      <c r="K22" s="13">
        <v>215.3</v>
      </c>
      <c r="L22" s="13">
        <v>0</v>
      </c>
    </row>
    <row r="23" spans="1:12" ht="15" customHeight="1" outlineLevel="2" x14ac:dyDescent="0.15">
      <c r="A23" s="7" t="s">
        <v>28</v>
      </c>
      <c r="B23" s="8">
        <v>282.89999999999998</v>
      </c>
      <c r="C23" s="8">
        <v>301.2</v>
      </c>
      <c r="D23" s="8">
        <v>298.39999999999998</v>
      </c>
      <c r="E23" s="8">
        <v>234.1</v>
      </c>
      <c r="F23" s="8">
        <v>385.3</v>
      </c>
      <c r="G23" s="8">
        <v>322.5</v>
      </c>
      <c r="H23" s="8">
        <v>298</v>
      </c>
      <c r="I23" s="8">
        <v>301.2</v>
      </c>
      <c r="J23" s="8">
        <v>391.4</v>
      </c>
      <c r="K23" s="8">
        <v>318.2</v>
      </c>
      <c r="L23" s="8">
        <v>249.9</v>
      </c>
    </row>
    <row r="24" spans="1:12" ht="15" customHeight="1" outlineLevel="2" x14ac:dyDescent="0.15">
      <c r="A24" s="15" t="s">
        <v>29</v>
      </c>
      <c r="B24" s="13">
        <v>259.7</v>
      </c>
      <c r="C24" s="13">
        <v>144.9</v>
      </c>
      <c r="D24" s="13">
        <v>344</v>
      </c>
      <c r="E24" s="13">
        <v>194.9</v>
      </c>
      <c r="F24" s="13">
        <v>879.8</v>
      </c>
      <c r="G24" s="13">
        <v>15.2</v>
      </c>
      <c r="H24" s="13">
        <v>618.9</v>
      </c>
      <c r="I24" s="13">
        <v>464.4</v>
      </c>
      <c r="J24" s="13">
        <v>104.2</v>
      </c>
      <c r="K24" s="16">
        <v>-126.1</v>
      </c>
      <c r="L24" s="13">
        <v>46.5</v>
      </c>
    </row>
    <row r="25" spans="1:12" ht="15" customHeight="1" outlineLevel="1" x14ac:dyDescent="0.15">
      <c r="A25" s="4" t="s">
        <v>30</v>
      </c>
      <c r="B25" s="3">
        <v>582.70000000000005</v>
      </c>
      <c r="C25" s="3">
        <v>596.6</v>
      </c>
      <c r="D25" s="3">
        <v>551</v>
      </c>
      <c r="E25" s="3">
        <v>497.2</v>
      </c>
      <c r="F25" s="3">
        <v>496.8</v>
      </c>
      <c r="G25" s="3">
        <v>457.5</v>
      </c>
      <c r="H25" s="3">
        <v>339.8</v>
      </c>
      <c r="I25" s="3">
        <v>175.2</v>
      </c>
      <c r="J25" s="3">
        <v>97.3</v>
      </c>
      <c r="K25" s="3">
        <v>86.3</v>
      </c>
      <c r="L25" s="3">
        <v>73.7</v>
      </c>
    </row>
    <row r="26" spans="1:12" ht="15" customHeight="1" outlineLevel="2" x14ac:dyDescent="0.15">
      <c r="A26" s="15" t="s">
        <v>31</v>
      </c>
      <c r="B26" s="13">
        <v>607.20000000000005</v>
      </c>
      <c r="C26" s="13">
        <v>596.6</v>
      </c>
      <c r="D26" s="13">
        <v>551</v>
      </c>
      <c r="E26" s="13">
        <v>497.2</v>
      </c>
      <c r="F26" s="13">
        <v>496.8</v>
      </c>
      <c r="G26" s="13">
        <v>457.5</v>
      </c>
      <c r="H26" s="13">
        <v>339.8</v>
      </c>
      <c r="I26" s="13">
        <v>175.2</v>
      </c>
      <c r="J26" s="13">
        <v>97.3</v>
      </c>
      <c r="K26" s="13">
        <v>86.3</v>
      </c>
      <c r="L26" s="13">
        <v>77.3</v>
      </c>
    </row>
    <row r="27" spans="1:12" ht="15" customHeight="1" outlineLevel="2" x14ac:dyDescent="0.15">
      <c r="A27" s="7" t="s">
        <v>32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3.6</v>
      </c>
    </row>
    <row r="28" spans="1:12" ht="15" customHeight="1" outlineLevel="1" x14ac:dyDescent="0.15">
      <c r="A28" s="5" t="s">
        <v>33</v>
      </c>
      <c r="B28" s="6">
        <v>123.9</v>
      </c>
      <c r="C28" s="6">
        <v>14.3</v>
      </c>
      <c r="D28" s="6">
        <v>63.9</v>
      </c>
      <c r="E28" s="6">
        <v>-22.8</v>
      </c>
      <c r="F28" s="6">
        <v>146.80000000000001</v>
      </c>
      <c r="G28" s="6">
        <v>282.3</v>
      </c>
      <c r="H28" s="6">
        <v>147.69999999999999</v>
      </c>
      <c r="I28" s="6">
        <v>-1070</v>
      </c>
      <c r="J28" s="6">
        <v>158.5</v>
      </c>
      <c r="K28" s="6">
        <v>31.9</v>
      </c>
      <c r="L28" s="6">
        <v>-313.5</v>
      </c>
    </row>
    <row r="29" spans="1:12" ht="15" customHeight="1" outlineLevel="2" x14ac:dyDescent="0.15">
      <c r="A29" s="9" t="s">
        <v>34</v>
      </c>
      <c r="B29" s="2"/>
      <c r="C29" s="2"/>
      <c r="D29" s="2"/>
      <c r="E29" s="2"/>
      <c r="F29" s="2"/>
      <c r="G29" s="2"/>
      <c r="H29" s="2"/>
      <c r="I29" s="3">
        <v>43.4</v>
      </c>
      <c r="J29" s="3">
        <v>16.2</v>
      </c>
      <c r="K29" s="3">
        <v>24.1</v>
      </c>
      <c r="L29" s="3">
        <v>25.8</v>
      </c>
    </row>
    <row r="30" spans="1:12" ht="15" customHeight="1" outlineLevel="3" x14ac:dyDescent="0.15">
      <c r="A30" s="12" t="s">
        <v>35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37.6</v>
      </c>
      <c r="J30" s="13">
        <v>0</v>
      </c>
      <c r="K30" s="13">
        <v>0</v>
      </c>
      <c r="L30" s="13">
        <v>0</v>
      </c>
    </row>
    <row r="31" spans="1:12" ht="15" customHeight="1" outlineLevel="3" x14ac:dyDescent="0.15">
      <c r="A31" s="11" t="s">
        <v>36</v>
      </c>
      <c r="B31" s="17"/>
      <c r="C31" s="17"/>
      <c r="D31" s="17"/>
      <c r="E31" s="17"/>
      <c r="F31" s="17"/>
      <c r="G31" s="17"/>
      <c r="H31" s="17"/>
      <c r="I31" s="8">
        <v>5.8</v>
      </c>
      <c r="J31" s="8">
        <v>16.2</v>
      </c>
      <c r="K31" s="8">
        <v>24.1</v>
      </c>
      <c r="L31" s="8">
        <v>25.8</v>
      </c>
    </row>
    <row r="32" spans="1:12" ht="15" customHeight="1" outlineLevel="2" x14ac:dyDescent="0.15">
      <c r="A32" s="15" t="s">
        <v>37</v>
      </c>
      <c r="B32" s="13">
        <v>116.2</v>
      </c>
      <c r="C32" s="13">
        <v>0</v>
      </c>
      <c r="D32" s="13">
        <v>21.8</v>
      </c>
      <c r="E32" s="13">
        <v>46</v>
      </c>
      <c r="F32" s="13">
        <v>170.4</v>
      </c>
      <c r="G32" s="13">
        <v>278.7</v>
      </c>
      <c r="H32" s="13">
        <v>135.80000000000001</v>
      </c>
      <c r="I32" s="13">
        <v>228</v>
      </c>
      <c r="J32" s="13">
        <v>153.5</v>
      </c>
      <c r="K32" s="13">
        <v>0</v>
      </c>
      <c r="L32" s="13">
        <v>0</v>
      </c>
    </row>
    <row r="33" spans="1:12" ht="15" customHeight="1" outlineLevel="2" x14ac:dyDescent="0.15">
      <c r="A33" s="9" t="s">
        <v>38</v>
      </c>
      <c r="B33" s="3">
        <v>-7.7</v>
      </c>
      <c r="C33" s="3">
        <v>-14.3</v>
      </c>
      <c r="D33" s="3">
        <v>-42.1</v>
      </c>
      <c r="E33" s="3">
        <v>68.8</v>
      </c>
      <c r="F33" s="3">
        <v>23.6</v>
      </c>
      <c r="G33" s="3">
        <v>-3.6</v>
      </c>
      <c r="H33" s="3">
        <v>-11.9</v>
      </c>
      <c r="I33" s="3">
        <v>1341.4</v>
      </c>
      <c r="J33" s="3">
        <v>11.2</v>
      </c>
      <c r="K33" s="3">
        <v>-7.8</v>
      </c>
      <c r="L33" s="3">
        <v>400.4</v>
      </c>
    </row>
    <row r="34" spans="1:12" ht="15" customHeight="1" outlineLevel="3" x14ac:dyDescent="0.15">
      <c r="A34" s="12" t="s">
        <v>39</v>
      </c>
      <c r="B34" s="18"/>
      <c r="C34" s="18"/>
      <c r="D34" s="18"/>
      <c r="E34" s="18"/>
      <c r="F34" s="18"/>
      <c r="G34" s="13">
        <v>0</v>
      </c>
      <c r="H34" s="13">
        <v>0</v>
      </c>
      <c r="I34" s="13">
        <v>1369.2</v>
      </c>
      <c r="J34" s="13">
        <v>10.5</v>
      </c>
      <c r="K34" s="13">
        <v>3.6</v>
      </c>
      <c r="L34" s="13">
        <v>386.1</v>
      </c>
    </row>
    <row r="35" spans="1:12" ht="15" customHeight="1" outlineLevel="3" x14ac:dyDescent="0.15">
      <c r="A35" s="11" t="s">
        <v>40</v>
      </c>
      <c r="B35" s="19">
        <v>-7.7</v>
      </c>
      <c r="C35" s="19">
        <v>-14.3</v>
      </c>
      <c r="D35" s="19">
        <v>-42.1</v>
      </c>
      <c r="E35" s="8">
        <v>68.8</v>
      </c>
      <c r="F35" s="8">
        <v>23.6</v>
      </c>
      <c r="G35" s="19">
        <v>-3.6</v>
      </c>
      <c r="H35" s="19">
        <v>-11.9</v>
      </c>
      <c r="I35" s="19">
        <v>-27.8</v>
      </c>
      <c r="J35" s="8">
        <v>0.7</v>
      </c>
      <c r="K35" s="19">
        <v>-11.4</v>
      </c>
      <c r="L35" s="8">
        <v>14.3</v>
      </c>
    </row>
    <row r="36" spans="1:12" ht="15" customHeight="1" outlineLevel="2" x14ac:dyDescent="0.15">
      <c r="A36" s="10" t="s">
        <v>41</v>
      </c>
      <c r="B36" s="14"/>
      <c r="C36" s="14"/>
      <c r="D36" s="14"/>
      <c r="E36" s="14"/>
      <c r="F36" s="14"/>
      <c r="G36" s="14"/>
      <c r="H36" s="14"/>
      <c r="I36" s="14"/>
      <c r="J36" s="6">
        <v>0</v>
      </c>
      <c r="K36" s="6">
        <v>0</v>
      </c>
      <c r="L36" s="6">
        <v>61.1</v>
      </c>
    </row>
    <row r="37" spans="1:12" ht="15" customHeight="1" outlineLevel="3" x14ac:dyDescent="0.15">
      <c r="A37" s="11" t="s">
        <v>42</v>
      </c>
      <c r="B37" s="17"/>
      <c r="C37" s="17"/>
      <c r="D37" s="17"/>
      <c r="E37" s="17"/>
      <c r="F37" s="17"/>
      <c r="G37" s="17"/>
      <c r="H37" s="17"/>
      <c r="I37" s="17"/>
      <c r="J37" s="8">
        <v>0</v>
      </c>
      <c r="K37" s="8">
        <v>0</v>
      </c>
      <c r="L37" s="8">
        <v>61.1</v>
      </c>
    </row>
    <row r="38" spans="1:12" ht="15" customHeight="1" x14ac:dyDescent="0.15">
      <c r="A38" s="14" t="s">
        <v>43</v>
      </c>
      <c r="B38" s="6">
        <v>4122.3999999999996</v>
      </c>
      <c r="C38" s="6">
        <v>4969.6000000000004</v>
      </c>
      <c r="D38" s="6">
        <v>5401.9</v>
      </c>
      <c r="E38" s="6">
        <v>4231.8999999999996</v>
      </c>
      <c r="F38" s="6">
        <v>5356.9</v>
      </c>
      <c r="G38" s="6">
        <v>1164.4000000000001</v>
      </c>
      <c r="H38" s="6">
        <v>4466.2</v>
      </c>
      <c r="I38" s="6">
        <v>5780</v>
      </c>
      <c r="J38" s="6">
        <v>4317.5</v>
      </c>
      <c r="K38" s="6">
        <v>4198.6000000000004</v>
      </c>
      <c r="L38" s="6">
        <v>3903</v>
      </c>
    </row>
    <row r="39" spans="1:12" ht="15" customHeight="1" outlineLevel="1" x14ac:dyDescent="0.15">
      <c r="A39" s="4" t="s">
        <v>44</v>
      </c>
      <c r="B39" s="3">
        <v>992.1</v>
      </c>
      <c r="C39" s="3">
        <v>1207.3</v>
      </c>
      <c r="D39" s="3">
        <v>1277.2</v>
      </c>
      <c r="E39" s="3">
        <v>948.5</v>
      </c>
      <c r="F39" s="3">
        <v>1156.5999999999999</v>
      </c>
      <c r="G39" s="3">
        <v>239.7</v>
      </c>
      <c r="H39" s="3">
        <v>871.6</v>
      </c>
      <c r="I39" s="3">
        <v>1262</v>
      </c>
      <c r="J39" s="3">
        <v>1432.6</v>
      </c>
      <c r="K39" s="3">
        <v>1379.7</v>
      </c>
      <c r="L39" s="3">
        <v>1143.7</v>
      </c>
    </row>
    <row r="40" spans="1:12" ht="15" customHeight="1" outlineLevel="2" x14ac:dyDescent="0.15">
      <c r="A40" s="15" t="s">
        <v>45</v>
      </c>
      <c r="B40" s="18"/>
      <c r="C40" s="13">
        <v>892.1</v>
      </c>
      <c r="D40" s="13">
        <v>914.1</v>
      </c>
      <c r="E40" s="13">
        <v>641.6</v>
      </c>
      <c r="F40" s="13">
        <v>871.8</v>
      </c>
      <c r="G40" s="13">
        <v>86.8</v>
      </c>
      <c r="H40" s="13">
        <v>1862.1</v>
      </c>
      <c r="I40" s="13">
        <v>208.2</v>
      </c>
      <c r="J40" s="13">
        <v>1101.8</v>
      </c>
      <c r="K40" s="13">
        <v>870.6</v>
      </c>
      <c r="L40" s="13">
        <v>951.1</v>
      </c>
    </row>
    <row r="41" spans="1:12" ht="15" customHeight="1" outlineLevel="2" x14ac:dyDescent="0.15">
      <c r="A41" s="7" t="s">
        <v>46</v>
      </c>
      <c r="B41" s="17"/>
      <c r="C41" s="8">
        <v>328.8</v>
      </c>
      <c r="D41" s="8">
        <v>422.4</v>
      </c>
      <c r="E41" s="8">
        <v>283.8</v>
      </c>
      <c r="F41" s="8">
        <v>409.8</v>
      </c>
      <c r="G41" s="8">
        <v>181.4</v>
      </c>
      <c r="H41" s="8">
        <v>458.3</v>
      </c>
      <c r="I41" s="8">
        <v>327</v>
      </c>
      <c r="J41" s="8">
        <v>216.6</v>
      </c>
      <c r="K41" s="8">
        <v>218.5</v>
      </c>
      <c r="L41" s="8">
        <v>172.2</v>
      </c>
    </row>
    <row r="42" spans="1:12" ht="15" customHeight="1" outlineLevel="2" x14ac:dyDescent="0.15">
      <c r="A42" s="15" t="s">
        <v>47</v>
      </c>
      <c r="B42" s="18"/>
      <c r="C42" s="13">
        <v>10</v>
      </c>
      <c r="D42" s="13">
        <v>116.2</v>
      </c>
      <c r="E42" s="13">
        <v>103.1</v>
      </c>
      <c r="F42" s="13">
        <v>4</v>
      </c>
      <c r="G42" s="16">
        <v>-13.2</v>
      </c>
      <c r="H42" s="16">
        <v>-1396.9</v>
      </c>
      <c r="I42" s="13">
        <v>735.2</v>
      </c>
      <c r="J42" s="13">
        <v>135.4</v>
      </c>
      <c r="K42" s="13">
        <v>377.1</v>
      </c>
      <c r="L42" s="13">
        <v>60.5</v>
      </c>
    </row>
    <row r="43" spans="1:12" ht="15" customHeight="1" outlineLevel="2" x14ac:dyDescent="0.15">
      <c r="A43" s="7" t="s">
        <v>48</v>
      </c>
      <c r="B43" s="17"/>
      <c r="C43" s="19">
        <v>-23.6</v>
      </c>
      <c r="D43" s="19">
        <v>-175.5</v>
      </c>
      <c r="E43" s="19">
        <v>-80</v>
      </c>
      <c r="F43" s="19">
        <v>-129</v>
      </c>
      <c r="G43" s="19">
        <v>-15.3</v>
      </c>
      <c r="H43" s="19">
        <v>-51.9</v>
      </c>
      <c r="I43" s="19">
        <v>-8.4</v>
      </c>
      <c r="J43" s="19">
        <v>-21.2</v>
      </c>
      <c r="K43" s="19">
        <v>-86.5</v>
      </c>
      <c r="L43" s="19">
        <v>-40.1</v>
      </c>
    </row>
    <row r="44" spans="1:12" ht="15" customHeight="1" x14ac:dyDescent="0.15">
      <c r="A44" s="14" t="s">
        <v>49</v>
      </c>
      <c r="B44" s="6">
        <v>3130.1</v>
      </c>
      <c r="C44" s="6">
        <v>3762.3</v>
      </c>
      <c r="D44" s="6">
        <v>4124.7</v>
      </c>
      <c r="E44" s="6">
        <v>3283.4</v>
      </c>
      <c r="F44" s="6">
        <v>4200.3</v>
      </c>
      <c r="G44" s="6">
        <v>924.7</v>
      </c>
      <c r="H44" s="6">
        <v>3594.6</v>
      </c>
      <c r="I44" s="6">
        <v>4518</v>
      </c>
      <c r="J44" s="6">
        <v>2884.9</v>
      </c>
      <c r="K44" s="6">
        <v>2818.9</v>
      </c>
      <c r="L44" s="6">
        <v>2759.3</v>
      </c>
    </row>
    <row r="45" spans="1:12" ht="15" customHeight="1" outlineLevel="1" x14ac:dyDescent="0.15">
      <c r="A45" s="20" t="s">
        <v>50</v>
      </c>
      <c r="B45" s="8">
        <v>1.2</v>
      </c>
      <c r="C45" s="8">
        <v>1.4</v>
      </c>
      <c r="D45" s="8">
        <v>0.2</v>
      </c>
      <c r="E45" s="8">
        <v>1.8</v>
      </c>
      <c r="F45" s="8">
        <v>1</v>
      </c>
      <c r="G45" s="19">
        <v>-3.6</v>
      </c>
      <c r="H45" s="19">
        <v>-4.5999999999999996</v>
      </c>
      <c r="I45" s="19">
        <v>-0.3</v>
      </c>
      <c r="J45" s="8">
        <v>0.2</v>
      </c>
      <c r="K45" s="8">
        <v>1.2</v>
      </c>
      <c r="L45" s="8">
        <v>1.9</v>
      </c>
    </row>
    <row r="46" spans="1:12" ht="15" customHeight="1" x14ac:dyDescent="0.15">
      <c r="A46" s="14" t="s">
        <v>51</v>
      </c>
      <c r="B46" s="6">
        <v>3128.9</v>
      </c>
      <c r="C46" s="6">
        <v>3760.9</v>
      </c>
      <c r="D46" s="6">
        <v>4124.5</v>
      </c>
      <c r="E46" s="6">
        <v>3281.6</v>
      </c>
      <c r="F46" s="6">
        <v>4199.3</v>
      </c>
      <c r="G46" s="6">
        <v>928.3</v>
      </c>
      <c r="H46" s="6">
        <v>3599.2</v>
      </c>
      <c r="I46" s="6">
        <v>4518.3</v>
      </c>
      <c r="J46" s="6">
        <v>2884.7</v>
      </c>
      <c r="K46" s="6">
        <v>2817.7</v>
      </c>
      <c r="L46" s="6">
        <v>2757.4</v>
      </c>
    </row>
    <row r="47" spans="1:12" ht="15" customHeight="1" outlineLevel="1" x14ac:dyDescent="0.15">
      <c r="A47" s="20" t="s">
        <v>52</v>
      </c>
      <c r="B47" s="8">
        <v>3129.1</v>
      </c>
      <c r="C47" s="8">
        <v>3760.9</v>
      </c>
      <c r="D47" s="8">
        <v>4124.5</v>
      </c>
      <c r="E47" s="8">
        <v>3281.6</v>
      </c>
      <c r="F47" s="8">
        <v>4199.3</v>
      </c>
      <c r="G47" s="8">
        <v>928.3</v>
      </c>
      <c r="H47" s="8">
        <v>3599.2</v>
      </c>
      <c r="I47" s="8">
        <v>4518.3</v>
      </c>
      <c r="J47" s="8">
        <v>2884.7</v>
      </c>
      <c r="K47" s="8">
        <v>2817.7</v>
      </c>
      <c r="L47" s="8">
        <v>2757.4</v>
      </c>
    </row>
    <row r="48" spans="1:12" ht="15" customHeight="1" x14ac:dyDescent="0.15">
      <c r="A48" s="14" t="s">
        <v>53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" customHeight="1" outlineLevel="1" x14ac:dyDescent="0.15">
      <c r="A49" s="20" t="s">
        <v>54</v>
      </c>
      <c r="B49" s="21">
        <v>2.8209040000000001</v>
      </c>
      <c r="C49" s="21">
        <v>3.3156690000000002</v>
      </c>
      <c r="D49" s="21">
        <v>3.621324</v>
      </c>
      <c r="E49" s="21">
        <v>2.8188520000000001</v>
      </c>
      <c r="F49" s="21">
        <v>3.6288990000000001</v>
      </c>
      <c r="G49" s="21">
        <v>0.952708</v>
      </c>
      <c r="H49" s="21">
        <v>3.0024250000000001</v>
      </c>
      <c r="I49" s="21">
        <v>2.702782</v>
      </c>
      <c r="J49" s="21">
        <v>2.049709</v>
      </c>
      <c r="K49" s="21">
        <v>1.910291</v>
      </c>
      <c r="L49" s="21">
        <v>1.6769860000000001</v>
      </c>
    </row>
    <row r="50" spans="1:12" ht="15" customHeight="1" outlineLevel="1" x14ac:dyDescent="0.15">
      <c r="A50" s="5" t="s">
        <v>55</v>
      </c>
      <c r="B50" s="22">
        <v>2.7595999999999998</v>
      </c>
      <c r="C50" s="22">
        <v>3.3170999999999999</v>
      </c>
      <c r="D50" s="22">
        <v>3.5964999999999998</v>
      </c>
      <c r="E50" s="22">
        <v>2.8454000000000002</v>
      </c>
      <c r="F50" s="22">
        <v>3.5659999999999998</v>
      </c>
      <c r="G50" s="22">
        <v>0.79149999999999998</v>
      </c>
      <c r="H50" s="22">
        <v>2.9472999999999998</v>
      </c>
      <c r="I50" s="22">
        <v>3.27</v>
      </c>
      <c r="J50" s="22">
        <v>1.99</v>
      </c>
      <c r="K50" s="22">
        <v>1.91</v>
      </c>
      <c r="L50" s="22">
        <v>1.84</v>
      </c>
    </row>
    <row r="51" spans="1:12" ht="15" customHeight="1" outlineLevel="2" x14ac:dyDescent="0.15">
      <c r="A51" s="7" t="s">
        <v>56</v>
      </c>
      <c r="B51" s="21">
        <v>1136</v>
      </c>
      <c r="C51" s="21">
        <v>1133.8</v>
      </c>
      <c r="D51" s="21">
        <v>1146.8</v>
      </c>
      <c r="E51" s="21">
        <v>1153.3</v>
      </c>
      <c r="F51" s="21">
        <v>1177.5999999999999</v>
      </c>
      <c r="G51" s="21">
        <v>1172.8</v>
      </c>
      <c r="H51" s="21">
        <v>1221.2</v>
      </c>
      <c r="I51" s="21">
        <v>1382.7</v>
      </c>
      <c r="J51" s="21">
        <v>1449.5</v>
      </c>
      <c r="K51" s="21">
        <v>1471.6</v>
      </c>
      <c r="L51" s="21">
        <v>1495.9</v>
      </c>
    </row>
    <row r="52" spans="1:12" ht="15" customHeight="1" outlineLevel="2" x14ac:dyDescent="0.15">
      <c r="A52" s="15" t="s">
        <v>57</v>
      </c>
      <c r="B52" s="23">
        <v>1136.2</v>
      </c>
      <c r="C52" s="23">
        <v>1133.5</v>
      </c>
      <c r="D52" s="23">
        <v>1142.5999999999999</v>
      </c>
      <c r="E52" s="23">
        <v>1147.9000000000001</v>
      </c>
      <c r="F52" s="23">
        <v>1180</v>
      </c>
      <c r="G52" s="23">
        <v>1173.3</v>
      </c>
      <c r="H52" s="23">
        <v>1184.5999999999999</v>
      </c>
      <c r="I52" s="23">
        <v>1309.0999999999999</v>
      </c>
      <c r="J52" s="23">
        <v>1431.6</v>
      </c>
      <c r="K52" s="23">
        <v>1460.5</v>
      </c>
      <c r="L52" s="23">
        <v>1485.1</v>
      </c>
    </row>
    <row r="53" spans="1:12" ht="15" customHeight="1" outlineLevel="1" x14ac:dyDescent="0.15">
      <c r="A53" s="4" t="s">
        <v>58</v>
      </c>
      <c r="B53" s="24">
        <v>2.7511000000000001</v>
      </c>
      <c r="C53" s="24">
        <v>3.3069000000000002</v>
      </c>
      <c r="D53" s="24">
        <v>3.5825</v>
      </c>
      <c r="E53" s="24">
        <v>2.8325999999999998</v>
      </c>
      <c r="F53" s="24">
        <v>3.5421999999999998</v>
      </c>
      <c r="G53" s="24">
        <v>0.78549999999999998</v>
      </c>
      <c r="H53" s="24">
        <v>2.9186000000000001</v>
      </c>
      <c r="I53" s="24">
        <v>3.24</v>
      </c>
      <c r="J53" s="24">
        <v>1.97</v>
      </c>
      <c r="K53" s="24">
        <v>1.9</v>
      </c>
      <c r="L53" s="24">
        <v>1.82</v>
      </c>
    </row>
    <row r="54" spans="1:12" ht="15" customHeight="1" outlineLevel="2" x14ac:dyDescent="0.15">
      <c r="A54" s="15" t="s">
        <v>59</v>
      </c>
      <c r="B54" s="23">
        <v>1140</v>
      </c>
      <c r="C54" s="23">
        <v>1137.3</v>
      </c>
      <c r="D54" s="23">
        <v>1151.3</v>
      </c>
      <c r="E54" s="23">
        <v>1158.5</v>
      </c>
      <c r="F54" s="23">
        <v>1185.5</v>
      </c>
      <c r="G54" s="23">
        <v>1181.8</v>
      </c>
      <c r="H54" s="23">
        <v>1233.2</v>
      </c>
      <c r="I54" s="23">
        <v>1394.6</v>
      </c>
      <c r="J54" s="23">
        <v>1461.5</v>
      </c>
      <c r="K54" s="23">
        <v>1486.7</v>
      </c>
      <c r="L54" s="23">
        <v>1513.4</v>
      </c>
    </row>
    <row r="55" spans="1:12" ht="15" customHeight="1" outlineLevel="2" x14ac:dyDescent="0.15">
      <c r="A55" s="7" t="s">
        <v>57</v>
      </c>
      <c r="B55" s="21">
        <v>1136.2</v>
      </c>
      <c r="C55" s="21">
        <v>1133.5</v>
      </c>
      <c r="D55" s="21">
        <v>1142.5999999999999</v>
      </c>
      <c r="E55" s="21">
        <v>1147.9000000000001</v>
      </c>
      <c r="F55" s="21">
        <v>1180</v>
      </c>
      <c r="G55" s="21">
        <v>1173.3</v>
      </c>
      <c r="H55" s="21">
        <v>1184.5999999999999</v>
      </c>
      <c r="I55" s="21">
        <v>1309.0999999999999</v>
      </c>
      <c r="J55" s="21">
        <v>1431.6</v>
      </c>
      <c r="K55" s="21">
        <v>1460.5</v>
      </c>
      <c r="L55" s="21">
        <v>1485.1</v>
      </c>
    </row>
    <row r="56" spans="1:12" ht="15" customHeight="1" outlineLevel="1" x14ac:dyDescent="0.15">
      <c r="A56" s="25" t="s">
        <v>60</v>
      </c>
      <c r="B56" s="18"/>
      <c r="C56" s="23">
        <v>84.864999999999995</v>
      </c>
      <c r="D56" s="23">
        <v>89.325000000000003</v>
      </c>
      <c r="E56" s="23">
        <v>88.36</v>
      </c>
      <c r="F56" s="23">
        <v>83.468000000000004</v>
      </c>
      <c r="G56" s="23">
        <v>56.17</v>
      </c>
      <c r="H56" s="23">
        <v>75.652000000000001</v>
      </c>
      <c r="I56" s="23">
        <v>45.671999999999997</v>
      </c>
      <c r="J56" s="23">
        <v>87.361000000000004</v>
      </c>
      <c r="K56" s="23">
        <v>85.741</v>
      </c>
      <c r="L56" s="23">
        <v>79.814999999999998</v>
      </c>
    </row>
    <row r="57" spans="1:12" ht="15" customHeight="1" outlineLevel="1" x14ac:dyDescent="0.15">
      <c r="A57" s="4" t="s">
        <v>61</v>
      </c>
      <c r="B57" s="24">
        <v>2.36</v>
      </c>
      <c r="C57" s="24">
        <v>2.2799999999999998</v>
      </c>
      <c r="D57" s="24">
        <v>2.12</v>
      </c>
      <c r="E57" s="24">
        <v>1.96</v>
      </c>
      <c r="F57" s="24">
        <v>1.8</v>
      </c>
      <c r="G57" s="24">
        <v>1.64</v>
      </c>
      <c r="H57" s="24">
        <v>1.44</v>
      </c>
      <c r="I57" s="24">
        <v>1.26</v>
      </c>
      <c r="J57" s="24">
        <v>1</v>
      </c>
      <c r="K57" s="24">
        <v>0.8</v>
      </c>
      <c r="L57" s="24">
        <v>0.64</v>
      </c>
    </row>
    <row r="58" spans="1:12" ht="15" customHeight="1" outlineLevel="2" x14ac:dyDescent="0.15">
      <c r="A58" s="15" t="s">
        <v>62</v>
      </c>
      <c r="B58" s="23">
        <v>85.783867999999998</v>
      </c>
      <c r="C58" s="23">
        <v>68.946747999999999</v>
      </c>
      <c r="D58" s="23">
        <v>59.176552999999998</v>
      </c>
      <c r="E58" s="23">
        <v>69.194379999999995</v>
      </c>
      <c r="F58" s="23">
        <v>50.815877</v>
      </c>
      <c r="G58" s="23">
        <v>208.78421399999999</v>
      </c>
      <c r="H58" s="23">
        <v>49.338723999999999</v>
      </c>
      <c r="I58" s="23">
        <v>38.888888999999999</v>
      </c>
      <c r="J58" s="23">
        <v>50.761420999999999</v>
      </c>
      <c r="K58" s="23">
        <v>42.105263000000001</v>
      </c>
      <c r="L58" s="23">
        <v>35.164834999999997</v>
      </c>
    </row>
    <row r="59" spans="1:12" ht="15" customHeight="1" x14ac:dyDescent="0.15">
      <c r="A59" s="2" t="s">
        <v>63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" customHeight="1" outlineLevel="1" x14ac:dyDescent="0.15">
      <c r="A60" s="5" t="s">
        <v>63</v>
      </c>
      <c r="B60" s="6">
        <v>5998.2</v>
      </c>
      <c r="C60" s="6">
        <v>6726.8</v>
      </c>
      <c r="D60" s="6">
        <v>6824.7</v>
      </c>
      <c r="E60" s="6">
        <v>7304.4</v>
      </c>
      <c r="F60" s="6">
        <v>7437.2</v>
      </c>
      <c r="G60" s="6">
        <v>4217.3999999999996</v>
      </c>
      <c r="H60" s="6">
        <v>5353.9</v>
      </c>
      <c r="I60" s="6">
        <v>5165.6000000000004</v>
      </c>
      <c r="J60" s="6">
        <v>5018.3</v>
      </c>
      <c r="K60" s="6">
        <v>4939.5</v>
      </c>
      <c r="L60" s="6">
        <v>4300.6000000000004</v>
      </c>
    </row>
    <row r="61" spans="1:12" ht="15" customHeight="1" outlineLevel="2" x14ac:dyDescent="0.15">
      <c r="A61" s="7" t="s">
        <v>64</v>
      </c>
      <c r="B61" s="8">
        <v>4338.3</v>
      </c>
      <c r="C61" s="8">
        <v>5134.3999999999996</v>
      </c>
      <c r="D61" s="8">
        <v>5374.4</v>
      </c>
      <c r="E61" s="8">
        <v>4277.3</v>
      </c>
      <c r="F61" s="8">
        <v>4664.5</v>
      </c>
      <c r="G61" s="8">
        <v>1516.6</v>
      </c>
      <c r="H61" s="8">
        <v>3904.6</v>
      </c>
      <c r="I61" s="8">
        <v>3859.7</v>
      </c>
      <c r="J61" s="8">
        <v>3951.2</v>
      </c>
      <c r="K61" s="8">
        <v>3909.4</v>
      </c>
      <c r="L61" s="8">
        <v>3366.8</v>
      </c>
    </row>
    <row r="62" spans="1:12" ht="15" customHeight="1" outlineLevel="2" x14ac:dyDescent="0.15">
      <c r="A62" s="15" t="s">
        <v>19</v>
      </c>
      <c r="B62" s="13">
        <v>1676.3</v>
      </c>
      <c r="C62" s="13">
        <v>1592.4</v>
      </c>
      <c r="D62" s="13">
        <v>1450.3</v>
      </c>
      <c r="E62" s="13">
        <v>3027.1</v>
      </c>
      <c r="F62" s="13">
        <v>2772.7</v>
      </c>
      <c r="G62" s="13">
        <v>2700.8</v>
      </c>
      <c r="H62" s="13">
        <v>1449.3</v>
      </c>
      <c r="I62" s="13">
        <v>1305.9000000000001</v>
      </c>
      <c r="J62" s="13">
        <v>1067.0999999999999</v>
      </c>
      <c r="K62" s="13">
        <v>1030.0999999999999</v>
      </c>
      <c r="L62" s="13">
        <v>933.8</v>
      </c>
    </row>
    <row r="63" spans="1:12" ht="15" customHeight="1" x14ac:dyDescent="0.15">
      <c r="A63" s="26" t="s">
        <v>65</v>
      </c>
    </row>
    <row r="68" spans="2:2" ht="15" customHeight="1" x14ac:dyDescent="0.15">
      <c r="B68">
        <f>B67/C46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A3F8-9A47-764D-B093-CA2956AA4477}">
  <dimension ref="A1:K102"/>
  <sheetViews>
    <sheetView workbookViewId="0">
      <selection activeCell="B84" sqref="B84"/>
    </sheetView>
  </sheetViews>
  <sheetFormatPr baseColWidth="10" defaultRowHeight="13" x14ac:dyDescent="0.15"/>
  <cols>
    <col min="1" max="1" width="47.83203125" customWidth="1"/>
  </cols>
  <sheetData>
    <row r="1" spans="1:11" x14ac:dyDescent="0.15">
      <c r="A1" s="27" t="s">
        <v>66</v>
      </c>
    </row>
    <row r="2" spans="1:11" x14ac:dyDescent="0.15">
      <c r="A2" s="29" t="s">
        <v>67</v>
      </c>
    </row>
    <row r="3" spans="1:1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5" spans="1:11" x14ac:dyDescent="0.1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1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1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 t="s">
        <v>15</v>
      </c>
      <c r="K9" s="1" t="s">
        <v>15</v>
      </c>
    </row>
    <row r="10" spans="1:11" x14ac:dyDescent="0.15">
      <c r="A10" s="18" t="s">
        <v>68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15">
      <c r="A11" s="2" t="s">
        <v>69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5" t="s">
        <v>70</v>
      </c>
      <c r="B12" s="6">
        <v>3543.2</v>
      </c>
      <c r="C12" s="6">
        <v>3953</v>
      </c>
      <c r="D12" s="6">
        <v>3182.9</v>
      </c>
      <c r="E12" s="6">
        <v>6617.9</v>
      </c>
      <c r="F12" s="6">
        <v>4632.1000000000004</v>
      </c>
      <c r="G12" s="6">
        <v>2757.1</v>
      </c>
      <c r="H12" s="6">
        <v>8937.7999999999993</v>
      </c>
      <c r="I12" s="6">
        <v>2690.9</v>
      </c>
      <c r="J12" s="6">
        <v>2263.1999999999998</v>
      </c>
      <c r="K12" s="6">
        <v>1611.4</v>
      </c>
    </row>
    <row r="13" spans="1:11" x14ac:dyDescent="0.15">
      <c r="A13" s="7" t="s">
        <v>71</v>
      </c>
      <c r="B13" s="8">
        <v>3286.2</v>
      </c>
      <c r="C13" s="8">
        <v>3551.5</v>
      </c>
      <c r="D13" s="8">
        <v>2818.4</v>
      </c>
      <c r="E13" s="8">
        <v>6455.7</v>
      </c>
      <c r="F13" s="8">
        <v>4350.8999999999996</v>
      </c>
      <c r="G13" s="8">
        <v>2686.6</v>
      </c>
      <c r="H13" s="8">
        <v>8756.2999999999993</v>
      </c>
      <c r="I13" s="8">
        <v>2462.3000000000002</v>
      </c>
      <c r="J13" s="8">
        <v>2128.8000000000002</v>
      </c>
      <c r="K13" s="8">
        <v>1530.1</v>
      </c>
    </row>
    <row r="14" spans="1:11" x14ac:dyDescent="0.15">
      <c r="A14" s="15" t="s">
        <v>72</v>
      </c>
      <c r="B14" s="13">
        <v>257</v>
      </c>
      <c r="C14" s="13">
        <v>401.5</v>
      </c>
      <c r="D14" s="13">
        <v>364.5</v>
      </c>
      <c r="E14" s="13">
        <v>162.19999999999999</v>
      </c>
      <c r="F14" s="13">
        <v>281.2</v>
      </c>
      <c r="G14" s="13">
        <v>70.5</v>
      </c>
      <c r="H14" s="13">
        <v>181.5</v>
      </c>
      <c r="I14" s="13">
        <v>228.6</v>
      </c>
      <c r="J14" s="13">
        <v>134.4</v>
      </c>
      <c r="K14" s="13">
        <v>81.3</v>
      </c>
    </row>
    <row r="15" spans="1:11" x14ac:dyDescent="0.15">
      <c r="A15" s="4" t="s">
        <v>73</v>
      </c>
      <c r="B15" s="3">
        <v>1213.8</v>
      </c>
      <c r="C15" s="3">
        <v>1199.7</v>
      </c>
      <c r="D15" s="3">
        <v>1272.5999999999999</v>
      </c>
      <c r="E15" s="3">
        <v>1133.0999999999999</v>
      </c>
      <c r="F15" s="3">
        <v>1395.4</v>
      </c>
      <c r="G15" s="3">
        <v>1020.3</v>
      </c>
      <c r="H15" s="3">
        <v>1648.5</v>
      </c>
      <c r="I15" s="3">
        <v>870.4</v>
      </c>
      <c r="J15" s="3">
        <v>768.8</v>
      </c>
      <c r="K15" s="3">
        <v>719</v>
      </c>
    </row>
    <row r="16" spans="1:11" x14ac:dyDescent="0.15">
      <c r="A16" s="10" t="s">
        <v>74</v>
      </c>
      <c r="B16" s="6">
        <v>1213.8</v>
      </c>
      <c r="C16" s="6">
        <v>1184.0999999999999</v>
      </c>
      <c r="D16" s="6">
        <v>1175.5</v>
      </c>
      <c r="E16" s="6">
        <v>940</v>
      </c>
      <c r="F16" s="6">
        <v>883.4</v>
      </c>
      <c r="G16" s="6">
        <v>879.2</v>
      </c>
      <c r="H16" s="6">
        <v>693.1</v>
      </c>
      <c r="I16" s="6">
        <v>870.4</v>
      </c>
      <c r="J16" s="6">
        <v>768.8</v>
      </c>
      <c r="K16" s="6">
        <v>719</v>
      </c>
    </row>
    <row r="17" spans="1:11" x14ac:dyDescent="0.15">
      <c r="A17" s="11" t="s">
        <v>75</v>
      </c>
      <c r="B17" s="8">
        <v>1213.8</v>
      </c>
      <c r="C17" s="8">
        <v>1184.0999999999999</v>
      </c>
      <c r="D17" s="8">
        <v>1175.5</v>
      </c>
      <c r="E17" s="8">
        <v>940</v>
      </c>
      <c r="F17" s="8">
        <v>883.4</v>
      </c>
      <c r="G17" s="8">
        <v>879.2</v>
      </c>
      <c r="H17" s="8">
        <v>701.1</v>
      </c>
      <c r="I17" s="8">
        <v>880.2</v>
      </c>
      <c r="J17" s="8">
        <v>778.2</v>
      </c>
      <c r="K17" s="8">
        <v>729.8</v>
      </c>
    </row>
    <row r="18" spans="1:11" x14ac:dyDescent="0.15">
      <c r="A18" s="12" t="s">
        <v>76</v>
      </c>
      <c r="B18" s="18"/>
      <c r="C18" s="18"/>
      <c r="D18" s="18"/>
      <c r="E18" s="18"/>
      <c r="F18" s="18"/>
      <c r="G18" s="18"/>
      <c r="H18" s="16">
        <v>-8</v>
      </c>
      <c r="I18" s="16">
        <v>-9.8000000000000007</v>
      </c>
      <c r="J18" s="16">
        <v>-9.4</v>
      </c>
      <c r="K18" s="16">
        <v>-10.8</v>
      </c>
    </row>
    <row r="19" spans="1:11" x14ac:dyDescent="0.15">
      <c r="A19" s="7" t="s">
        <v>77</v>
      </c>
      <c r="B19" s="8">
        <v>0</v>
      </c>
      <c r="C19" s="8">
        <v>15.6</v>
      </c>
      <c r="D19" s="8">
        <v>97.1</v>
      </c>
      <c r="E19" s="8">
        <v>193.1</v>
      </c>
      <c r="F19" s="8">
        <v>512</v>
      </c>
      <c r="G19" s="8">
        <v>141.1</v>
      </c>
      <c r="H19" s="8">
        <v>955.4</v>
      </c>
      <c r="I19" s="8">
        <v>0</v>
      </c>
      <c r="J19" s="8">
        <v>0</v>
      </c>
      <c r="K19" s="8">
        <v>0</v>
      </c>
    </row>
    <row r="20" spans="1:11" x14ac:dyDescent="0.15">
      <c r="A20" s="5" t="s">
        <v>78</v>
      </c>
      <c r="B20" s="6">
        <v>1777.3</v>
      </c>
      <c r="C20" s="6">
        <v>1806.4</v>
      </c>
      <c r="D20" s="6">
        <v>2176.6</v>
      </c>
      <c r="E20" s="6">
        <v>1603.9</v>
      </c>
      <c r="F20" s="6">
        <v>1551.4</v>
      </c>
      <c r="G20" s="6">
        <v>1529.4</v>
      </c>
      <c r="H20" s="6">
        <v>1400.5</v>
      </c>
      <c r="I20" s="6">
        <v>1364</v>
      </c>
      <c r="J20" s="6">
        <v>1378.5</v>
      </c>
      <c r="K20" s="6">
        <v>1306.4000000000001</v>
      </c>
    </row>
    <row r="21" spans="1:11" x14ac:dyDescent="0.15">
      <c r="A21" s="7" t="s">
        <v>79</v>
      </c>
      <c r="B21" s="8">
        <v>636.5</v>
      </c>
      <c r="C21" s="8">
        <v>644.9</v>
      </c>
      <c r="D21" s="8">
        <v>741.2</v>
      </c>
      <c r="E21" s="8">
        <v>562.79999999999995</v>
      </c>
      <c r="F21" s="8">
        <v>517.4</v>
      </c>
      <c r="G21" s="8">
        <v>564.5</v>
      </c>
      <c r="H21" s="8">
        <v>554.29999999999995</v>
      </c>
      <c r="I21" s="8">
        <v>602.20000000000005</v>
      </c>
      <c r="J21" s="8">
        <v>609</v>
      </c>
      <c r="K21" s="8">
        <v>598</v>
      </c>
    </row>
    <row r="22" spans="1:11" x14ac:dyDescent="0.15">
      <c r="A22" s="15" t="s">
        <v>80</v>
      </c>
      <c r="B22" s="13">
        <v>1140.8</v>
      </c>
      <c r="C22" s="13">
        <v>1161.5</v>
      </c>
      <c r="D22" s="13">
        <v>1435.4</v>
      </c>
      <c r="E22" s="13">
        <v>1041.0999999999999</v>
      </c>
      <c r="F22" s="13">
        <v>1034</v>
      </c>
      <c r="G22" s="13">
        <v>964.9</v>
      </c>
      <c r="H22" s="13">
        <v>846.2</v>
      </c>
      <c r="I22" s="13">
        <v>761.8</v>
      </c>
      <c r="J22" s="13">
        <v>769.5</v>
      </c>
      <c r="K22" s="13">
        <v>708.4</v>
      </c>
    </row>
    <row r="23" spans="1:11" x14ac:dyDescent="0.15">
      <c r="A23" s="4" t="s">
        <v>81</v>
      </c>
      <c r="B23" s="3">
        <v>313.10000000000002</v>
      </c>
      <c r="C23" s="3">
        <v>344.3</v>
      </c>
      <c r="D23" s="3">
        <v>386.6</v>
      </c>
      <c r="E23" s="3">
        <v>401.5</v>
      </c>
      <c r="F23" s="3">
        <v>227.5</v>
      </c>
      <c r="G23" s="3">
        <v>347.1</v>
      </c>
      <c r="H23" s="3">
        <v>507.4</v>
      </c>
      <c r="I23" s="3">
        <v>358.1</v>
      </c>
      <c r="J23" s="3">
        <v>347.4</v>
      </c>
      <c r="K23" s="3">
        <v>334.2</v>
      </c>
    </row>
    <row r="24" spans="1:11" x14ac:dyDescent="0.15">
      <c r="A24" s="15" t="s">
        <v>82</v>
      </c>
      <c r="B24" s="13">
        <v>313.10000000000002</v>
      </c>
      <c r="C24" s="13">
        <v>344.3</v>
      </c>
      <c r="D24" s="13">
        <v>386.6</v>
      </c>
      <c r="E24" s="13">
        <v>401.5</v>
      </c>
      <c r="F24" s="13">
        <v>227.5</v>
      </c>
      <c r="G24" s="13">
        <v>347.1</v>
      </c>
      <c r="H24" s="13">
        <v>507.4</v>
      </c>
      <c r="I24" s="13">
        <v>358.1</v>
      </c>
      <c r="J24" s="13">
        <v>347.4</v>
      </c>
      <c r="K24" s="13">
        <v>334.2</v>
      </c>
    </row>
    <row r="25" spans="1:11" x14ac:dyDescent="0.15">
      <c r="A25" s="20" t="s">
        <v>83</v>
      </c>
      <c r="B25" s="8">
        <v>6847.4</v>
      </c>
      <c r="C25" s="8">
        <v>7303.4</v>
      </c>
      <c r="D25" s="8">
        <v>7018.7</v>
      </c>
      <c r="E25" s="8">
        <v>9756.4</v>
      </c>
      <c r="F25" s="8">
        <v>7806.4</v>
      </c>
      <c r="G25" s="8">
        <v>5653.9</v>
      </c>
      <c r="H25" s="8">
        <v>12494.2</v>
      </c>
      <c r="I25" s="8">
        <v>5283.4</v>
      </c>
      <c r="J25" s="8">
        <v>4757.8999999999996</v>
      </c>
      <c r="K25" s="8">
        <v>3971</v>
      </c>
    </row>
    <row r="26" spans="1:11" x14ac:dyDescent="0.15">
      <c r="A26" s="5" t="s">
        <v>84</v>
      </c>
      <c r="B26" s="6">
        <v>17951.7</v>
      </c>
      <c r="C26" s="6">
        <v>15799.7</v>
      </c>
      <c r="D26" s="6">
        <v>14576.1</v>
      </c>
      <c r="E26" s="6">
        <v>14605.5</v>
      </c>
      <c r="F26" s="6">
        <v>14375.5</v>
      </c>
      <c r="G26" s="6">
        <v>6431.7</v>
      </c>
      <c r="H26" s="6">
        <v>5929.1</v>
      </c>
      <c r="I26" s="6">
        <v>4919.5</v>
      </c>
      <c r="J26" s="6">
        <v>4533.8</v>
      </c>
      <c r="K26" s="6">
        <v>4088.3</v>
      </c>
    </row>
    <row r="27" spans="1:11" x14ac:dyDescent="0.15">
      <c r="A27" s="9" t="s">
        <v>85</v>
      </c>
      <c r="B27" s="3">
        <v>28727.200000000001</v>
      </c>
      <c r="C27" s="3">
        <v>25722.799999999999</v>
      </c>
      <c r="D27" s="3">
        <v>23625.4</v>
      </c>
      <c r="E27" s="3">
        <v>23064.799999999999</v>
      </c>
      <c r="F27" s="3">
        <v>22289.4</v>
      </c>
      <c r="G27" s="3">
        <v>14273.5</v>
      </c>
      <c r="H27" s="3">
        <v>13197.1</v>
      </c>
      <c r="I27" s="3">
        <v>11584</v>
      </c>
      <c r="J27" s="3">
        <v>10573.3</v>
      </c>
      <c r="K27" s="3">
        <v>9641.7999999999993</v>
      </c>
    </row>
    <row r="28" spans="1:11" x14ac:dyDescent="0.15">
      <c r="A28" s="12" t="s">
        <v>86</v>
      </c>
      <c r="B28" s="13">
        <v>684.8</v>
      </c>
      <c r="C28" s="13">
        <v>666.5</v>
      </c>
      <c r="D28" s="13">
        <v>555.4</v>
      </c>
      <c r="E28" s="13">
        <v>587.6</v>
      </c>
      <c r="F28" s="13">
        <v>586.79999999999995</v>
      </c>
      <c r="G28" s="13">
        <v>691.5</v>
      </c>
      <c r="H28" s="13">
        <v>557.29999999999995</v>
      </c>
      <c r="I28" s="13">
        <v>481.7</v>
      </c>
      <c r="J28" s="13">
        <v>458.4</v>
      </c>
      <c r="K28" s="13">
        <v>411.5</v>
      </c>
    </row>
    <row r="29" spans="1:11" x14ac:dyDescent="0.15">
      <c r="A29" s="11" t="s">
        <v>87</v>
      </c>
      <c r="B29" s="8">
        <v>56.9</v>
      </c>
      <c r="C29" s="8">
        <v>46.1</v>
      </c>
      <c r="D29" s="8">
        <v>46.1</v>
      </c>
      <c r="E29" s="8">
        <v>46.2</v>
      </c>
      <c r="F29" s="8">
        <v>46</v>
      </c>
      <c r="G29" s="8">
        <v>46.8</v>
      </c>
      <c r="H29" s="8">
        <v>46.8</v>
      </c>
      <c r="I29" s="8">
        <v>46.9</v>
      </c>
      <c r="J29" s="8">
        <v>46.6</v>
      </c>
      <c r="K29" s="8">
        <v>46.6</v>
      </c>
    </row>
    <row r="30" spans="1:11" x14ac:dyDescent="0.15">
      <c r="A30" s="12" t="s">
        <v>88</v>
      </c>
      <c r="B30" s="13">
        <v>4669.3</v>
      </c>
      <c r="C30" s="13">
        <v>4191.8999999999996</v>
      </c>
      <c r="D30" s="13">
        <v>3856.7</v>
      </c>
      <c r="E30" s="13">
        <v>3791.3</v>
      </c>
      <c r="F30" s="13">
        <v>3596.9</v>
      </c>
      <c r="G30" s="13">
        <v>3429.1</v>
      </c>
      <c r="H30" s="13">
        <v>3059</v>
      </c>
      <c r="I30" s="13">
        <v>2730.5</v>
      </c>
      <c r="J30" s="13">
        <v>2537.1</v>
      </c>
      <c r="K30" s="13">
        <v>2249.9</v>
      </c>
    </row>
    <row r="31" spans="1:11" x14ac:dyDescent="0.15">
      <c r="A31" s="11" t="s">
        <v>89</v>
      </c>
      <c r="B31" s="8">
        <v>750.9</v>
      </c>
      <c r="C31" s="8">
        <v>607.5</v>
      </c>
      <c r="D31" s="8">
        <v>558.70000000000005</v>
      </c>
      <c r="E31" s="8">
        <v>374.1</v>
      </c>
      <c r="F31" s="8">
        <v>377.3</v>
      </c>
      <c r="G31" s="8">
        <v>358.5</v>
      </c>
      <c r="H31" s="8">
        <v>501.9</v>
      </c>
      <c r="I31" s="8">
        <v>409.8</v>
      </c>
      <c r="J31" s="8">
        <v>271.39999999999998</v>
      </c>
      <c r="K31" s="8">
        <v>242.5</v>
      </c>
    </row>
    <row r="32" spans="1:11" x14ac:dyDescent="0.15">
      <c r="A32" s="12" t="s">
        <v>90</v>
      </c>
      <c r="B32" s="13">
        <v>1049.7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1:11" x14ac:dyDescent="0.15">
      <c r="A33" s="11" t="s">
        <v>91</v>
      </c>
      <c r="B33" s="8">
        <v>12229.4</v>
      </c>
      <c r="C33" s="8">
        <v>11798.2</v>
      </c>
      <c r="D33" s="8">
        <v>10592.9</v>
      </c>
      <c r="E33" s="8">
        <v>10029.6</v>
      </c>
      <c r="F33" s="8">
        <v>9548.2999999999993</v>
      </c>
      <c r="G33" s="8">
        <v>9747.6</v>
      </c>
      <c r="H33" s="8">
        <v>9032.1</v>
      </c>
      <c r="I33" s="8">
        <v>7915.1</v>
      </c>
      <c r="J33" s="8">
        <v>7259.8</v>
      </c>
      <c r="K33" s="8">
        <v>6691.3</v>
      </c>
    </row>
    <row r="34" spans="1:11" x14ac:dyDescent="0.15">
      <c r="A34" s="12" t="s">
        <v>92</v>
      </c>
      <c r="B34" s="13">
        <v>9286.2000000000007</v>
      </c>
      <c r="C34" s="13">
        <v>8412.6</v>
      </c>
      <c r="D34" s="13">
        <v>8015.6</v>
      </c>
      <c r="E34" s="13">
        <v>8236</v>
      </c>
      <c r="F34" s="13">
        <v>8134.1</v>
      </c>
      <c r="G34" s="18"/>
      <c r="H34" s="18"/>
      <c r="I34" s="18"/>
      <c r="J34" s="18"/>
      <c r="K34" s="18"/>
    </row>
    <row r="35" spans="1:11" x14ac:dyDescent="0.15">
      <c r="A35" s="7" t="s">
        <v>93</v>
      </c>
      <c r="B35" s="8">
        <v>10775.5</v>
      </c>
      <c r="C35" s="8">
        <v>9923.1</v>
      </c>
      <c r="D35" s="8">
        <v>9049.2999999999993</v>
      </c>
      <c r="E35" s="8">
        <v>8459.2999999999993</v>
      </c>
      <c r="F35" s="8">
        <v>7913.9</v>
      </c>
      <c r="G35" s="8">
        <v>7841.8</v>
      </c>
      <c r="H35" s="8">
        <v>7268</v>
      </c>
      <c r="I35" s="8">
        <v>6664.5</v>
      </c>
      <c r="J35" s="8">
        <v>6039.5</v>
      </c>
      <c r="K35" s="8">
        <v>5553.5</v>
      </c>
    </row>
    <row r="36" spans="1:11" x14ac:dyDescent="0.15">
      <c r="A36" s="5" t="s">
        <v>94</v>
      </c>
      <c r="B36" s="6">
        <v>919</v>
      </c>
      <c r="C36" s="6">
        <v>840.3</v>
      </c>
      <c r="D36" s="6">
        <v>746.5</v>
      </c>
      <c r="E36" s="6">
        <v>634.5</v>
      </c>
      <c r="F36" s="6">
        <v>684.8</v>
      </c>
      <c r="G36" s="6">
        <v>616</v>
      </c>
      <c r="H36" s="6">
        <v>602.4</v>
      </c>
      <c r="I36" s="6">
        <v>1023.9</v>
      </c>
      <c r="J36" s="6">
        <v>1496.2</v>
      </c>
      <c r="K36" s="6">
        <v>664.5</v>
      </c>
    </row>
    <row r="37" spans="1:11" x14ac:dyDescent="0.15">
      <c r="A37" s="7" t="s">
        <v>95</v>
      </c>
      <c r="B37" s="8">
        <v>463.9</v>
      </c>
      <c r="C37" s="8">
        <v>439.9</v>
      </c>
      <c r="D37" s="8">
        <v>311.2</v>
      </c>
      <c r="E37" s="8">
        <v>268.5</v>
      </c>
      <c r="F37" s="8">
        <v>478.7</v>
      </c>
      <c r="G37" s="8">
        <v>396</v>
      </c>
      <c r="H37" s="8">
        <v>334.7</v>
      </c>
      <c r="I37" s="8">
        <v>481.6</v>
      </c>
      <c r="J37" s="8">
        <v>354.5</v>
      </c>
      <c r="K37" s="8">
        <v>352</v>
      </c>
    </row>
    <row r="38" spans="1:11" x14ac:dyDescent="0.15">
      <c r="A38" s="15" t="s">
        <v>96</v>
      </c>
      <c r="B38" s="13">
        <v>455.1</v>
      </c>
      <c r="C38" s="13">
        <v>400.4</v>
      </c>
      <c r="D38" s="13">
        <v>435.3</v>
      </c>
      <c r="E38" s="13">
        <v>366</v>
      </c>
      <c r="F38" s="13">
        <v>206.1</v>
      </c>
      <c r="G38" s="13">
        <v>220</v>
      </c>
      <c r="H38" s="13">
        <v>267.7</v>
      </c>
      <c r="I38" s="13">
        <v>542.29999999999995</v>
      </c>
      <c r="J38" s="13">
        <v>1141.7</v>
      </c>
      <c r="K38" s="13">
        <v>312.5</v>
      </c>
    </row>
    <row r="39" spans="1:11" x14ac:dyDescent="0.15">
      <c r="A39" s="4" t="s">
        <v>97</v>
      </c>
      <c r="B39" s="3">
        <v>3416.6</v>
      </c>
      <c r="C39" s="3">
        <v>3338.8</v>
      </c>
      <c r="D39" s="3">
        <v>3439.4</v>
      </c>
      <c r="E39" s="3">
        <v>4027.2</v>
      </c>
      <c r="F39" s="3">
        <v>4149.3</v>
      </c>
      <c r="G39" s="3">
        <v>4272.6000000000004</v>
      </c>
      <c r="H39" s="3">
        <v>4583.8</v>
      </c>
      <c r="I39" s="3">
        <v>1980.6</v>
      </c>
      <c r="J39" s="3">
        <v>2235.9</v>
      </c>
      <c r="K39" s="3">
        <v>2095.8000000000002</v>
      </c>
    </row>
    <row r="40" spans="1:11" x14ac:dyDescent="0.15">
      <c r="A40" s="15" t="s">
        <v>35</v>
      </c>
      <c r="B40" s="13">
        <v>3315.7</v>
      </c>
      <c r="C40" s="13">
        <v>3218.3</v>
      </c>
      <c r="D40" s="13">
        <v>3283.5</v>
      </c>
      <c r="E40" s="13">
        <v>3677.3</v>
      </c>
      <c r="F40" s="13">
        <v>3597.2</v>
      </c>
      <c r="G40" s="13">
        <v>3490.8</v>
      </c>
      <c r="H40" s="13">
        <v>3541.6</v>
      </c>
      <c r="I40" s="13">
        <v>1539.2</v>
      </c>
      <c r="J40" s="13">
        <v>1719.6</v>
      </c>
      <c r="K40" s="13">
        <v>1575.4</v>
      </c>
    </row>
    <row r="41" spans="1:11" x14ac:dyDescent="0.15">
      <c r="A41" s="7" t="s">
        <v>98</v>
      </c>
      <c r="B41" s="8">
        <v>100.9</v>
      </c>
      <c r="C41" s="8">
        <v>120.5</v>
      </c>
      <c r="D41" s="8">
        <v>155.9</v>
      </c>
      <c r="E41" s="8">
        <v>349.9</v>
      </c>
      <c r="F41" s="8">
        <v>552.1</v>
      </c>
      <c r="G41" s="8">
        <v>781.8</v>
      </c>
      <c r="H41" s="8">
        <v>1042.2</v>
      </c>
      <c r="I41" s="8">
        <v>441.4</v>
      </c>
      <c r="J41" s="8">
        <v>516.29999999999995</v>
      </c>
      <c r="K41" s="8">
        <v>520.4</v>
      </c>
    </row>
    <row r="42" spans="1:11" x14ac:dyDescent="0.15">
      <c r="A42" s="25" t="s">
        <v>99</v>
      </c>
      <c r="B42" s="13">
        <v>1766.7</v>
      </c>
      <c r="C42" s="13">
        <v>1769.8</v>
      </c>
      <c r="D42" s="13">
        <v>1799.7</v>
      </c>
      <c r="E42" s="13">
        <v>1874.8</v>
      </c>
      <c r="F42" s="13">
        <v>1789.9</v>
      </c>
      <c r="G42" s="13">
        <v>1765.8</v>
      </c>
      <c r="H42" s="13">
        <v>134.69999999999999</v>
      </c>
      <c r="I42" s="13">
        <v>795.4</v>
      </c>
      <c r="J42" s="13">
        <v>885.4</v>
      </c>
      <c r="K42" s="13">
        <v>1180.8</v>
      </c>
    </row>
    <row r="43" spans="1:11" x14ac:dyDescent="0.15">
      <c r="A43" s="4" t="s">
        <v>100</v>
      </c>
      <c r="B43" s="3">
        <v>437.9</v>
      </c>
      <c r="C43" s="3">
        <v>393.5</v>
      </c>
      <c r="D43" s="3">
        <v>398</v>
      </c>
      <c r="E43" s="3">
        <v>494.2</v>
      </c>
      <c r="F43" s="3">
        <v>568.6</v>
      </c>
      <c r="G43" s="3">
        <v>479.6</v>
      </c>
      <c r="H43" s="3">
        <v>412.2</v>
      </c>
      <c r="I43" s="3">
        <v>362.8</v>
      </c>
      <c r="J43" s="3">
        <v>403.3</v>
      </c>
      <c r="K43" s="3">
        <v>415.9</v>
      </c>
    </row>
    <row r="44" spans="1:11" x14ac:dyDescent="0.15">
      <c r="A44" s="15" t="s">
        <v>101</v>
      </c>
      <c r="B44" s="13">
        <v>437.9</v>
      </c>
      <c r="C44" s="13">
        <v>393.5</v>
      </c>
      <c r="D44" s="13">
        <v>398</v>
      </c>
      <c r="E44" s="13">
        <v>494.2</v>
      </c>
      <c r="F44" s="13">
        <v>568.6</v>
      </c>
      <c r="G44" s="13">
        <v>479.6</v>
      </c>
      <c r="H44" s="13">
        <v>412.2</v>
      </c>
      <c r="I44" s="13">
        <v>362.8</v>
      </c>
      <c r="J44" s="13">
        <v>403.3</v>
      </c>
      <c r="K44" s="13">
        <v>415.9</v>
      </c>
    </row>
    <row r="45" spans="1:11" x14ac:dyDescent="0.15">
      <c r="A45" s="20" t="s">
        <v>102</v>
      </c>
      <c r="B45" s="8">
        <v>31339.3</v>
      </c>
      <c r="C45" s="8">
        <v>29445.5</v>
      </c>
      <c r="D45" s="8">
        <v>27978.400000000001</v>
      </c>
      <c r="E45" s="8">
        <v>31392.6</v>
      </c>
      <c r="F45" s="8">
        <v>29374.5</v>
      </c>
      <c r="G45" s="8">
        <v>19219.599999999999</v>
      </c>
      <c r="H45" s="8">
        <v>24156.400000000001</v>
      </c>
      <c r="I45" s="8">
        <v>14365.6</v>
      </c>
      <c r="J45" s="8">
        <v>14312.5</v>
      </c>
      <c r="K45" s="8">
        <v>12416.3</v>
      </c>
    </row>
    <row r="46" spans="1:11" x14ac:dyDescent="0.15">
      <c r="A46" s="14" t="s">
        <v>103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15">
      <c r="A47" s="4" t="s">
        <v>104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15">
      <c r="A48" s="15" t="s">
        <v>105</v>
      </c>
      <c r="B48" s="13">
        <v>2712</v>
      </c>
      <c r="C48" s="13">
        <v>3127.4</v>
      </c>
      <c r="D48" s="13">
        <v>3169.7</v>
      </c>
      <c r="E48" s="13">
        <v>2250.1999999999998</v>
      </c>
      <c r="F48" s="13">
        <v>2942.7</v>
      </c>
      <c r="G48" s="13">
        <v>5.2</v>
      </c>
      <c r="H48" s="13">
        <v>354.3</v>
      </c>
      <c r="I48" s="13">
        <v>4.0999999999999996</v>
      </c>
      <c r="J48" s="13">
        <v>399.9</v>
      </c>
      <c r="K48" s="13">
        <v>0</v>
      </c>
    </row>
    <row r="49" spans="1:11" x14ac:dyDescent="0.15">
      <c r="A49" s="7" t="s">
        <v>106</v>
      </c>
      <c r="B49" s="8">
        <v>1595.5</v>
      </c>
      <c r="C49" s="8">
        <v>1544.3</v>
      </c>
      <c r="D49" s="8">
        <v>1441.4</v>
      </c>
      <c r="E49" s="8">
        <v>1211.5999999999999</v>
      </c>
      <c r="F49" s="8">
        <v>997.9</v>
      </c>
      <c r="G49" s="8">
        <v>1189.7</v>
      </c>
      <c r="H49" s="8">
        <v>1179.3</v>
      </c>
      <c r="I49" s="8">
        <v>782.5</v>
      </c>
      <c r="J49" s="8">
        <v>730.6</v>
      </c>
      <c r="K49" s="8">
        <v>684.2</v>
      </c>
    </row>
    <row r="50" spans="1:11" x14ac:dyDescent="0.15">
      <c r="A50" s="15" t="s">
        <v>107</v>
      </c>
      <c r="B50" s="13">
        <v>334.7</v>
      </c>
      <c r="C50" s="13">
        <v>402</v>
      </c>
      <c r="D50" s="13">
        <v>333.8</v>
      </c>
      <c r="E50" s="13">
        <v>566</v>
      </c>
      <c r="F50" s="13">
        <v>260.89999999999998</v>
      </c>
      <c r="G50" s="13">
        <v>176.7</v>
      </c>
      <c r="H50" s="13">
        <v>286.60000000000002</v>
      </c>
      <c r="I50" s="13">
        <v>226.6</v>
      </c>
      <c r="J50" s="13">
        <v>368.4</v>
      </c>
      <c r="K50" s="13">
        <v>259</v>
      </c>
    </row>
    <row r="51" spans="1:11" x14ac:dyDescent="0.15">
      <c r="A51" s="9" t="s">
        <v>108</v>
      </c>
      <c r="B51" s="3">
        <v>4427.8</v>
      </c>
      <c r="C51" s="3">
        <v>4271.6000000000004</v>
      </c>
      <c r="D51" s="3">
        <v>4206.8999999999996</v>
      </c>
      <c r="E51" s="3">
        <v>4123.6000000000004</v>
      </c>
      <c r="F51" s="3">
        <v>3145.3</v>
      </c>
      <c r="G51" s="3">
        <v>4797.1000000000004</v>
      </c>
      <c r="H51" s="3">
        <v>3864</v>
      </c>
      <c r="I51" s="3">
        <v>3207.5</v>
      </c>
      <c r="J51" s="3">
        <v>3047.9</v>
      </c>
      <c r="K51" s="3">
        <v>2704.9</v>
      </c>
    </row>
    <row r="52" spans="1:11" x14ac:dyDescent="0.15">
      <c r="A52" s="12" t="s">
        <v>109</v>
      </c>
      <c r="B52" s="13">
        <v>691.2</v>
      </c>
      <c r="C52" s="13">
        <v>651.20000000000005</v>
      </c>
      <c r="D52" s="13">
        <v>608.29999999999995</v>
      </c>
      <c r="E52" s="13">
        <v>578.1</v>
      </c>
      <c r="F52" s="13">
        <v>0</v>
      </c>
      <c r="G52" s="13">
        <v>485.7</v>
      </c>
      <c r="H52" s="13">
        <v>445.4</v>
      </c>
      <c r="I52" s="13">
        <v>429.5</v>
      </c>
      <c r="J52" s="13">
        <v>365.1</v>
      </c>
      <c r="K52" s="13">
        <v>297</v>
      </c>
    </row>
    <row r="53" spans="1:11" x14ac:dyDescent="0.15">
      <c r="A53" s="11" t="s">
        <v>110</v>
      </c>
      <c r="B53" s="8">
        <v>786.6</v>
      </c>
      <c r="C53" s="8">
        <v>828.3</v>
      </c>
      <c r="D53" s="8">
        <v>761.7</v>
      </c>
      <c r="E53" s="8">
        <v>772.3</v>
      </c>
      <c r="F53" s="8">
        <v>696</v>
      </c>
      <c r="G53" s="8">
        <v>664.6</v>
      </c>
      <c r="H53" s="8">
        <v>656.8</v>
      </c>
      <c r="I53" s="8">
        <v>524.5</v>
      </c>
      <c r="J53" s="8">
        <v>510.8</v>
      </c>
      <c r="K53" s="8">
        <v>522.29999999999995</v>
      </c>
    </row>
    <row r="54" spans="1:11" x14ac:dyDescent="0.15">
      <c r="A54" s="12" t="s">
        <v>111</v>
      </c>
      <c r="B54" s="13">
        <v>2950</v>
      </c>
      <c r="C54" s="13">
        <v>2792.1</v>
      </c>
      <c r="D54" s="13">
        <v>2836.9</v>
      </c>
      <c r="E54" s="13">
        <v>2773.2</v>
      </c>
      <c r="F54" s="13">
        <v>2449.3000000000002</v>
      </c>
      <c r="G54" s="13">
        <v>3646.8</v>
      </c>
      <c r="H54" s="13">
        <v>2761.8</v>
      </c>
      <c r="I54" s="13">
        <v>2253.5</v>
      </c>
      <c r="J54" s="13">
        <v>2172</v>
      </c>
      <c r="K54" s="13">
        <v>1885.6</v>
      </c>
    </row>
    <row r="55" spans="1:11" x14ac:dyDescent="0.15">
      <c r="A55" s="7" t="s">
        <v>112</v>
      </c>
      <c r="B55" s="8">
        <v>9070</v>
      </c>
      <c r="C55" s="8">
        <v>9345.2999999999993</v>
      </c>
      <c r="D55" s="8">
        <v>9151.7999999999993</v>
      </c>
      <c r="E55" s="8">
        <v>8151.4</v>
      </c>
      <c r="F55" s="8">
        <v>7346.8</v>
      </c>
      <c r="G55" s="8">
        <v>6168.7</v>
      </c>
      <c r="H55" s="8">
        <v>5684.2</v>
      </c>
      <c r="I55" s="8">
        <v>4220.7</v>
      </c>
      <c r="J55" s="8">
        <v>4546.8</v>
      </c>
      <c r="K55" s="8">
        <v>3648.1</v>
      </c>
    </row>
    <row r="56" spans="1:11" x14ac:dyDescent="0.15">
      <c r="A56" s="5" t="s">
        <v>113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15">
      <c r="A57" s="9" t="s">
        <v>114</v>
      </c>
      <c r="B57" s="3">
        <v>23091.1</v>
      </c>
      <c r="C57" s="3">
        <v>21472.400000000001</v>
      </c>
      <c r="D57" s="3">
        <v>20635.099999999999</v>
      </c>
      <c r="E57" s="3">
        <v>21354.9</v>
      </c>
      <c r="F57" s="3">
        <v>22384</v>
      </c>
      <c r="G57" s="3">
        <v>11229.7</v>
      </c>
      <c r="H57" s="3">
        <v>9143.7999999999993</v>
      </c>
      <c r="I57" s="3">
        <v>3987.6</v>
      </c>
      <c r="J57" s="3">
        <v>3185.3</v>
      </c>
      <c r="K57" s="3">
        <v>2347.5</v>
      </c>
    </row>
    <row r="58" spans="1:11" x14ac:dyDescent="0.15">
      <c r="A58" s="12" t="s">
        <v>115</v>
      </c>
      <c r="B58" s="13">
        <v>14319.5</v>
      </c>
      <c r="C58" s="13">
        <v>13547.6</v>
      </c>
      <c r="D58" s="13">
        <v>13119.9</v>
      </c>
      <c r="E58" s="13">
        <v>13616.9</v>
      </c>
      <c r="F58" s="13">
        <v>14659.6</v>
      </c>
      <c r="G58" s="13">
        <v>11167</v>
      </c>
      <c r="H58" s="13">
        <v>9090.2000000000007</v>
      </c>
      <c r="I58" s="13">
        <v>3932.6</v>
      </c>
      <c r="J58" s="13">
        <v>3185.3</v>
      </c>
      <c r="K58" s="13">
        <v>2347.5</v>
      </c>
    </row>
    <row r="59" spans="1:11" x14ac:dyDescent="0.15">
      <c r="A59" s="11" t="s">
        <v>116</v>
      </c>
      <c r="B59" s="8">
        <v>8771.6</v>
      </c>
      <c r="C59" s="8">
        <v>7924.8</v>
      </c>
      <c r="D59" s="8">
        <v>7515.2</v>
      </c>
      <c r="E59" s="8">
        <v>7738</v>
      </c>
      <c r="F59" s="8">
        <v>7724.4</v>
      </c>
      <c r="G59" s="8">
        <v>62.7</v>
      </c>
      <c r="H59" s="8">
        <v>53.6</v>
      </c>
      <c r="I59" s="8">
        <v>55</v>
      </c>
      <c r="J59" s="8">
        <v>0</v>
      </c>
      <c r="K59" s="8">
        <v>0</v>
      </c>
    </row>
    <row r="60" spans="1:11" x14ac:dyDescent="0.15">
      <c r="A60" s="15" t="s">
        <v>117</v>
      </c>
      <c r="B60" s="13">
        <v>119.2</v>
      </c>
      <c r="C60" s="13">
        <v>110.3</v>
      </c>
      <c r="D60" s="13">
        <v>0</v>
      </c>
      <c r="E60" s="13">
        <v>0</v>
      </c>
      <c r="F60" s="13">
        <v>111</v>
      </c>
      <c r="G60" s="13">
        <v>95.5</v>
      </c>
      <c r="H60" s="13">
        <v>82.4</v>
      </c>
      <c r="I60" s="13">
        <v>70</v>
      </c>
      <c r="J60" s="13">
        <v>67.900000000000006</v>
      </c>
      <c r="K60" s="13">
        <v>60.1</v>
      </c>
    </row>
    <row r="61" spans="1:11" x14ac:dyDescent="0.15">
      <c r="A61" s="7" t="s">
        <v>118</v>
      </c>
      <c r="B61" s="8">
        <v>21.1</v>
      </c>
      <c r="C61" s="8">
        <v>14.6</v>
      </c>
      <c r="D61" s="17"/>
      <c r="E61" s="17"/>
      <c r="F61" s="8">
        <v>281.8</v>
      </c>
      <c r="G61" s="8">
        <v>318.5</v>
      </c>
      <c r="H61" s="8">
        <v>494.8</v>
      </c>
      <c r="I61" s="8">
        <v>203.2</v>
      </c>
      <c r="J61" s="8">
        <v>161.19999999999999</v>
      </c>
      <c r="K61" s="8">
        <v>193.8</v>
      </c>
    </row>
    <row r="62" spans="1:11" x14ac:dyDescent="0.15">
      <c r="A62" s="10" t="s">
        <v>119</v>
      </c>
      <c r="B62" s="6">
        <v>6479.5</v>
      </c>
      <c r="C62" s="6">
        <v>6490.7</v>
      </c>
      <c r="D62" s="6">
        <v>6890.2</v>
      </c>
      <c r="E62" s="6">
        <v>7200.8</v>
      </c>
      <c r="F62" s="6">
        <v>7050.3</v>
      </c>
      <c r="G62" s="6">
        <v>7638.2</v>
      </c>
      <c r="H62" s="6">
        <v>7575.4</v>
      </c>
      <c r="I62" s="6">
        <v>427.1</v>
      </c>
      <c r="J62" s="6">
        <v>460.6</v>
      </c>
      <c r="K62" s="6">
        <v>347</v>
      </c>
    </row>
    <row r="63" spans="1:11" x14ac:dyDescent="0.15">
      <c r="A63" s="11" t="s">
        <v>120</v>
      </c>
      <c r="B63" s="8">
        <v>515.9</v>
      </c>
      <c r="C63" s="8">
        <v>388.9</v>
      </c>
      <c r="D63" s="8">
        <v>610.5</v>
      </c>
      <c r="E63" s="8">
        <v>737.8</v>
      </c>
      <c r="F63" s="8">
        <v>451.8</v>
      </c>
      <c r="G63" s="8">
        <v>893.8</v>
      </c>
      <c r="H63" s="8">
        <v>799.7</v>
      </c>
      <c r="I63" s="8">
        <v>427.1</v>
      </c>
      <c r="J63" s="8">
        <v>460.6</v>
      </c>
      <c r="K63" s="8">
        <v>347</v>
      </c>
    </row>
    <row r="64" spans="1:11" x14ac:dyDescent="0.15">
      <c r="A64" s="12" t="s">
        <v>121</v>
      </c>
      <c r="B64" s="13">
        <v>5963.6</v>
      </c>
      <c r="C64" s="13">
        <v>6101.8</v>
      </c>
      <c r="D64" s="13">
        <v>6279.7</v>
      </c>
      <c r="E64" s="13">
        <v>6463</v>
      </c>
      <c r="F64" s="13">
        <v>6598.5</v>
      </c>
      <c r="G64" s="13">
        <v>6744.4</v>
      </c>
      <c r="H64" s="13">
        <v>6775.7</v>
      </c>
      <c r="I64" s="13">
        <v>0</v>
      </c>
      <c r="J64" s="13">
        <v>0</v>
      </c>
      <c r="K64" s="13">
        <v>0</v>
      </c>
    </row>
    <row r="65" spans="1:11" x14ac:dyDescent="0.15">
      <c r="A65" s="7" t="s">
        <v>122</v>
      </c>
      <c r="B65" s="8">
        <v>38780.9</v>
      </c>
      <c r="C65" s="8">
        <v>37433.300000000003</v>
      </c>
      <c r="D65" s="8">
        <v>36677.1</v>
      </c>
      <c r="E65" s="8">
        <v>36707.1</v>
      </c>
      <c r="F65" s="8">
        <v>37173.9</v>
      </c>
      <c r="G65" s="8">
        <v>25450.6</v>
      </c>
      <c r="H65" s="8">
        <v>22980.6</v>
      </c>
      <c r="I65" s="8">
        <v>8908.6</v>
      </c>
      <c r="J65" s="8">
        <v>8421.7999999999993</v>
      </c>
      <c r="K65" s="8">
        <v>6596.5</v>
      </c>
    </row>
    <row r="66" spans="1:11" x14ac:dyDescent="0.15">
      <c r="A66" s="5" t="s">
        <v>123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15">
      <c r="A67" s="9" t="s">
        <v>124</v>
      </c>
      <c r="B67" s="3">
        <v>-7448.9</v>
      </c>
      <c r="C67" s="3">
        <v>-7994.8</v>
      </c>
      <c r="D67" s="3">
        <v>-8706.6</v>
      </c>
      <c r="E67" s="3">
        <v>-5321.2</v>
      </c>
      <c r="F67" s="3">
        <v>-7805.1</v>
      </c>
      <c r="G67" s="3">
        <v>-6232.2</v>
      </c>
      <c r="H67" s="3">
        <v>1169.5</v>
      </c>
      <c r="I67" s="3">
        <v>5450.1</v>
      </c>
      <c r="J67" s="3">
        <v>5884</v>
      </c>
      <c r="K67" s="3">
        <v>5818</v>
      </c>
    </row>
    <row r="68" spans="1:11" x14ac:dyDescent="0.15">
      <c r="A68" s="12" t="s">
        <v>125</v>
      </c>
      <c r="B68" s="13">
        <v>1.1000000000000001</v>
      </c>
      <c r="C68" s="13">
        <v>1.1000000000000001</v>
      </c>
      <c r="D68" s="13">
        <v>1.1000000000000001</v>
      </c>
      <c r="E68" s="13">
        <v>1.2</v>
      </c>
      <c r="F68" s="13">
        <v>1.2</v>
      </c>
      <c r="G68" s="13">
        <v>1.2</v>
      </c>
      <c r="H68" s="13">
        <v>1.3</v>
      </c>
      <c r="I68" s="13">
        <v>1.4</v>
      </c>
      <c r="J68" s="13">
        <v>1.5</v>
      </c>
      <c r="K68" s="13">
        <v>1.5</v>
      </c>
    </row>
    <row r="69" spans="1:11" x14ac:dyDescent="0.15">
      <c r="A69" s="11" t="s">
        <v>126</v>
      </c>
      <c r="B69" s="8">
        <v>322.60000000000002</v>
      </c>
      <c r="C69" s="8">
        <v>38.1</v>
      </c>
      <c r="D69" s="8">
        <v>205.3</v>
      </c>
      <c r="E69" s="8">
        <v>846.1</v>
      </c>
      <c r="F69" s="8">
        <v>373.9</v>
      </c>
      <c r="G69" s="8">
        <v>41.1</v>
      </c>
      <c r="H69" s="8">
        <v>41.1</v>
      </c>
      <c r="I69" s="8">
        <v>41.1</v>
      </c>
      <c r="J69" s="8">
        <v>41.1</v>
      </c>
      <c r="K69" s="8">
        <v>41.1</v>
      </c>
    </row>
    <row r="70" spans="1:11" x14ac:dyDescent="0.15">
      <c r="A70" s="12" t="s">
        <v>127</v>
      </c>
      <c r="B70" s="16">
        <v>-7343.8</v>
      </c>
      <c r="C70" s="16">
        <v>-7255.8</v>
      </c>
      <c r="D70" s="16">
        <v>-8449.7999999999993</v>
      </c>
      <c r="E70" s="16">
        <v>-6315.7</v>
      </c>
      <c r="F70" s="16">
        <v>-7815.6</v>
      </c>
      <c r="G70" s="16">
        <v>-5771.2</v>
      </c>
      <c r="H70" s="13">
        <v>1457.4</v>
      </c>
      <c r="I70" s="13">
        <v>5563.2</v>
      </c>
      <c r="J70" s="13">
        <v>5949.8</v>
      </c>
      <c r="K70" s="13">
        <v>5974.8</v>
      </c>
    </row>
    <row r="71" spans="1:11" x14ac:dyDescent="0.15">
      <c r="A71" s="11" t="s">
        <v>128</v>
      </c>
      <c r="B71" s="19">
        <v>-744.7</v>
      </c>
      <c r="C71" s="19">
        <v>-961.7</v>
      </c>
      <c r="D71" s="19">
        <v>-855.8</v>
      </c>
      <c r="E71" s="19">
        <v>-61.2</v>
      </c>
      <c r="F71" s="19">
        <v>-299.7</v>
      </c>
      <c r="G71" s="19">
        <v>-508.1</v>
      </c>
      <c r="H71" s="19">
        <v>-362.7</v>
      </c>
      <c r="I71" s="19">
        <v>-163</v>
      </c>
      <c r="J71" s="19">
        <v>-121.7</v>
      </c>
      <c r="K71" s="19">
        <v>-226.2</v>
      </c>
    </row>
    <row r="72" spans="1:11" x14ac:dyDescent="0.15">
      <c r="A72" s="12" t="s">
        <v>129</v>
      </c>
      <c r="B72" s="16">
        <v>-2.2999999999999998</v>
      </c>
      <c r="C72" s="16">
        <v>-12.3</v>
      </c>
      <c r="D72" s="16">
        <v>-15.5</v>
      </c>
      <c r="E72" s="13">
        <v>1.5</v>
      </c>
      <c r="F72" s="13">
        <v>5.7</v>
      </c>
      <c r="G72" s="13">
        <v>3.9</v>
      </c>
      <c r="H72" s="16">
        <v>-4.9000000000000004</v>
      </c>
      <c r="I72" s="16">
        <v>-2.5</v>
      </c>
      <c r="J72" s="13">
        <v>1.1000000000000001</v>
      </c>
      <c r="K72" s="16">
        <v>-0.1</v>
      </c>
    </row>
    <row r="73" spans="1:11" x14ac:dyDescent="0.15">
      <c r="A73" s="11" t="s">
        <v>130</v>
      </c>
      <c r="B73" s="8">
        <v>318.2</v>
      </c>
      <c r="C73" s="8">
        <v>195.8</v>
      </c>
      <c r="D73" s="8">
        <v>408.1</v>
      </c>
      <c r="E73" s="8">
        <v>206.9</v>
      </c>
      <c r="F73" s="19">
        <v>-70.599999999999994</v>
      </c>
      <c r="G73" s="8">
        <v>0.9</v>
      </c>
      <c r="H73" s="8">
        <v>37.299999999999997</v>
      </c>
      <c r="I73" s="8">
        <v>9.9</v>
      </c>
      <c r="J73" s="8">
        <v>12.2</v>
      </c>
      <c r="K73" s="8">
        <v>26.9</v>
      </c>
    </row>
    <row r="74" spans="1:11" x14ac:dyDescent="0.15">
      <c r="A74" s="15" t="s">
        <v>131</v>
      </c>
      <c r="B74" s="16">
        <v>-7448.9</v>
      </c>
      <c r="C74" s="16">
        <v>-7994.8</v>
      </c>
      <c r="D74" s="16">
        <v>-8706.6</v>
      </c>
      <c r="E74" s="16">
        <v>-5321.2</v>
      </c>
      <c r="F74" s="16">
        <v>-7805.1</v>
      </c>
      <c r="G74" s="16">
        <v>-6232.2</v>
      </c>
      <c r="H74" s="13">
        <v>1169.5</v>
      </c>
      <c r="I74" s="13">
        <v>5450.1</v>
      </c>
      <c r="J74" s="13">
        <v>5884</v>
      </c>
      <c r="K74" s="13">
        <v>5818</v>
      </c>
    </row>
    <row r="75" spans="1:11" x14ac:dyDescent="0.15">
      <c r="A75" s="7" t="s">
        <v>132</v>
      </c>
      <c r="B75" s="8">
        <v>7.3</v>
      </c>
      <c r="C75" s="8">
        <v>7</v>
      </c>
      <c r="D75" s="8">
        <v>7.9</v>
      </c>
      <c r="E75" s="8">
        <v>6.7</v>
      </c>
      <c r="F75" s="8">
        <v>5.7</v>
      </c>
      <c r="G75" s="8">
        <v>1.2</v>
      </c>
      <c r="H75" s="8">
        <v>6.3</v>
      </c>
      <c r="I75" s="8">
        <v>6.9</v>
      </c>
      <c r="J75" s="8">
        <v>6.7</v>
      </c>
      <c r="K75" s="8">
        <v>1.8</v>
      </c>
    </row>
    <row r="76" spans="1:11" x14ac:dyDescent="0.15">
      <c r="A76" s="15" t="s">
        <v>133</v>
      </c>
      <c r="B76" s="16">
        <v>-7441.6</v>
      </c>
      <c r="C76" s="16">
        <v>-7987.8</v>
      </c>
      <c r="D76" s="16">
        <v>-8698.7000000000007</v>
      </c>
      <c r="E76" s="16">
        <v>-5314.5</v>
      </c>
      <c r="F76" s="16">
        <v>-7799.4</v>
      </c>
      <c r="G76" s="16">
        <v>-6231</v>
      </c>
      <c r="H76" s="13">
        <v>1175.8</v>
      </c>
      <c r="I76" s="13">
        <v>5457</v>
      </c>
      <c r="J76" s="13">
        <v>5890.7</v>
      </c>
      <c r="K76" s="13">
        <v>5819.8</v>
      </c>
    </row>
    <row r="77" spans="1:11" x14ac:dyDescent="0.15">
      <c r="A77" s="20" t="s">
        <v>134</v>
      </c>
      <c r="B77" s="8">
        <v>31339.3</v>
      </c>
      <c r="C77" s="8">
        <v>29445.5</v>
      </c>
      <c r="D77" s="8">
        <v>27978.400000000001</v>
      </c>
      <c r="E77" s="8">
        <v>31392.6</v>
      </c>
      <c r="F77" s="8">
        <v>29374.5</v>
      </c>
      <c r="G77" s="8">
        <v>19219.599999999999</v>
      </c>
      <c r="H77" s="8">
        <v>24156.400000000001</v>
      </c>
      <c r="I77" s="8">
        <v>14365.6</v>
      </c>
      <c r="J77" s="8">
        <v>14312.5</v>
      </c>
      <c r="K77" s="8">
        <v>12416.3</v>
      </c>
    </row>
    <row r="78" spans="1:11" x14ac:dyDescent="0.15">
      <c r="A78" s="14" t="s">
        <v>53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15">
      <c r="A79" s="20" t="s">
        <v>135</v>
      </c>
      <c r="B79" s="30">
        <v>-6.5715899999999996</v>
      </c>
      <c r="C79" s="30">
        <v>-6.99702</v>
      </c>
      <c r="D79" s="30">
        <v>-7.5848100000000001</v>
      </c>
      <c r="E79" s="30">
        <v>-4.5094900000000004</v>
      </c>
      <c r="F79" s="30">
        <v>-6.6522600000000001</v>
      </c>
      <c r="G79" s="30">
        <v>-5.2610200000000003</v>
      </c>
      <c r="H79" s="21">
        <v>0.89336000000000004</v>
      </c>
      <c r="I79" s="21">
        <v>3.8069999999999999</v>
      </c>
      <c r="J79" s="21">
        <v>4.0287600000000001</v>
      </c>
      <c r="K79" s="21">
        <v>3.9175800000000001</v>
      </c>
    </row>
    <row r="80" spans="1:11" x14ac:dyDescent="0.15">
      <c r="A80" s="25" t="s">
        <v>136</v>
      </c>
      <c r="B80" s="31">
        <v>-9.5857960000000002</v>
      </c>
      <c r="C80" s="31">
        <v>-9.9191319999999994</v>
      </c>
      <c r="D80" s="31">
        <v>-10.581061</v>
      </c>
      <c r="E80" s="31">
        <v>-7.9223730000000003</v>
      </c>
      <c r="F80" s="31">
        <v>-10.188699</v>
      </c>
      <c r="G80" s="31">
        <v>-8.8678030000000003</v>
      </c>
      <c r="H80" s="31">
        <v>-2.6081279999999998</v>
      </c>
      <c r="I80" s="23">
        <v>2.4235120000000001</v>
      </c>
      <c r="J80" s="23">
        <v>2.497843</v>
      </c>
      <c r="K80" s="23">
        <v>2.5063629999999999</v>
      </c>
    </row>
    <row r="81" spans="1:11" x14ac:dyDescent="0.15">
      <c r="A81" s="17" t="s">
        <v>137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x14ac:dyDescent="0.15">
      <c r="A82" s="18" t="s">
        <v>138</v>
      </c>
      <c r="B82" s="16">
        <v>-2222.6</v>
      </c>
      <c r="C82" s="16">
        <v>-2041.9</v>
      </c>
      <c r="D82" s="16">
        <v>-2133.1</v>
      </c>
      <c r="E82" s="13">
        <v>1605</v>
      </c>
      <c r="F82" s="13">
        <v>459.6</v>
      </c>
      <c r="G82" s="16">
        <v>-514.79999999999995</v>
      </c>
      <c r="H82" s="13">
        <v>6810</v>
      </c>
      <c r="I82" s="13">
        <v>1062.7</v>
      </c>
      <c r="J82" s="13">
        <v>211.1</v>
      </c>
      <c r="K82" s="13">
        <v>322.89999999999998</v>
      </c>
    </row>
    <row r="83" spans="1:11" x14ac:dyDescent="0.15">
      <c r="A83" s="17" t="s">
        <v>139</v>
      </c>
      <c r="B83" s="8">
        <v>18354.2</v>
      </c>
      <c r="C83" s="8">
        <v>16605</v>
      </c>
      <c r="D83" s="8">
        <v>15098.2</v>
      </c>
      <c r="E83" s="8">
        <v>18283.900000000001</v>
      </c>
      <c r="F83" s="8">
        <v>17521.599999999999</v>
      </c>
      <c r="G83" s="8">
        <v>5002.7</v>
      </c>
      <c r="H83" s="8">
        <v>10667.6</v>
      </c>
      <c r="I83" s="8">
        <v>9441.7999999999993</v>
      </c>
      <c r="J83" s="8">
        <v>9469.2000000000007</v>
      </c>
      <c r="K83" s="8">
        <v>8165.5</v>
      </c>
    </row>
    <row r="84" spans="1:11" x14ac:dyDescent="0.15">
      <c r="A84" s="18" t="s">
        <v>140</v>
      </c>
      <c r="B84" s="13">
        <v>25803.1</v>
      </c>
      <c r="C84" s="13">
        <v>24599.8</v>
      </c>
      <c r="D84" s="13">
        <v>23804.799999999999</v>
      </c>
      <c r="E84" s="13">
        <v>23605.1</v>
      </c>
      <c r="F84" s="13">
        <v>25326.7</v>
      </c>
      <c r="G84" s="13">
        <v>11234.9</v>
      </c>
      <c r="H84" s="13">
        <v>9498.1</v>
      </c>
      <c r="I84" s="13">
        <v>3991.7</v>
      </c>
      <c r="J84" s="13">
        <v>3585.2</v>
      </c>
      <c r="K84" s="13">
        <v>2347.5</v>
      </c>
    </row>
    <row r="85" spans="1:11" x14ac:dyDescent="0.15">
      <c r="A85" s="17" t="s">
        <v>141</v>
      </c>
      <c r="B85" s="8">
        <v>22259.9</v>
      </c>
      <c r="C85" s="8">
        <v>20646.8</v>
      </c>
      <c r="D85" s="8">
        <v>20621.900000000001</v>
      </c>
      <c r="E85" s="8">
        <v>16987.2</v>
      </c>
      <c r="F85" s="8">
        <v>20694.599999999999</v>
      </c>
      <c r="G85" s="8">
        <v>8477.7999999999993</v>
      </c>
      <c r="H85" s="8">
        <v>560.29999999999995</v>
      </c>
      <c r="I85" s="8">
        <v>1300.8</v>
      </c>
      <c r="J85" s="8">
        <v>1322</v>
      </c>
      <c r="K85" s="8">
        <v>736.1</v>
      </c>
    </row>
    <row r="86" spans="1:11" x14ac:dyDescent="0.15">
      <c r="A86" s="14" t="s">
        <v>142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15">
      <c r="A87" s="20" t="s">
        <v>143</v>
      </c>
      <c r="B87" s="21">
        <v>22.956067999999998</v>
      </c>
      <c r="C87" s="21">
        <v>25.834865000000001</v>
      </c>
      <c r="D87" s="21">
        <v>26.619130999999999</v>
      </c>
      <c r="E87" s="21">
        <v>25.636628000000002</v>
      </c>
      <c r="F87" s="21">
        <v>27.674626</v>
      </c>
      <c r="G87" s="21">
        <v>25.740591999999999</v>
      </c>
      <c r="H87" s="21">
        <v>26.408089</v>
      </c>
      <c r="I87" s="21">
        <v>29.373639000000001</v>
      </c>
      <c r="J87" s="21">
        <v>30.546365999999999</v>
      </c>
      <c r="K87" s="21">
        <v>29.996658</v>
      </c>
    </row>
    <row r="88" spans="1:11" x14ac:dyDescent="0.15">
      <c r="A88" s="25" t="s">
        <v>144</v>
      </c>
      <c r="B88" s="23">
        <v>12.18501</v>
      </c>
      <c r="C88" s="23">
        <v>12.549920999999999</v>
      </c>
      <c r="D88" s="23">
        <v>13.622818000000001</v>
      </c>
      <c r="E88" s="23">
        <v>15.879913999999999</v>
      </c>
      <c r="F88" s="23">
        <v>18.750250000000001</v>
      </c>
      <c r="G88" s="23">
        <v>18.378361999999999</v>
      </c>
      <c r="H88" s="23">
        <v>18.596323000000002</v>
      </c>
      <c r="I88" s="23">
        <v>13.364755000000001</v>
      </c>
      <c r="J88" s="23">
        <v>12.741002</v>
      </c>
      <c r="K88" s="23">
        <v>12.866409000000001</v>
      </c>
    </row>
    <row r="89" spans="1:11" x14ac:dyDescent="0.15">
      <c r="A89" s="20" t="s">
        <v>145</v>
      </c>
      <c r="B89" s="21">
        <v>20.133154999999999</v>
      </c>
      <c r="C89" s="21">
        <v>19.624289000000001</v>
      </c>
      <c r="D89" s="21">
        <v>18.276409000000001</v>
      </c>
      <c r="E89" s="21">
        <v>17.910155</v>
      </c>
      <c r="F89" s="21">
        <v>19.629777000000001</v>
      </c>
      <c r="G89" s="21">
        <v>20.684456999999998</v>
      </c>
      <c r="H89" s="21">
        <v>18.704519999999999</v>
      </c>
      <c r="I89" s="21">
        <v>16.219915</v>
      </c>
      <c r="J89" s="21">
        <v>16.024304000000001</v>
      </c>
      <c r="K89" s="21">
        <v>15.017301</v>
      </c>
    </row>
    <row r="90" spans="1:11" x14ac:dyDescent="0.15">
      <c r="A90" s="14" t="s">
        <v>146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15">
      <c r="A91" s="20" t="s">
        <v>147</v>
      </c>
      <c r="B91" s="32">
        <v>318.2</v>
      </c>
      <c r="C91" s="32">
        <v>195.8</v>
      </c>
      <c r="D91" s="32">
        <v>408.1</v>
      </c>
      <c r="E91" s="32">
        <v>206.9</v>
      </c>
      <c r="F91" s="33">
        <v>-70.599999999999994</v>
      </c>
      <c r="G91" s="32">
        <v>0.9</v>
      </c>
      <c r="H91" s="32">
        <v>37.299999999999997</v>
      </c>
      <c r="I91" s="32">
        <v>9.9</v>
      </c>
      <c r="J91" s="32">
        <v>12.2</v>
      </c>
      <c r="K91" s="32">
        <v>26.9</v>
      </c>
    </row>
    <row r="92" spans="1:11" x14ac:dyDescent="0.15">
      <c r="A92" s="14" t="s">
        <v>148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15">
      <c r="A93" s="20" t="s">
        <v>149</v>
      </c>
      <c r="B93" s="32">
        <v>251.3</v>
      </c>
      <c r="C93" s="32">
        <v>251.8</v>
      </c>
      <c r="D93" s="32">
        <v>225.7</v>
      </c>
      <c r="E93" s="32">
        <v>267.5</v>
      </c>
      <c r="F93" s="32">
        <v>200.7</v>
      </c>
      <c r="G93" s="32">
        <v>248.7</v>
      </c>
      <c r="H93" s="32">
        <v>187.9</v>
      </c>
      <c r="I93" s="32">
        <v>118.4</v>
      </c>
      <c r="J93" s="32">
        <v>145.1</v>
      </c>
      <c r="K93" s="32">
        <v>137.5</v>
      </c>
    </row>
    <row r="94" spans="1:11" x14ac:dyDescent="0.15">
      <c r="A94" s="18" t="s">
        <v>150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x14ac:dyDescent="0.15">
      <c r="A95" s="2" t="s">
        <v>151</v>
      </c>
      <c r="B95" s="3">
        <v>11942.3</v>
      </c>
      <c r="C95" s="3">
        <v>10594.1</v>
      </c>
      <c r="D95" s="3">
        <v>9863.7000000000007</v>
      </c>
      <c r="E95" s="3">
        <v>10129.9</v>
      </c>
      <c r="F95" s="3">
        <v>10089.6</v>
      </c>
      <c r="G95" s="3">
        <v>10230.9</v>
      </c>
      <c r="H95" s="3">
        <v>9353.7999999999993</v>
      </c>
      <c r="I95" s="3">
        <v>8613.5</v>
      </c>
      <c r="J95" s="2"/>
      <c r="K95" s="2"/>
    </row>
    <row r="96" spans="1:11" x14ac:dyDescent="0.15">
      <c r="A96" s="25" t="s">
        <v>152</v>
      </c>
      <c r="B96" s="13">
        <v>1808.5</v>
      </c>
      <c r="C96" s="13">
        <v>1577.6</v>
      </c>
      <c r="D96" s="13">
        <v>1473.5</v>
      </c>
      <c r="E96" s="13">
        <v>1504.6</v>
      </c>
      <c r="F96" s="13">
        <v>1528.1</v>
      </c>
      <c r="G96" s="13">
        <v>1432.9</v>
      </c>
      <c r="H96" s="13">
        <v>1340.6</v>
      </c>
      <c r="I96" s="13">
        <v>1213.0999999999999</v>
      </c>
      <c r="J96" s="18"/>
      <c r="K96" s="18"/>
    </row>
    <row r="97" spans="1:11" x14ac:dyDescent="0.15">
      <c r="A97" s="20" t="s">
        <v>153</v>
      </c>
      <c r="B97" s="8">
        <v>1692.1</v>
      </c>
      <c r="C97" s="8">
        <v>1532</v>
      </c>
      <c r="D97" s="8">
        <v>1435.3</v>
      </c>
      <c r="E97" s="8">
        <v>1441.3</v>
      </c>
      <c r="F97" s="8">
        <v>1402.6</v>
      </c>
      <c r="G97" s="8">
        <v>1342.2</v>
      </c>
      <c r="H97" s="8">
        <v>1273.2</v>
      </c>
      <c r="I97" s="8">
        <v>1141.5999999999999</v>
      </c>
      <c r="J97" s="17"/>
      <c r="K97" s="17"/>
    </row>
    <row r="98" spans="1:11" x14ac:dyDescent="0.15">
      <c r="A98" s="25" t="s">
        <v>154</v>
      </c>
      <c r="B98" s="13">
        <v>1510.1</v>
      </c>
      <c r="C98" s="13">
        <v>1399.1</v>
      </c>
      <c r="D98" s="13">
        <v>1293.9000000000001</v>
      </c>
      <c r="E98" s="13">
        <v>1310.2</v>
      </c>
      <c r="F98" s="13">
        <v>1266.0999999999999</v>
      </c>
      <c r="G98" s="13">
        <v>1247.4000000000001</v>
      </c>
      <c r="H98" s="13">
        <v>1190.2</v>
      </c>
      <c r="I98" s="13">
        <v>1068.5999999999999</v>
      </c>
      <c r="J98" s="18"/>
      <c r="K98" s="18"/>
    </row>
    <row r="99" spans="1:11" x14ac:dyDescent="0.15">
      <c r="A99" s="20" t="s">
        <v>155</v>
      </c>
      <c r="B99" s="8">
        <v>1308.0999999999999</v>
      </c>
      <c r="C99" s="8">
        <v>1206.7</v>
      </c>
      <c r="D99" s="8">
        <v>1158.3</v>
      </c>
      <c r="E99" s="8">
        <v>1156.5999999999999</v>
      </c>
      <c r="F99" s="8">
        <v>1132.0999999999999</v>
      </c>
      <c r="G99" s="8">
        <v>1124.3</v>
      </c>
      <c r="H99" s="8">
        <v>1087.3</v>
      </c>
      <c r="I99" s="8">
        <v>986.9</v>
      </c>
      <c r="J99" s="17"/>
      <c r="K99" s="17"/>
    </row>
    <row r="100" spans="1:11" x14ac:dyDescent="0.15">
      <c r="A100" s="25" t="s">
        <v>156</v>
      </c>
      <c r="B100" s="13">
        <v>1125</v>
      </c>
      <c r="C100" s="13">
        <v>1000.2</v>
      </c>
      <c r="D100" s="13">
        <v>963.1</v>
      </c>
      <c r="E100" s="13">
        <v>1012.5</v>
      </c>
      <c r="F100" s="13">
        <v>980.5</v>
      </c>
      <c r="G100" s="13">
        <v>996.4</v>
      </c>
      <c r="H100" s="13">
        <v>958.1</v>
      </c>
      <c r="I100" s="13">
        <v>888.1</v>
      </c>
      <c r="J100" s="18"/>
      <c r="K100" s="18"/>
    </row>
    <row r="101" spans="1:11" x14ac:dyDescent="0.15">
      <c r="A101" s="20" t="s">
        <v>157</v>
      </c>
      <c r="B101" s="8">
        <v>4498.5</v>
      </c>
      <c r="C101" s="8">
        <v>3878.5</v>
      </c>
      <c r="D101" s="8">
        <v>3539.6</v>
      </c>
      <c r="E101" s="8">
        <v>3704.7</v>
      </c>
      <c r="F101" s="8">
        <v>3780.2</v>
      </c>
      <c r="G101" s="8">
        <v>4087.7</v>
      </c>
      <c r="H101" s="8">
        <v>3504.4</v>
      </c>
      <c r="I101" s="8">
        <v>3315.2</v>
      </c>
      <c r="J101" s="17"/>
      <c r="K101" s="17"/>
    </row>
    <row r="102" spans="1:11" x14ac:dyDescent="0.15">
      <c r="A102" s="18" t="s">
        <v>158</v>
      </c>
      <c r="B102" s="13">
        <v>1248.9000000000001</v>
      </c>
      <c r="C102" s="13">
        <v>1818.6</v>
      </c>
      <c r="D102" s="13">
        <v>1749</v>
      </c>
      <c r="E102" s="13">
        <v>998.9</v>
      </c>
      <c r="F102" s="13">
        <v>1255.0999999999999</v>
      </c>
      <c r="G102" s="13">
        <v>5.2</v>
      </c>
      <c r="H102" s="13">
        <v>354.3</v>
      </c>
      <c r="I102" s="13">
        <v>4.0999999999999996</v>
      </c>
      <c r="J102" s="13">
        <v>399.9</v>
      </c>
      <c r="K102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3922-D33C-CA41-89B9-7E3BC973D8F8}">
  <dimension ref="A1:L60"/>
  <sheetViews>
    <sheetView topLeftCell="A23" workbookViewId="0">
      <selection activeCell="A26" sqref="A26:XFD26"/>
    </sheetView>
  </sheetViews>
  <sheetFormatPr baseColWidth="10" defaultRowHeight="13" x14ac:dyDescent="0.15"/>
  <cols>
    <col min="1" max="1" width="40.83203125" customWidth="1"/>
  </cols>
  <sheetData>
    <row r="1" spans="1:12" x14ac:dyDescent="0.15">
      <c r="A1" s="27" t="s">
        <v>66</v>
      </c>
    </row>
    <row r="2" spans="1:12" x14ac:dyDescent="0.15">
      <c r="A2" s="29" t="s">
        <v>67</v>
      </c>
    </row>
    <row r="3" spans="1:12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5" spans="1:12" x14ac:dyDescent="0.1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</row>
    <row r="9" spans="1:12" x14ac:dyDescent="0.15">
      <c r="A9" s="1"/>
      <c r="B9" s="1" t="s">
        <v>14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15</v>
      </c>
      <c r="L10" s="1" t="s">
        <v>15</v>
      </c>
    </row>
    <row r="11" spans="1:12" x14ac:dyDescent="0.15">
      <c r="A11" s="2" t="s">
        <v>159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5" t="s">
        <v>160</v>
      </c>
      <c r="B12" s="13">
        <v>3130.5</v>
      </c>
      <c r="C12" s="13">
        <v>3762.3</v>
      </c>
      <c r="D12" s="13">
        <v>4124.7</v>
      </c>
      <c r="E12" s="13">
        <v>3283.4</v>
      </c>
      <c r="F12" s="13">
        <v>4200.3</v>
      </c>
      <c r="G12" s="13">
        <v>924.7</v>
      </c>
      <c r="H12" s="13">
        <v>3594.6</v>
      </c>
      <c r="I12" s="13">
        <v>4518</v>
      </c>
      <c r="J12" s="13">
        <v>2884.9</v>
      </c>
      <c r="K12" s="13">
        <v>2818.9</v>
      </c>
      <c r="L12" s="13">
        <v>2759.3</v>
      </c>
    </row>
    <row r="13" spans="1:12" x14ac:dyDescent="0.15">
      <c r="A13" s="4" t="s">
        <v>161</v>
      </c>
      <c r="B13" s="3">
        <v>1676.3</v>
      </c>
      <c r="C13" s="3">
        <v>1592.4</v>
      </c>
      <c r="D13" s="3">
        <v>1450.3</v>
      </c>
      <c r="E13" s="3">
        <v>3027.1</v>
      </c>
      <c r="F13" s="3">
        <v>2772.7</v>
      </c>
      <c r="G13" s="3">
        <v>2700.8</v>
      </c>
      <c r="H13" s="3">
        <v>1449.3</v>
      </c>
      <c r="I13" s="3">
        <v>1305.9000000000001</v>
      </c>
      <c r="J13" s="3">
        <v>1067.0999999999999</v>
      </c>
      <c r="K13" s="3">
        <v>1030.0999999999999</v>
      </c>
      <c r="L13" s="3">
        <v>933.8</v>
      </c>
    </row>
    <row r="14" spans="1:12" x14ac:dyDescent="0.15">
      <c r="A14" s="15" t="s">
        <v>162</v>
      </c>
      <c r="B14" s="13">
        <v>1654.7</v>
      </c>
      <c r="C14" s="13">
        <v>1572</v>
      </c>
      <c r="D14" s="13">
        <v>1428.8</v>
      </c>
      <c r="E14" s="13">
        <v>2834.4</v>
      </c>
      <c r="F14" s="13">
        <v>2549.3000000000002</v>
      </c>
      <c r="G14" s="13">
        <v>2477.1</v>
      </c>
      <c r="H14" s="13">
        <v>1216.5</v>
      </c>
      <c r="I14" s="13">
        <v>1119.4000000000001</v>
      </c>
      <c r="J14" s="13">
        <v>1009.6</v>
      </c>
      <c r="K14" s="13">
        <v>972.8</v>
      </c>
      <c r="L14" s="13">
        <v>883.8</v>
      </c>
    </row>
    <row r="15" spans="1:12" x14ac:dyDescent="0.15">
      <c r="A15" s="7" t="s">
        <v>163</v>
      </c>
      <c r="B15" s="8">
        <v>21.6</v>
      </c>
      <c r="C15" s="8">
        <v>20.399999999999999</v>
      </c>
      <c r="D15" s="8">
        <v>21.5</v>
      </c>
      <c r="E15" s="8">
        <v>192.7</v>
      </c>
      <c r="F15" s="8">
        <v>223.4</v>
      </c>
      <c r="G15" s="8">
        <v>223.7</v>
      </c>
      <c r="H15" s="8">
        <v>232.8</v>
      </c>
      <c r="I15" s="8">
        <v>186.5</v>
      </c>
      <c r="J15" s="8">
        <v>57.5</v>
      </c>
      <c r="K15" s="8">
        <v>57.3</v>
      </c>
      <c r="L15" s="8">
        <v>50</v>
      </c>
    </row>
    <row r="16" spans="1:12" x14ac:dyDescent="0.15">
      <c r="A16" s="5" t="s">
        <v>164</v>
      </c>
      <c r="B16" s="6">
        <v>-30.2</v>
      </c>
      <c r="C16" s="6">
        <v>-13.8</v>
      </c>
      <c r="D16" s="6">
        <v>-59.4</v>
      </c>
      <c r="E16" s="6">
        <v>-37.799999999999997</v>
      </c>
      <c r="F16" s="6">
        <v>-146.19999999999999</v>
      </c>
      <c r="G16" s="6">
        <v>-25.8</v>
      </c>
      <c r="H16" s="6">
        <v>-1495.4</v>
      </c>
      <c r="I16" s="6">
        <v>714.9</v>
      </c>
      <c r="J16" s="6">
        <v>95.1</v>
      </c>
      <c r="K16" s="6">
        <v>265.7</v>
      </c>
      <c r="L16" s="6">
        <v>21.2</v>
      </c>
    </row>
    <row r="17" spans="1:12" x14ac:dyDescent="0.15">
      <c r="A17" s="7" t="s">
        <v>165</v>
      </c>
      <c r="B17" s="19">
        <v>-30.2</v>
      </c>
      <c r="C17" s="19">
        <v>-13.8</v>
      </c>
      <c r="D17" s="19">
        <v>-59.4</v>
      </c>
      <c r="E17" s="19">
        <v>-37.799999999999997</v>
      </c>
      <c r="F17" s="19">
        <v>-146.19999999999999</v>
      </c>
      <c r="G17" s="19">
        <v>-25.8</v>
      </c>
      <c r="H17" s="19">
        <v>-1495.4</v>
      </c>
      <c r="I17" s="8">
        <v>714.9</v>
      </c>
      <c r="J17" s="8">
        <v>95.1</v>
      </c>
      <c r="K17" s="8">
        <v>265.7</v>
      </c>
      <c r="L17" s="8">
        <v>21.2</v>
      </c>
    </row>
    <row r="18" spans="1:12" x14ac:dyDescent="0.15">
      <c r="A18" s="25" t="s">
        <v>166</v>
      </c>
      <c r="B18" s="13">
        <v>1953.7</v>
      </c>
      <c r="C18" s="13">
        <v>1803.5</v>
      </c>
      <c r="D18" s="13">
        <v>1626.5</v>
      </c>
      <c r="E18" s="13">
        <v>257.60000000000002</v>
      </c>
      <c r="F18" s="16">
        <v>-336.5</v>
      </c>
      <c r="G18" s="13">
        <v>674.5</v>
      </c>
      <c r="H18" s="16">
        <v>-150.19999999999999</v>
      </c>
      <c r="I18" s="16">
        <v>-1514.7</v>
      </c>
      <c r="J18" s="13">
        <v>37.5</v>
      </c>
      <c r="K18" s="13">
        <v>107.4</v>
      </c>
      <c r="L18" s="16">
        <v>-244</v>
      </c>
    </row>
    <row r="19" spans="1:12" x14ac:dyDescent="0.15">
      <c r="A19" s="20" t="s">
        <v>167</v>
      </c>
      <c r="B19" s="8">
        <v>6730.3</v>
      </c>
      <c r="C19" s="8">
        <v>7144.4</v>
      </c>
      <c r="D19" s="8">
        <v>7142.1</v>
      </c>
      <c r="E19" s="8">
        <v>6530.3</v>
      </c>
      <c r="F19" s="8">
        <v>6490.3</v>
      </c>
      <c r="G19" s="8">
        <v>4274.2</v>
      </c>
      <c r="H19" s="8">
        <v>3398.3</v>
      </c>
      <c r="I19" s="8">
        <v>5024.1000000000004</v>
      </c>
      <c r="J19" s="8">
        <v>4084.6</v>
      </c>
      <c r="K19" s="8">
        <v>4222.1000000000004</v>
      </c>
      <c r="L19" s="8">
        <v>3470.3</v>
      </c>
    </row>
    <row r="20" spans="1:12" x14ac:dyDescent="0.15">
      <c r="A20" s="5" t="s">
        <v>168</v>
      </c>
      <c r="B20" s="6">
        <v>-1160.5999999999999</v>
      </c>
      <c r="C20" s="6">
        <v>-1048.8</v>
      </c>
      <c r="D20" s="6">
        <v>-1133.4000000000001</v>
      </c>
      <c r="E20" s="6">
        <v>-2133</v>
      </c>
      <c r="F20" s="6">
        <v>-501.2</v>
      </c>
      <c r="G20" s="6">
        <v>-2676.4</v>
      </c>
      <c r="H20" s="6">
        <v>1648.7</v>
      </c>
      <c r="I20" s="6">
        <v>6913.7</v>
      </c>
      <c r="J20" s="6">
        <v>89.7</v>
      </c>
      <c r="K20" s="6">
        <v>353</v>
      </c>
      <c r="L20" s="6">
        <v>278.8</v>
      </c>
    </row>
    <row r="21" spans="1:12" x14ac:dyDescent="0.15">
      <c r="A21" s="7" t="s">
        <v>169</v>
      </c>
      <c r="B21" s="19">
        <v>-51</v>
      </c>
      <c r="C21" s="8">
        <v>18.399999999999999</v>
      </c>
      <c r="D21" s="19">
        <v>-4.0999999999999996</v>
      </c>
      <c r="E21" s="19">
        <v>-326.10000000000002</v>
      </c>
      <c r="F21" s="19">
        <v>-43</v>
      </c>
      <c r="G21" s="19">
        <v>-2.7</v>
      </c>
      <c r="H21" s="19">
        <v>-197.7</v>
      </c>
      <c r="I21" s="8">
        <v>131</v>
      </c>
      <c r="J21" s="19">
        <v>-96.8</v>
      </c>
      <c r="K21" s="19">
        <v>-55.6</v>
      </c>
      <c r="L21" s="19">
        <v>-82.8</v>
      </c>
    </row>
    <row r="22" spans="1:12" x14ac:dyDescent="0.15">
      <c r="A22" s="15" t="s">
        <v>78</v>
      </c>
      <c r="B22" s="16">
        <v>-302.7</v>
      </c>
      <c r="C22" s="13">
        <v>42.8</v>
      </c>
      <c r="D22" s="13">
        <v>366.4</v>
      </c>
      <c r="E22" s="16">
        <v>-641</v>
      </c>
      <c r="F22" s="16">
        <v>-49.8</v>
      </c>
      <c r="G22" s="16">
        <v>-10.9</v>
      </c>
      <c r="H22" s="16">
        <v>-173</v>
      </c>
      <c r="I22" s="16">
        <v>-41.2</v>
      </c>
      <c r="J22" s="13">
        <v>14</v>
      </c>
      <c r="K22" s="16">
        <v>-67.5</v>
      </c>
      <c r="L22" s="16">
        <v>-207.9</v>
      </c>
    </row>
    <row r="23" spans="1:12" x14ac:dyDescent="0.15">
      <c r="A23" s="7" t="s">
        <v>106</v>
      </c>
      <c r="B23" s="8">
        <v>419</v>
      </c>
      <c r="C23" s="8">
        <v>28</v>
      </c>
      <c r="D23" s="8">
        <v>100.1</v>
      </c>
      <c r="E23" s="8">
        <v>345.5</v>
      </c>
      <c r="F23" s="8">
        <v>189.9</v>
      </c>
      <c r="G23" s="19">
        <v>-210.8</v>
      </c>
      <c r="H23" s="8">
        <v>31.9</v>
      </c>
      <c r="I23" s="8">
        <v>391.6</v>
      </c>
      <c r="J23" s="8">
        <v>46.4</v>
      </c>
      <c r="K23" s="8">
        <v>46.9</v>
      </c>
      <c r="L23" s="8">
        <v>137.69999999999999</v>
      </c>
    </row>
    <row r="24" spans="1:12" x14ac:dyDescent="0.15">
      <c r="A24" s="15" t="s">
        <v>170</v>
      </c>
      <c r="B24" s="13">
        <v>29.4</v>
      </c>
      <c r="C24" s="16">
        <v>-61.9</v>
      </c>
      <c r="D24" s="13">
        <v>52.5</v>
      </c>
      <c r="E24" s="16">
        <v>-149.6</v>
      </c>
      <c r="F24" s="13">
        <v>286.10000000000002</v>
      </c>
      <c r="G24" s="16">
        <v>-1214.5999999999999</v>
      </c>
      <c r="H24" s="13">
        <v>1237.0999999999999</v>
      </c>
      <c r="I24" s="18"/>
      <c r="J24" s="18"/>
      <c r="K24" s="18"/>
      <c r="L24" s="18"/>
    </row>
    <row r="25" spans="1:12" x14ac:dyDescent="0.15">
      <c r="A25" s="7" t="s">
        <v>171</v>
      </c>
      <c r="B25" s="19">
        <v>-1255.3</v>
      </c>
      <c r="C25" s="19">
        <v>-1076.0999999999999</v>
      </c>
      <c r="D25" s="19">
        <v>-1648.3</v>
      </c>
      <c r="E25" s="19">
        <v>-1361.8</v>
      </c>
      <c r="F25" s="19">
        <v>-884.4</v>
      </c>
      <c r="G25" s="19">
        <v>-1237.4000000000001</v>
      </c>
      <c r="H25" s="8">
        <v>750.4</v>
      </c>
      <c r="I25" s="8">
        <v>6432.3</v>
      </c>
      <c r="J25" s="8">
        <v>126.1</v>
      </c>
      <c r="K25" s="8">
        <v>429.2</v>
      </c>
      <c r="L25" s="8">
        <v>431.8</v>
      </c>
    </row>
    <row r="26" spans="1:12" x14ac:dyDescent="0.15">
      <c r="A26" s="25" t="s">
        <v>172</v>
      </c>
      <c r="B26" s="13">
        <v>5569.7</v>
      </c>
      <c r="C26" s="13">
        <v>6095.6</v>
      </c>
      <c r="D26" s="13">
        <v>6008.7</v>
      </c>
      <c r="E26" s="13">
        <v>4397.3</v>
      </c>
      <c r="F26" s="13">
        <v>5989.1</v>
      </c>
      <c r="G26" s="13">
        <v>1597.8</v>
      </c>
      <c r="H26" s="13">
        <v>5047</v>
      </c>
      <c r="I26" s="13">
        <v>11937.8</v>
      </c>
      <c r="J26" s="13">
        <v>4174.3</v>
      </c>
      <c r="K26" s="13">
        <v>4575.1000000000004</v>
      </c>
      <c r="L26" s="13">
        <v>3749.1</v>
      </c>
    </row>
    <row r="27" spans="1:12" x14ac:dyDescent="0.15">
      <c r="A27" s="2" t="s">
        <v>173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15">
      <c r="A28" s="5" t="s">
        <v>174</v>
      </c>
      <c r="B28" s="34">
        <v>-2804.6</v>
      </c>
      <c r="C28" s="34">
        <v>-2777.5</v>
      </c>
      <c r="D28" s="34">
        <v>-2333.6</v>
      </c>
      <c r="E28" s="34">
        <v>-1841.3</v>
      </c>
      <c r="F28" s="34">
        <v>-1470</v>
      </c>
      <c r="G28" s="34">
        <v>-1483.6</v>
      </c>
      <c r="H28" s="34">
        <v>-1806.6</v>
      </c>
      <c r="I28" s="34">
        <v>-1976.4</v>
      </c>
      <c r="J28" s="34">
        <v>-1519.4</v>
      </c>
      <c r="K28" s="34">
        <v>-1440.3</v>
      </c>
      <c r="L28" s="34">
        <v>-1303.7</v>
      </c>
    </row>
    <row r="29" spans="1:12" x14ac:dyDescent="0.15">
      <c r="A29" s="7" t="s">
        <v>175</v>
      </c>
      <c r="B29" s="33">
        <v>-2804.6</v>
      </c>
      <c r="C29" s="33">
        <v>-2777.5</v>
      </c>
      <c r="D29" s="33">
        <v>-2333.6</v>
      </c>
      <c r="E29" s="33">
        <v>-1841.3</v>
      </c>
      <c r="F29" s="33">
        <v>-1470</v>
      </c>
      <c r="G29" s="33">
        <v>-1483.6</v>
      </c>
      <c r="H29" s="33">
        <v>-1806.6</v>
      </c>
      <c r="I29" s="33">
        <v>-1976.4</v>
      </c>
      <c r="J29" s="33">
        <v>-1519.4</v>
      </c>
      <c r="K29" s="33">
        <v>-1440.3</v>
      </c>
      <c r="L29" s="33">
        <v>-1303.7</v>
      </c>
    </row>
    <row r="30" spans="1:12" x14ac:dyDescent="0.15">
      <c r="A30" s="25" t="s">
        <v>176</v>
      </c>
      <c r="B30" s="35">
        <v>-177.1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5">
        <v>-1311.3</v>
      </c>
      <c r="J30" s="36">
        <v>0</v>
      </c>
      <c r="K30" s="36">
        <v>0</v>
      </c>
      <c r="L30" s="35">
        <v>-645.1</v>
      </c>
    </row>
    <row r="31" spans="1:12" x14ac:dyDescent="0.15">
      <c r="A31" s="20" t="s">
        <v>177</v>
      </c>
      <c r="B31" s="32">
        <v>0</v>
      </c>
      <c r="C31" s="32">
        <v>0</v>
      </c>
      <c r="D31" s="32">
        <v>0</v>
      </c>
      <c r="E31" s="32">
        <v>59.3</v>
      </c>
      <c r="F31" s="32">
        <v>1175</v>
      </c>
      <c r="G31" s="32">
        <v>0</v>
      </c>
      <c r="H31" s="32">
        <v>684.3</v>
      </c>
      <c r="I31" s="32">
        <v>608.20000000000005</v>
      </c>
      <c r="J31" s="32">
        <v>0</v>
      </c>
      <c r="K31" s="32">
        <v>0</v>
      </c>
      <c r="L31" s="17"/>
    </row>
    <row r="32" spans="1:12" x14ac:dyDescent="0.15">
      <c r="A32" s="5" t="s">
        <v>178</v>
      </c>
      <c r="B32" s="34">
        <v>95.4</v>
      </c>
      <c r="C32" s="34">
        <v>151</v>
      </c>
      <c r="D32" s="34">
        <v>8.9</v>
      </c>
      <c r="E32" s="34">
        <v>-238</v>
      </c>
      <c r="F32" s="34">
        <v>56.7</v>
      </c>
      <c r="G32" s="34">
        <v>-183.5</v>
      </c>
      <c r="H32" s="34">
        <v>167.7</v>
      </c>
      <c r="I32" s="34">
        <v>312.39999999999998</v>
      </c>
      <c r="J32" s="34">
        <v>615.1</v>
      </c>
      <c r="K32" s="34">
        <v>-807.5</v>
      </c>
      <c r="L32" s="34">
        <v>60.9</v>
      </c>
    </row>
    <row r="33" spans="1:12" x14ac:dyDescent="0.15">
      <c r="A33" s="7" t="s">
        <v>179</v>
      </c>
      <c r="B33" s="32">
        <v>324.89999999999998</v>
      </c>
      <c r="C33" s="32">
        <v>627.5</v>
      </c>
      <c r="D33" s="32">
        <v>610.5</v>
      </c>
      <c r="E33" s="32">
        <v>377.9</v>
      </c>
      <c r="F33" s="32">
        <v>432</v>
      </c>
      <c r="G33" s="32">
        <v>443.9</v>
      </c>
      <c r="H33" s="32">
        <v>190.4</v>
      </c>
      <c r="I33" s="32">
        <v>191.9</v>
      </c>
      <c r="J33" s="32">
        <v>674.4</v>
      </c>
      <c r="K33" s="32">
        <v>1585.7</v>
      </c>
      <c r="L33" s="32">
        <v>567.4</v>
      </c>
    </row>
    <row r="34" spans="1:12" x14ac:dyDescent="0.15">
      <c r="A34" s="15" t="s">
        <v>180</v>
      </c>
      <c r="B34" s="36">
        <v>420.3</v>
      </c>
      <c r="C34" s="36">
        <v>778.5</v>
      </c>
      <c r="D34" s="36">
        <v>619.4</v>
      </c>
      <c r="E34" s="36">
        <v>139.9</v>
      </c>
      <c r="F34" s="36">
        <v>488.7</v>
      </c>
      <c r="G34" s="36">
        <v>260.39999999999998</v>
      </c>
      <c r="H34" s="36">
        <v>358.1</v>
      </c>
      <c r="I34" s="36">
        <v>504.3</v>
      </c>
      <c r="J34" s="36">
        <v>1289.5</v>
      </c>
      <c r="K34" s="36">
        <v>778.2</v>
      </c>
      <c r="L34" s="36">
        <v>628.29999999999995</v>
      </c>
    </row>
    <row r="35" spans="1:12" x14ac:dyDescent="0.15">
      <c r="A35" s="4" t="s">
        <v>166</v>
      </c>
      <c r="B35" s="37">
        <v>-48.1</v>
      </c>
      <c r="C35" s="37">
        <v>-72.7</v>
      </c>
      <c r="D35" s="37">
        <v>53.9</v>
      </c>
      <c r="E35" s="37">
        <v>-126.3</v>
      </c>
      <c r="F35" s="37">
        <v>-81.2</v>
      </c>
      <c r="G35" s="37">
        <v>-44.4</v>
      </c>
      <c r="H35" s="37">
        <v>-56.2</v>
      </c>
      <c r="I35" s="37">
        <v>5.6</v>
      </c>
      <c r="J35" s="37">
        <v>54.3</v>
      </c>
      <c r="K35" s="37">
        <v>24.9</v>
      </c>
      <c r="L35" s="37">
        <v>6.8</v>
      </c>
    </row>
    <row r="36" spans="1:12" x14ac:dyDescent="0.15">
      <c r="A36" s="15" t="s">
        <v>181</v>
      </c>
      <c r="B36" s="35">
        <v>-48.1</v>
      </c>
      <c r="C36" s="35">
        <v>-72.7</v>
      </c>
      <c r="D36" s="35">
        <v>-56.1</v>
      </c>
      <c r="E36" s="35">
        <v>-126.3</v>
      </c>
      <c r="F36" s="35">
        <v>-81.2</v>
      </c>
      <c r="G36" s="35">
        <v>-44.4</v>
      </c>
      <c r="H36" s="35">
        <v>-56.2</v>
      </c>
      <c r="I36" s="36">
        <v>0</v>
      </c>
      <c r="J36" s="36">
        <v>0</v>
      </c>
      <c r="K36" s="36">
        <v>0</v>
      </c>
      <c r="L36" s="36">
        <v>0</v>
      </c>
    </row>
    <row r="37" spans="1:12" x14ac:dyDescent="0.15">
      <c r="A37" s="7" t="s">
        <v>182</v>
      </c>
      <c r="B37" s="32">
        <v>0</v>
      </c>
      <c r="C37" s="32">
        <v>0</v>
      </c>
      <c r="D37" s="32">
        <v>110</v>
      </c>
      <c r="E37" s="32">
        <v>0</v>
      </c>
      <c r="F37" s="32">
        <v>0</v>
      </c>
      <c r="G37" s="32">
        <v>0</v>
      </c>
      <c r="H37" s="32">
        <v>0</v>
      </c>
      <c r="I37" s="32">
        <v>5.6</v>
      </c>
      <c r="J37" s="32">
        <v>54.3</v>
      </c>
      <c r="K37" s="32">
        <v>24.9</v>
      </c>
      <c r="L37" s="32">
        <v>6.8</v>
      </c>
    </row>
    <row r="38" spans="1:12" x14ac:dyDescent="0.15">
      <c r="A38" s="25" t="s">
        <v>183</v>
      </c>
      <c r="B38" s="35">
        <v>-2934.4</v>
      </c>
      <c r="C38" s="35">
        <v>-2699.2</v>
      </c>
      <c r="D38" s="35">
        <v>-2270.8000000000002</v>
      </c>
      <c r="E38" s="35">
        <v>-2146.3000000000002</v>
      </c>
      <c r="F38" s="35">
        <v>-319.5</v>
      </c>
      <c r="G38" s="35">
        <v>-1711.5</v>
      </c>
      <c r="H38" s="35">
        <v>-1010.8</v>
      </c>
      <c r="I38" s="35">
        <v>-2361.5</v>
      </c>
      <c r="J38" s="35">
        <v>-850</v>
      </c>
      <c r="K38" s="35">
        <v>-2222.9</v>
      </c>
      <c r="L38" s="35">
        <v>-1881.1</v>
      </c>
    </row>
    <row r="39" spans="1:12" x14ac:dyDescent="0.15">
      <c r="A39" s="2" t="s">
        <v>184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15">
      <c r="A40" s="5" t="s">
        <v>185</v>
      </c>
      <c r="B40" s="6">
        <v>-2676.4</v>
      </c>
      <c r="C40" s="6">
        <v>-2585</v>
      </c>
      <c r="D40" s="6">
        <v>-2431.8000000000002</v>
      </c>
      <c r="E40" s="6">
        <v>-2263.3000000000002</v>
      </c>
      <c r="F40" s="6">
        <v>-2119</v>
      </c>
      <c r="G40" s="6">
        <v>-1923.5</v>
      </c>
      <c r="H40" s="6">
        <v>-1761.3</v>
      </c>
      <c r="I40" s="6">
        <v>-1743.4</v>
      </c>
      <c r="J40" s="6">
        <v>-1450.4</v>
      </c>
      <c r="K40" s="6">
        <v>-1178</v>
      </c>
      <c r="L40" s="6">
        <v>-928.6</v>
      </c>
    </row>
    <row r="41" spans="1:12" x14ac:dyDescent="0.15">
      <c r="A41" s="7" t="s">
        <v>186</v>
      </c>
      <c r="B41" s="19">
        <v>-2676.4</v>
      </c>
      <c r="C41" s="19">
        <v>-2585</v>
      </c>
      <c r="D41" s="19">
        <v>-2431.8000000000002</v>
      </c>
      <c r="E41" s="19">
        <v>-2263.3000000000002</v>
      </c>
      <c r="F41" s="19">
        <v>-2119</v>
      </c>
      <c r="G41" s="19">
        <v>-1923.5</v>
      </c>
      <c r="H41" s="19">
        <v>-1761.3</v>
      </c>
      <c r="I41" s="19">
        <v>-1743.4</v>
      </c>
      <c r="J41" s="19">
        <v>-1450.4</v>
      </c>
      <c r="K41" s="19">
        <v>-1178</v>
      </c>
      <c r="L41" s="19">
        <v>-928.6</v>
      </c>
    </row>
    <row r="42" spans="1:12" x14ac:dyDescent="0.15">
      <c r="A42" s="5" t="s">
        <v>187</v>
      </c>
      <c r="B42" s="6">
        <v>94</v>
      </c>
      <c r="C42" s="6">
        <v>-1158.7</v>
      </c>
      <c r="D42" s="6">
        <v>-817</v>
      </c>
      <c r="E42" s="6">
        <v>-3911.4</v>
      </c>
      <c r="F42" s="6">
        <v>246.2</v>
      </c>
      <c r="G42" s="6">
        <v>-1400.1</v>
      </c>
      <c r="H42" s="6">
        <v>-9812.5</v>
      </c>
      <c r="I42" s="6">
        <v>-6979.6</v>
      </c>
      <c r="J42" s="6">
        <v>-1891.7</v>
      </c>
      <c r="K42" s="6">
        <v>-1834.9</v>
      </c>
      <c r="L42" s="6">
        <v>-1244.3</v>
      </c>
    </row>
    <row r="43" spans="1:12" x14ac:dyDescent="0.15">
      <c r="A43" s="7" t="s">
        <v>188</v>
      </c>
      <c r="B43" s="8">
        <v>0</v>
      </c>
      <c r="C43" s="19">
        <v>-1266.7</v>
      </c>
      <c r="D43" s="19">
        <v>-984.4</v>
      </c>
      <c r="E43" s="19">
        <v>-4013</v>
      </c>
      <c r="F43" s="8">
        <v>0</v>
      </c>
      <c r="G43" s="19">
        <v>-1698.9</v>
      </c>
      <c r="H43" s="19">
        <v>-10222.299999999999</v>
      </c>
      <c r="I43" s="19">
        <v>-7133.5</v>
      </c>
      <c r="J43" s="19">
        <v>-2042.5</v>
      </c>
      <c r="K43" s="19">
        <v>-1995.6</v>
      </c>
      <c r="L43" s="19">
        <v>-1436.1</v>
      </c>
    </row>
    <row r="44" spans="1:12" x14ac:dyDescent="0.15">
      <c r="A44" s="10" t="s">
        <v>189</v>
      </c>
      <c r="B44" s="6">
        <v>94</v>
      </c>
      <c r="C44" s="6">
        <v>108</v>
      </c>
      <c r="D44" s="6">
        <v>167.4</v>
      </c>
      <c r="E44" s="6">
        <v>101.6</v>
      </c>
      <c r="F44" s="6">
        <v>246.2</v>
      </c>
      <c r="G44" s="6">
        <v>298.8</v>
      </c>
      <c r="H44" s="6">
        <v>409.8</v>
      </c>
      <c r="I44" s="6">
        <v>153.9</v>
      </c>
      <c r="J44" s="6">
        <v>150.80000000000001</v>
      </c>
      <c r="K44" s="6">
        <v>160.69999999999999</v>
      </c>
      <c r="L44" s="6">
        <v>191.8</v>
      </c>
    </row>
    <row r="45" spans="1:12" x14ac:dyDescent="0.15">
      <c r="A45" s="11" t="s">
        <v>190</v>
      </c>
      <c r="B45" s="8">
        <v>94</v>
      </c>
      <c r="C45" s="8">
        <v>108</v>
      </c>
      <c r="D45" s="8">
        <v>167.4</v>
      </c>
      <c r="E45" s="8">
        <v>101.6</v>
      </c>
      <c r="F45" s="8">
        <v>246.2</v>
      </c>
      <c r="G45" s="8">
        <v>298.8</v>
      </c>
      <c r="H45" s="8">
        <v>409.8</v>
      </c>
      <c r="I45" s="8">
        <v>153.9</v>
      </c>
      <c r="J45" s="8">
        <v>150.80000000000001</v>
      </c>
      <c r="K45" s="8">
        <v>160.69999999999999</v>
      </c>
      <c r="L45" s="8">
        <v>191.8</v>
      </c>
    </row>
    <row r="46" spans="1:12" x14ac:dyDescent="0.15">
      <c r="A46" s="5" t="s">
        <v>191</v>
      </c>
      <c r="B46" s="6">
        <v>-50.7</v>
      </c>
      <c r="C46" s="6">
        <v>136.5</v>
      </c>
      <c r="D46" s="6">
        <v>358.6</v>
      </c>
      <c r="E46" s="6">
        <v>673.1</v>
      </c>
      <c r="F46" s="6">
        <v>-1681.2</v>
      </c>
      <c r="G46" s="6">
        <v>5166.5</v>
      </c>
      <c r="H46" s="6">
        <v>1646</v>
      </c>
      <c r="I46" s="6">
        <v>5584.1</v>
      </c>
      <c r="J46" s="6">
        <v>350.2</v>
      </c>
      <c r="K46" s="6">
        <v>1254.5</v>
      </c>
      <c r="L46" s="6">
        <v>238.4</v>
      </c>
    </row>
    <row r="47" spans="1:12" x14ac:dyDescent="0.15">
      <c r="A47" s="7" t="s">
        <v>192</v>
      </c>
      <c r="B47" s="19">
        <v>-50.7</v>
      </c>
      <c r="C47" s="19">
        <v>-33.700000000000003</v>
      </c>
      <c r="D47" s="8">
        <v>35.799999999999997</v>
      </c>
      <c r="E47" s="8">
        <v>0</v>
      </c>
      <c r="F47" s="19">
        <v>-134.69999999999999</v>
      </c>
      <c r="G47" s="8">
        <v>438.9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</row>
    <row r="48" spans="1:12" x14ac:dyDescent="0.15">
      <c r="A48" s="10" t="s">
        <v>193</v>
      </c>
      <c r="B48" s="6">
        <v>0</v>
      </c>
      <c r="C48" s="6">
        <v>170.2</v>
      </c>
      <c r="D48" s="6">
        <v>322.8</v>
      </c>
      <c r="E48" s="6">
        <v>673.1</v>
      </c>
      <c r="F48" s="6">
        <v>-1546.5</v>
      </c>
      <c r="G48" s="6">
        <v>4727.6000000000004</v>
      </c>
      <c r="H48" s="6">
        <v>1646</v>
      </c>
      <c r="I48" s="6">
        <v>5584.1</v>
      </c>
      <c r="J48" s="6">
        <v>350.2</v>
      </c>
      <c r="K48" s="6">
        <v>1254.5</v>
      </c>
      <c r="L48" s="6">
        <v>238.4</v>
      </c>
    </row>
    <row r="49" spans="1:12" x14ac:dyDescent="0.15">
      <c r="A49" s="11" t="s">
        <v>194</v>
      </c>
      <c r="B49" s="8">
        <v>0</v>
      </c>
      <c r="C49" s="8">
        <v>1995.3</v>
      </c>
      <c r="D49" s="8">
        <v>1322.8</v>
      </c>
      <c r="E49" s="8">
        <v>1673.1</v>
      </c>
      <c r="F49" s="8">
        <v>0</v>
      </c>
      <c r="G49" s="8">
        <v>4727.6000000000004</v>
      </c>
      <c r="H49" s="8">
        <v>1996</v>
      </c>
      <c r="I49" s="8">
        <v>5584.1</v>
      </c>
      <c r="J49" s="8">
        <v>750.2</v>
      </c>
      <c r="K49" s="8">
        <v>1254.5</v>
      </c>
      <c r="L49" s="8">
        <v>848.5</v>
      </c>
    </row>
    <row r="50" spans="1:12" x14ac:dyDescent="0.15">
      <c r="A50" s="12" t="s">
        <v>195</v>
      </c>
      <c r="B50" s="13">
        <v>0</v>
      </c>
      <c r="C50" s="16">
        <v>-1825.1</v>
      </c>
      <c r="D50" s="16">
        <v>-1000</v>
      </c>
      <c r="E50" s="16">
        <v>-1000</v>
      </c>
      <c r="F50" s="16">
        <v>-1546.5</v>
      </c>
      <c r="G50" s="13">
        <v>0</v>
      </c>
      <c r="H50" s="16">
        <v>-350</v>
      </c>
      <c r="I50" s="13">
        <v>0</v>
      </c>
      <c r="J50" s="16">
        <v>-400</v>
      </c>
      <c r="K50" s="13">
        <v>0</v>
      </c>
      <c r="L50" s="16">
        <v>-610.1</v>
      </c>
    </row>
    <row r="51" spans="1:12" x14ac:dyDescent="0.15">
      <c r="A51" s="4" t="s">
        <v>166</v>
      </c>
      <c r="B51" s="3">
        <v>-82.8</v>
      </c>
      <c r="C51" s="3">
        <v>-111</v>
      </c>
      <c r="D51" s="3">
        <v>-100.4</v>
      </c>
      <c r="E51" s="3">
        <v>-136.4</v>
      </c>
      <c r="F51" s="3">
        <v>-97</v>
      </c>
      <c r="G51" s="3">
        <v>-129.6</v>
      </c>
      <c r="H51" s="3">
        <v>-129.1</v>
      </c>
      <c r="I51" s="3">
        <v>-103.9</v>
      </c>
      <c r="J51" s="3">
        <v>-9.6999999999999993</v>
      </c>
      <c r="K51" s="3">
        <v>8.4</v>
      </c>
      <c r="L51" s="3">
        <v>38.799999999999997</v>
      </c>
    </row>
    <row r="52" spans="1:12" x14ac:dyDescent="0.15">
      <c r="A52" s="15" t="s">
        <v>181</v>
      </c>
      <c r="B52" s="16">
        <v>-82.8</v>
      </c>
      <c r="C52" s="16">
        <v>-111</v>
      </c>
      <c r="D52" s="16">
        <v>-100.4</v>
      </c>
      <c r="E52" s="16">
        <v>-136.4</v>
      </c>
      <c r="F52" s="16">
        <v>-97</v>
      </c>
      <c r="G52" s="16">
        <v>-129.6</v>
      </c>
      <c r="H52" s="16">
        <v>-129.1</v>
      </c>
      <c r="I52" s="16">
        <v>-103.9</v>
      </c>
      <c r="J52" s="16">
        <v>-87.2</v>
      </c>
      <c r="K52" s="16">
        <v>-114.4</v>
      </c>
      <c r="L52" s="16">
        <v>-93.6</v>
      </c>
    </row>
    <row r="53" spans="1:12" x14ac:dyDescent="0.15">
      <c r="A53" s="7" t="s">
        <v>182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77.5</v>
      </c>
      <c r="K53" s="8">
        <v>122.8</v>
      </c>
      <c r="L53" s="8">
        <v>132.4</v>
      </c>
    </row>
    <row r="54" spans="1:12" x14ac:dyDescent="0.15">
      <c r="A54" s="25" t="s">
        <v>196</v>
      </c>
      <c r="B54" s="16">
        <v>-2715.9</v>
      </c>
      <c r="C54" s="16">
        <v>-3718.2</v>
      </c>
      <c r="D54" s="16">
        <v>-2990.6</v>
      </c>
      <c r="E54" s="16">
        <v>-5638</v>
      </c>
      <c r="F54" s="16">
        <v>-3651</v>
      </c>
      <c r="G54" s="13">
        <v>1713.3</v>
      </c>
      <c r="H54" s="16">
        <v>-10056.9</v>
      </c>
      <c r="I54" s="16">
        <v>-3242.8</v>
      </c>
      <c r="J54" s="16">
        <v>-3001.6</v>
      </c>
      <c r="K54" s="16">
        <v>-1750</v>
      </c>
      <c r="L54" s="16">
        <v>-1895.7</v>
      </c>
    </row>
    <row r="55" spans="1:12" x14ac:dyDescent="0.15">
      <c r="A55" s="2" t="s">
        <v>197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15">
      <c r="A56" s="25" t="s">
        <v>198</v>
      </c>
      <c r="B56" s="16">
        <v>-12.2</v>
      </c>
      <c r="C56" s="13">
        <v>56.5</v>
      </c>
      <c r="D56" s="16">
        <v>-14.2</v>
      </c>
      <c r="E56" s="16">
        <v>-250.3</v>
      </c>
      <c r="F56" s="13">
        <v>86.2</v>
      </c>
      <c r="G56" s="13">
        <v>64.7</v>
      </c>
      <c r="H56" s="16">
        <v>-49</v>
      </c>
      <c r="I56" s="16">
        <v>-39.5</v>
      </c>
      <c r="J56" s="13">
        <v>10.8</v>
      </c>
      <c r="K56" s="16">
        <v>-3.5</v>
      </c>
      <c r="L56" s="16">
        <v>-150.6</v>
      </c>
    </row>
    <row r="57" spans="1:12" x14ac:dyDescent="0.15">
      <c r="A57" s="20" t="s">
        <v>199</v>
      </c>
      <c r="B57" s="19">
        <v>-92.8</v>
      </c>
      <c r="C57" s="19">
        <v>-265.3</v>
      </c>
      <c r="D57" s="8">
        <v>733.1</v>
      </c>
      <c r="E57" s="19">
        <v>-3637.3</v>
      </c>
      <c r="F57" s="8">
        <v>2104.8000000000002</v>
      </c>
      <c r="G57" s="8">
        <v>1664.3</v>
      </c>
      <c r="H57" s="19">
        <v>-6069.7</v>
      </c>
      <c r="I57" s="8">
        <v>6294</v>
      </c>
      <c r="J57" s="8">
        <v>333.5</v>
      </c>
      <c r="K57" s="8">
        <v>598.70000000000005</v>
      </c>
      <c r="L57" s="19">
        <v>-178.3</v>
      </c>
    </row>
    <row r="58" spans="1:12" x14ac:dyDescent="0.15">
      <c r="A58" s="5" t="s">
        <v>200</v>
      </c>
      <c r="B58" s="6">
        <v>2765.1</v>
      </c>
      <c r="C58" s="6">
        <v>3318.1</v>
      </c>
      <c r="D58" s="6">
        <v>3675.1</v>
      </c>
      <c r="E58" s="6">
        <v>2556</v>
      </c>
      <c r="F58" s="6">
        <v>4519.1000000000004</v>
      </c>
      <c r="G58" s="6">
        <v>114.2</v>
      </c>
      <c r="H58" s="6">
        <v>3240.4</v>
      </c>
      <c r="I58" s="6">
        <v>9961.4</v>
      </c>
      <c r="J58" s="6">
        <v>2654.9</v>
      </c>
      <c r="K58" s="6">
        <v>3134.8</v>
      </c>
      <c r="L58" s="6">
        <v>2445.4</v>
      </c>
    </row>
    <row r="59" spans="1:12" x14ac:dyDescent="0.15">
      <c r="A59" s="7" t="s">
        <v>201</v>
      </c>
      <c r="B59" s="8">
        <v>2.4255260000000001</v>
      </c>
      <c r="C59" s="8">
        <v>2.9175239999999998</v>
      </c>
      <c r="D59" s="8">
        <v>3.1921309999999998</v>
      </c>
      <c r="E59" s="8">
        <v>2.2063009999999998</v>
      </c>
      <c r="F59" s="8">
        <v>3.8119779999999999</v>
      </c>
      <c r="G59" s="8">
        <v>9.6631999999999996E-2</v>
      </c>
      <c r="H59" s="8">
        <v>2.6276350000000002</v>
      </c>
      <c r="I59" s="8">
        <v>7.1428370000000001</v>
      </c>
      <c r="J59" s="8">
        <v>1.8165579999999999</v>
      </c>
      <c r="K59" s="8">
        <v>2.1085630000000002</v>
      </c>
      <c r="L59" s="8">
        <v>1.6158319999999999</v>
      </c>
    </row>
    <row r="60" spans="1:12" x14ac:dyDescent="0.15">
      <c r="A60" s="15" t="s">
        <v>202</v>
      </c>
      <c r="B60" s="23">
        <v>2.481865</v>
      </c>
      <c r="C60" s="23">
        <v>2.9966349999999999</v>
      </c>
      <c r="D60" s="23">
        <v>3.4974590000000001</v>
      </c>
      <c r="E60" s="23">
        <v>2.6184440000000002</v>
      </c>
      <c r="F60" s="23">
        <v>3.3758219999999999</v>
      </c>
      <c r="G60" s="23">
        <v>0.11462899999999999</v>
      </c>
      <c r="H60" s="23">
        <v>2.9734470000000002</v>
      </c>
      <c r="I60" s="23">
        <v>12.566566999999999</v>
      </c>
      <c r="J60" s="23">
        <v>3.3821599999999998</v>
      </c>
      <c r="K60" s="23">
        <v>3.8946480000000001</v>
      </c>
      <c r="L60" s="23">
        <v>2.786397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7E2D-4476-A949-9086-7BE754F63915}">
  <sheetPr>
    <tabColor rgb="FF00B050"/>
  </sheetPr>
  <dimension ref="A2:L50"/>
  <sheetViews>
    <sheetView zoomScale="80" zoomScaleNormal="80" workbookViewId="0">
      <selection activeCell="L47" sqref="L47"/>
    </sheetView>
  </sheetViews>
  <sheetFormatPr baseColWidth="10" defaultRowHeight="13" x14ac:dyDescent="0.15"/>
  <cols>
    <col min="1" max="1" width="21.33203125" customWidth="1"/>
  </cols>
  <sheetData>
    <row r="2" spans="1:12" ht="14" x14ac:dyDescent="0.15">
      <c r="A2" s="52" t="s">
        <v>210</v>
      </c>
      <c r="B2" s="52" t="s">
        <v>222</v>
      </c>
      <c r="C2" s="52" t="s">
        <v>223</v>
      </c>
      <c r="D2" s="52" t="s">
        <v>224</v>
      </c>
      <c r="E2" s="52" t="s">
        <v>225</v>
      </c>
      <c r="F2" s="52" t="s">
        <v>226</v>
      </c>
      <c r="G2" s="52" t="s">
        <v>227</v>
      </c>
      <c r="H2" s="52" t="s">
        <v>228</v>
      </c>
      <c r="I2" s="52" t="s">
        <v>229</v>
      </c>
      <c r="J2" s="52" t="s">
        <v>230</v>
      </c>
      <c r="K2" s="52" t="s">
        <v>231</v>
      </c>
      <c r="L2" s="39"/>
    </row>
    <row r="3" spans="1:12" ht="14" x14ac:dyDescent="0.15">
      <c r="A3" s="40"/>
      <c r="B3" s="40"/>
      <c r="C3" s="40"/>
      <c r="D3" s="40"/>
      <c r="E3" s="42" t="s">
        <v>273</v>
      </c>
      <c r="F3" s="42"/>
      <c r="G3" s="40"/>
      <c r="H3" s="40"/>
      <c r="I3" s="40"/>
      <c r="J3" s="40"/>
      <c r="K3" s="40"/>
    </row>
    <row r="4" spans="1:12" x14ac:dyDescent="0.15">
      <c r="A4" t="s">
        <v>16</v>
      </c>
      <c r="B4" s="41">
        <f>'Income Statement'!L11</f>
        <v>19148.7</v>
      </c>
      <c r="C4" s="41">
        <f>'Income Statement'!K11</f>
        <v>21311</v>
      </c>
      <c r="D4" s="41">
        <f>'Income Statement'!J11</f>
        <v>22383.8</v>
      </c>
      <c r="E4" s="41">
        <f>'Income Statement'!I11</f>
        <v>24719.9</v>
      </c>
      <c r="F4" s="41">
        <f>'Income Statement'!H11</f>
        <v>26501.599999999999</v>
      </c>
      <c r="G4" s="41">
        <f>'Income Statement'!G11</f>
        <v>23512.5</v>
      </c>
      <c r="H4" s="41">
        <f>'Income Statement'!F11</f>
        <v>29058.799999999999</v>
      </c>
      <c r="I4" s="41">
        <f>'Income Statement'!E11</f>
        <v>32228.3</v>
      </c>
      <c r="J4" s="41">
        <f>'Income Statement'!D11</f>
        <v>35952</v>
      </c>
      <c r="K4" s="41">
        <f>'Income Statement'!C11</f>
        <v>36148</v>
      </c>
    </row>
    <row r="5" spans="1:12" x14ac:dyDescent="0.15">
      <c r="A5" s="65" t="s">
        <v>211</v>
      </c>
      <c r="B5" s="65"/>
      <c r="C5" s="66">
        <f>(C4-B4)/B4</f>
        <v>0.11292150380965806</v>
      </c>
      <c r="D5" s="66">
        <f t="shared" ref="D5:K5" si="0">(D4-C4)/C4</f>
        <v>5.0340199896766892E-2</v>
      </c>
      <c r="E5" s="66">
        <f t="shared" si="0"/>
        <v>0.10436565730573014</v>
      </c>
      <c r="F5" s="66">
        <f t="shared" si="0"/>
        <v>7.2075534286141815E-2</v>
      </c>
      <c r="G5" s="66">
        <f t="shared" si="0"/>
        <v>-0.11278941648806105</v>
      </c>
      <c r="H5" s="66">
        <f t="shared" si="0"/>
        <v>0.23588729399255712</v>
      </c>
      <c r="I5" s="66">
        <f t="shared" si="0"/>
        <v>0.1090719506655471</v>
      </c>
      <c r="J5" s="66">
        <f>(J4-I4)/I4</f>
        <v>0.11554130996670631</v>
      </c>
      <c r="K5" s="66">
        <f>(K4-J4)/J4</f>
        <v>5.451713395638629E-3</v>
      </c>
    </row>
    <row r="7" spans="1:12" x14ac:dyDescent="0.15">
      <c r="A7" t="s">
        <v>212</v>
      </c>
      <c r="B7" s="41">
        <f>'Income Statement'!L12</f>
        <v>14585.2</v>
      </c>
      <c r="C7" s="41">
        <f>'Income Statement'!K12</f>
        <v>16041</v>
      </c>
      <c r="D7" s="41">
        <f>'Income Statement'!J12</f>
        <v>17039.3</v>
      </c>
      <c r="E7" s="41">
        <f>'Income Statement'!I12</f>
        <v>19104.8</v>
      </c>
      <c r="F7" s="41">
        <f>'Income Statement'!H12</f>
        <v>20772.900000000001</v>
      </c>
      <c r="G7" s="41">
        <f>'Income Statement'!G12</f>
        <v>20316.3</v>
      </c>
      <c r="H7" s="41">
        <f>'Income Statement'!F12</f>
        <v>22461.7</v>
      </c>
      <c r="I7" s="41">
        <f>'Income Statement'!E12</f>
        <v>25919</v>
      </c>
      <c r="J7" s="41">
        <f>'Income Statement'!D12</f>
        <v>28136.3</v>
      </c>
      <c r="K7" s="41">
        <f>'Income Statement'!C12</f>
        <v>28490.3</v>
      </c>
    </row>
    <row r="8" spans="1:12" x14ac:dyDescent="0.15">
      <c r="A8" s="65" t="s">
        <v>213</v>
      </c>
      <c r="B8" s="67">
        <f>B7/B4</f>
        <v>0.76168094962060084</v>
      </c>
      <c r="C8" s="67">
        <f t="shared" ref="C8:K8" si="1">C7/C4</f>
        <v>0.75270986814321239</v>
      </c>
      <c r="D8" s="67">
        <f t="shared" si="1"/>
        <v>0.76123357070738662</v>
      </c>
      <c r="E8" s="67">
        <f t="shared" si="1"/>
        <v>0.77285102286012475</v>
      </c>
      <c r="F8" s="67">
        <f t="shared" si="1"/>
        <v>0.78383569293929434</v>
      </c>
      <c r="G8" s="67">
        <f t="shared" si="1"/>
        <v>0.86406379585326953</v>
      </c>
      <c r="H8" s="67">
        <f t="shared" si="1"/>
        <v>0.77297410767134234</v>
      </c>
      <c r="I8" s="67">
        <f t="shared" si="1"/>
        <v>0.80423106400275535</v>
      </c>
      <c r="J8" s="67">
        <f t="shared" si="1"/>
        <v>0.78260736537605691</v>
      </c>
      <c r="K8" s="67">
        <f t="shared" si="1"/>
        <v>0.78815702113533248</v>
      </c>
    </row>
    <row r="10" spans="1:12" x14ac:dyDescent="0.15">
      <c r="A10" s="68" t="s">
        <v>214</v>
      </c>
      <c r="B10" s="69">
        <f>B4-B7</f>
        <v>4563.5</v>
      </c>
      <c r="C10" s="69">
        <f t="shared" ref="C10:K10" si="2">C4-C7</f>
        <v>5270</v>
      </c>
      <c r="D10" s="69">
        <f t="shared" si="2"/>
        <v>5344.5</v>
      </c>
      <c r="E10" s="69">
        <f t="shared" si="2"/>
        <v>5615.1000000000022</v>
      </c>
      <c r="F10" s="69">
        <f t="shared" si="2"/>
        <v>5728.6999999999971</v>
      </c>
      <c r="G10" s="69">
        <f t="shared" si="2"/>
        <v>3196.2000000000007</v>
      </c>
      <c r="H10" s="69">
        <f t="shared" si="2"/>
        <v>6597.0999999999985</v>
      </c>
      <c r="I10" s="69">
        <f t="shared" si="2"/>
        <v>6309.2999999999993</v>
      </c>
      <c r="J10" s="69">
        <f t="shared" si="2"/>
        <v>7815.7000000000007</v>
      </c>
      <c r="K10" s="69">
        <f t="shared" si="2"/>
        <v>7657.7000000000007</v>
      </c>
    </row>
    <row r="11" spans="1:12" x14ac:dyDescent="0.15">
      <c r="A11" s="65" t="s">
        <v>215</v>
      </c>
      <c r="B11" s="67">
        <f>B10/B4</f>
        <v>0.23831905037939913</v>
      </c>
      <c r="C11" s="67">
        <f t="shared" ref="C11:K11" si="3">C10/C4</f>
        <v>0.24729013185678758</v>
      </c>
      <c r="D11" s="67">
        <f t="shared" si="3"/>
        <v>0.23876642929261341</v>
      </c>
      <c r="E11" s="67">
        <f t="shared" si="3"/>
        <v>0.22714897713987522</v>
      </c>
      <c r="F11" s="67">
        <f t="shared" si="3"/>
        <v>0.21616430706070566</v>
      </c>
      <c r="G11" s="67">
        <f t="shared" si="3"/>
        <v>0.13593620414673049</v>
      </c>
      <c r="H11" s="67">
        <f t="shared" si="3"/>
        <v>0.22702589232865772</v>
      </c>
      <c r="I11" s="67">
        <f t="shared" si="3"/>
        <v>0.19576893599724465</v>
      </c>
      <c r="J11" s="67">
        <f t="shared" si="3"/>
        <v>0.21739263462394307</v>
      </c>
      <c r="K11" s="67">
        <f t="shared" si="3"/>
        <v>0.21184297886466749</v>
      </c>
    </row>
    <row r="13" spans="1:12" x14ac:dyDescent="0.15">
      <c r="A13" t="s">
        <v>219</v>
      </c>
      <c r="B13" s="41">
        <f>'Income Statement'!L18</f>
        <v>1196.7</v>
      </c>
      <c r="C13" s="41">
        <f>'Income Statement'!K18</f>
        <v>1360.6</v>
      </c>
      <c r="D13" s="41">
        <f>'Income Statement'!J18</f>
        <v>1393.3</v>
      </c>
      <c r="E13" s="41">
        <f>'Income Statement'!I18</f>
        <v>1755.4</v>
      </c>
      <c r="F13" s="41">
        <f>'Income Statement'!H18</f>
        <v>1824.1</v>
      </c>
      <c r="G13" s="41">
        <f>'Income Statement'!G18</f>
        <v>1679.6</v>
      </c>
      <c r="H13" s="41">
        <f>'Income Statement'!F18</f>
        <v>1932.6</v>
      </c>
      <c r="I13" s="41">
        <f>'Income Statement'!E18</f>
        <v>2032</v>
      </c>
      <c r="J13" s="41">
        <f>'Income Statement'!D18</f>
        <v>2441.3000000000002</v>
      </c>
      <c r="K13" s="41">
        <f>'Income Statement'!C18</f>
        <v>2523.3000000000002</v>
      </c>
    </row>
    <row r="14" spans="1:12" x14ac:dyDescent="0.15">
      <c r="A14" s="65" t="s">
        <v>220</v>
      </c>
      <c r="B14" s="67">
        <f>B13/B4</f>
        <v>6.2495104106283977E-2</v>
      </c>
      <c r="C14" s="67">
        <f t="shared" ref="C14:K14" si="4">C13/C4</f>
        <v>6.3844962695321666E-2</v>
      </c>
      <c r="D14" s="67">
        <f t="shared" si="4"/>
        <v>6.2245909988473805E-2</v>
      </c>
      <c r="E14" s="67">
        <f t="shared" si="4"/>
        <v>7.1011614124652608E-2</v>
      </c>
      <c r="F14" s="67">
        <f t="shared" si="4"/>
        <v>6.8829806502248916E-2</v>
      </c>
      <c r="G14" s="67">
        <f t="shared" si="4"/>
        <v>7.1434343434343434E-2</v>
      </c>
      <c r="H14" s="67">
        <f t="shared" si="4"/>
        <v>6.6506531584236098E-2</v>
      </c>
      <c r="I14" s="67">
        <f t="shared" si="4"/>
        <v>6.3050176397762211E-2</v>
      </c>
      <c r="J14" s="67">
        <f t="shared" si="4"/>
        <v>6.7904428126390748E-2</v>
      </c>
      <c r="K14" s="67">
        <f t="shared" si="4"/>
        <v>6.9804691822507481E-2</v>
      </c>
    </row>
    <row r="16" spans="1:12" x14ac:dyDescent="0.15">
      <c r="A16" s="68" t="s">
        <v>63</v>
      </c>
      <c r="B16" s="69">
        <f>'Income Statement'!L60</f>
        <v>4300.6000000000004</v>
      </c>
      <c r="C16" s="69">
        <f>'Income Statement'!K60</f>
        <v>4939.5</v>
      </c>
      <c r="D16" s="69">
        <f>'Income Statement'!J60</f>
        <v>5018.3</v>
      </c>
      <c r="E16" s="69">
        <f>'Income Statement'!I60</f>
        <v>5165.6000000000004</v>
      </c>
      <c r="F16" s="69">
        <f>'Income Statement'!H60</f>
        <v>5353.9</v>
      </c>
      <c r="G16" s="69">
        <f>'Income Statement'!G60</f>
        <v>4217.3999999999996</v>
      </c>
      <c r="H16" s="69">
        <f>'Income Statement'!F60</f>
        <v>7437.2</v>
      </c>
      <c r="I16" s="69">
        <f>'Income Statement'!E60</f>
        <v>7304.4</v>
      </c>
      <c r="J16" s="69">
        <f>'Income Statement'!D60</f>
        <v>6824.7</v>
      </c>
      <c r="K16" s="69">
        <f>'Income Statement'!C60</f>
        <v>6726.8</v>
      </c>
    </row>
    <row r="17" spans="1:12" x14ac:dyDescent="0.15">
      <c r="A17" s="65" t="s">
        <v>216</v>
      </c>
      <c r="B17" s="67">
        <f>B16/B4</f>
        <v>0.22458965882801443</v>
      </c>
      <c r="C17" s="67">
        <f t="shared" ref="C17:K17" si="5">C16/C4</f>
        <v>0.23178170897658487</v>
      </c>
      <c r="D17" s="67">
        <f t="shared" si="5"/>
        <v>0.22419338986231116</v>
      </c>
      <c r="E17" s="67">
        <f t="shared" si="5"/>
        <v>0.20896524662316596</v>
      </c>
      <c r="F17" s="67">
        <f t="shared" si="5"/>
        <v>0.20202176472363934</v>
      </c>
      <c r="G17" s="67">
        <f t="shared" si="5"/>
        <v>0.17936842105263157</v>
      </c>
      <c r="H17" s="67">
        <f t="shared" si="5"/>
        <v>0.25593623962448553</v>
      </c>
      <c r="I17" s="67">
        <f t="shared" si="5"/>
        <v>0.22664552582668027</v>
      </c>
      <c r="J17" s="67">
        <f t="shared" si="5"/>
        <v>0.18982810413885179</v>
      </c>
      <c r="K17" s="67">
        <f t="shared" si="5"/>
        <v>0.18609051676441296</v>
      </c>
      <c r="L17" s="64"/>
    </row>
    <row r="19" spans="1:12" x14ac:dyDescent="0.15">
      <c r="A19" t="s">
        <v>217</v>
      </c>
      <c r="B19" s="41">
        <f>'Income Statement'!L25</f>
        <v>73.7</v>
      </c>
      <c r="C19" s="41">
        <f>'Income Statement'!K25</f>
        <v>86.3</v>
      </c>
      <c r="D19" s="41">
        <f>'Income Statement'!J25</f>
        <v>97.3</v>
      </c>
      <c r="E19" s="41">
        <f>'Income Statement'!I25</f>
        <v>175.2</v>
      </c>
      <c r="F19" s="41">
        <f>'Income Statement'!H25</f>
        <v>339.8</v>
      </c>
      <c r="G19" s="41">
        <f>'Income Statement'!G25</f>
        <v>457.5</v>
      </c>
      <c r="H19" s="41">
        <f>'Income Statement'!F25</f>
        <v>496.8</v>
      </c>
      <c r="I19" s="41">
        <f>'Income Statement'!E25</f>
        <v>497.2</v>
      </c>
      <c r="J19" s="41">
        <f>'Income Statement'!D25</f>
        <v>551</v>
      </c>
      <c r="K19" s="41">
        <f>'Income Statement'!C25</f>
        <v>596.6</v>
      </c>
    </row>
    <row r="20" spans="1:12" x14ac:dyDescent="0.15">
      <c r="A20" s="65" t="s">
        <v>218</v>
      </c>
      <c r="B20" s="67">
        <f>B19/B4</f>
        <v>3.8488252466224861E-3</v>
      </c>
      <c r="C20" s="67">
        <f t="shared" ref="C20:K20" si="6">C19/C4</f>
        <v>4.0495518746187413E-3</v>
      </c>
      <c r="D20" s="67">
        <f t="shared" si="6"/>
        <v>4.3468937356481024E-3</v>
      </c>
      <c r="E20" s="67">
        <f t="shared" si="6"/>
        <v>7.08740731151825E-3</v>
      </c>
      <c r="F20" s="67">
        <f t="shared" si="6"/>
        <v>1.2821867358951914E-2</v>
      </c>
      <c r="G20" s="67">
        <f t="shared" si="6"/>
        <v>1.9457735247208931E-2</v>
      </c>
      <c r="H20" s="67">
        <f t="shared" si="6"/>
        <v>1.7096370118518316E-2</v>
      </c>
      <c r="I20" s="67">
        <f t="shared" si="6"/>
        <v>1.5427434894176858E-2</v>
      </c>
      <c r="J20" s="67">
        <f t="shared" si="6"/>
        <v>1.532599020916778E-2</v>
      </c>
      <c r="K20" s="67">
        <f t="shared" si="6"/>
        <v>1.6504370919552949E-2</v>
      </c>
    </row>
    <row r="22" spans="1:12" x14ac:dyDescent="0.15">
      <c r="A22" t="s">
        <v>333</v>
      </c>
      <c r="B22" s="41">
        <f>'Income Statement'!L62</f>
        <v>933.8</v>
      </c>
      <c r="C22" s="41">
        <f>'Income Statement'!K62</f>
        <v>1030.0999999999999</v>
      </c>
      <c r="D22" s="41">
        <f>'Income Statement'!J62</f>
        <v>1067.0999999999999</v>
      </c>
      <c r="E22" s="41">
        <f>'Income Statement'!I62</f>
        <v>1305.9000000000001</v>
      </c>
      <c r="F22" s="41">
        <f>'Income Statement'!H62</f>
        <v>1449.3</v>
      </c>
      <c r="G22" s="41">
        <f>'Income Statement'!G62</f>
        <v>2700.8</v>
      </c>
      <c r="H22" s="41">
        <f>'Income Statement'!F62</f>
        <v>2772.7</v>
      </c>
      <c r="I22" s="41">
        <f>'Income Statement'!E62</f>
        <v>3027.1</v>
      </c>
      <c r="J22" s="41">
        <f>'Income Statement'!D62</f>
        <v>1450.3</v>
      </c>
      <c r="K22" s="41">
        <f>'Income Statement'!C62</f>
        <v>1592.4</v>
      </c>
    </row>
    <row r="23" spans="1:12" x14ac:dyDescent="0.15">
      <c r="A23" s="65" t="s">
        <v>372</v>
      </c>
      <c r="B23" s="67">
        <f>B22/B4</f>
        <v>4.8765712554899282E-2</v>
      </c>
      <c r="C23" s="67">
        <f t="shared" ref="C23:K23" si="7">C22/C4</f>
        <v>4.8336539815118949E-2</v>
      </c>
      <c r="D23" s="67">
        <f t="shared" si="7"/>
        <v>4.7672870558171529E-2</v>
      </c>
      <c r="E23" s="67">
        <f t="shared" si="7"/>
        <v>5.2827883607943396E-2</v>
      </c>
      <c r="F23" s="67">
        <f t="shared" si="7"/>
        <v>5.4687264165182478E-2</v>
      </c>
      <c r="G23" s="67">
        <f t="shared" si="7"/>
        <v>0.11486656034024456</v>
      </c>
      <c r="H23" s="67">
        <f t="shared" si="7"/>
        <v>9.5416878880063866E-2</v>
      </c>
      <c r="I23" s="67">
        <f t="shared" si="7"/>
        <v>9.3926766227197839E-2</v>
      </c>
      <c r="J23" s="67">
        <f t="shared" si="7"/>
        <v>4.0339897641299506E-2</v>
      </c>
      <c r="K23" s="67">
        <f t="shared" si="7"/>
        <v>4.4052229722252964E-2</v>
      </c>
    </row>
    <row r="25" spans="1:12" x14ac:dyDescent="0.15">
      <c r="A25" s="68" t="s">
        <v>64</v>
      </c>
      <c r="B25" s="69">
        <f>B10-B13-B22</f>
        <v>2433</v>
      </c>
      <c r="C25" s="69">
        <f t="shared" ref="C25:K25" si="8">C10-C13</f>
        <v>3909.4</v>
      </c>
      <c r="D25" s="69">
        <f t="shared" si="8"/>
        <v>3951.2</v>
      </c>
      <c r="E25" s="69">
        <f t="shared" si="8"/>
        <v>3859.7000000000021</v>
      </c>
      <c r="F25" s="69">
        <f t="shared" si="8"/>
        <v>3904.5999999999972</v>
      </c>
      <c r="G25" s="69">
        <f t="shared" si="8"/>
        <v>1516.6000000000008</v>
      </c>
      <c r="H25" s="69">
        <f t="shared" si="8"/>
        <v>4664.4999999999982</v>
      </c>
      <c r="I25" s="69">
        <f>I10-I13</f>
        <v>4277.2999999999993</v>
      </c>
      <c r="J25" s="69">
        <f t="shared" si="8"/>
        <v>5374.4000000000005</v>
      </c>
      <c r="K25" s="69">
        <f t="shared" si="8"/>
        <v>5134.4000000000005</v>
      </c>
    </row>
    <row r="26" spans="1:12" x14ac:dyDescent="0.15">
      <c r="A26" s="65" t="s">
        <v>253</v>
      </c>
      <c r="B26" s="67">
        <f>B25/B4</f>
        <v>0.12705823371821584</v>
      </c>
      <c r="C26" s="67">
        <f t="shared" ref="C26:K26" si="9">C25/C4</f>
        <v>0.18344516916146592</v>
      </c>
      <c r="D26" s="67">
        <f t="shared" si="9"/>
        <v>0.17652051930413959</v>
      </c>
      <c r="E26" s="67">
        <f t="shared" si="9"/>
        <v>0.15613736301522263</v>
      </c>
      <c r="F26" s="67">
        <f t="shared" si="9"/>
        <v>0.14733450055845676</v>
      </c>
      <c r="G26" s="67">
        <f t="shared" si="9"/>
        <v>6.450186071238706E-2</v>
      </c>
      <c r="H26" s="67">
        <f t="shared" si="9"/>
        <v>0.16051936074442161</v>
      </c>
      <c r="I26" s="67">
        <f t="shared" si="9"/>
        <v>0.13271875959948243</v>
      </c>
      <c r="J26" s="67">
        <f t="shared" si="9"/>
        <v>0.14948820649755232</v>
      </c>
      <c r="K26" s="67">
        <f t="shared" si="9"/>
        <v>0.14203828704216001</v>
      </c>
    </row>
    <row r="27" spans="1:12" x14ac:dyDescent="0.15">
      <c r="A27" s="65"/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spans="1:12" x14ac:dyDescent="0.15">
      <c r="A28" t="s">
        <v>43</v>
      </c>
      <c r="B28" s="41">
        <f>'Income Statement'!L38</f>
        <v>3903</v>
      </c>
      <c r="C28" s="41">
        <f>'Income Statement'!K38</f>
        <v>4198.6000000000004</v>
      </c>
      <c r="D28" s="41">
        <f>'Income Statement'!J38</f>
        <v>4317.5</v>
      </c>
      <c r="E28" s="41">
        <f>'Income Statement'!I38</f>
        <v>5780</v>
      </c>
      <c r="F28" s="41">
        <f>'Income Statement'!H38</f>
        <v>4466.2</v>
      </c>
      <c r="G28" s="41">
        <f>'Income Statement'!G38</f>
        <v>1164.4000000000001</v>
      </c>
      <c r="H28" s="41">
        <f>'Income Statement'!F38</f>
        <v>5356.9</v>
      </c>
      <c r="I28" s="41">
        <f>'Income Statement'!E38</f>
        <v>4231.8999999999996</v>
      </c>
      <c r="J28" s="41">
        <f>'Income Statement'!D38</f>
        <v>5401.9</v>
      </c>
      <c r="K28" s="41">
        <f>'Income Statement'!C38</f>
        <v>4969.6000000000004</v>
      </c>
    </row>
    <row r="29" spans="1:12" x14ac:dyDescent="0.15">
      <c r="A29" t="s">
        <v>279</v>
      </c>
      <c r="B29" s="41">
        <f>'Income Statement'!L39</f>
        <v>1143.7</v>
      </c>
      <c r="C29" s="41">
        <f>'Income Statement'!K39</f>
        <v>1379.7</v>
      </c>
      <c r="D29" s="41">
        <f>'Income Statement'!J39</f>
        <v>1432.6</v>
      </c>
      <c r="E29" s="41">
        <f>'Income Statement'!I39</f>
        <v>1262</v>
      </c>
      <c r="F29" s="41">
        <f>'Income Statement'!H39</f>
        <v>871.6</v>
      </c>
      <c r="G29" s="41">
        <f>'Income Statement'!G39</f>
        <v>239.7</v>
      </c>
      <c r="H29" s="41">
        <f>'Income Statement'!F39</f>
        <v>1156.5999999999999</v>
      </c>
      <c r="I29" s="41">
        <f>'Income Statement'!E39</f>
        <v>948.5</v>
      </c>
      <c r="J29" s="41">
        <f>'Income Statement'!D39</f>
        <v>1277.2</v>
      </c>
      <c r="K29" s="41">
        <f>'Income Statement'!C39</f>
        <v>1207.3</v>
      </c>
    </row>
    <row r="30" spans="1:12" x14ac:dyDescent="0.15">
      <c r="A30" s="65" t="s">
        <v>221</v>
      </c>
      <c r="B30" s="67">
        <f>B29/B28</f>
        <v>0.29303100179349217</v>
      </c>
      <c r="C30" s="67">
        <f t="shared" ref="C30:K30" si="10">C29/C28</f>
        <v>0.32860953651217073</v>
      </c>
      <c r="D30" s="67">
        <f t="shared" si="10"/>
        <v>0.33181239143022578</v>
      </c>
      <c r="E30" s="67">
        <f t="shared" si="10"/>
        <v>0.21833910034602075</v>
      </c>
      <c r="F30" s="67">
        <f t="shared" si="10"/>
        <v>0.19515471765706865</v>
      </c>
      <c r="G30" s="67">
        <f t="shared" si="10"/>
        <v>0.2058570937822054</v>
      </c>
      <c r="H30" s="67">
        <f t="shared" si="10"/>
        <v>0.21590845451660476</v>
      </c>
      <c r="I30" s="67">
        <f t="shared" si="10"/>
        <v>0.22413100498594013</v>
      </c>
      <c r="J30" s="67">
        <f t="shared" si="10"/>
        <v>0.23643532831040934</v>
      </c>
      <c r="K30" s="67">
        <f t="shared" si="10"/>
        <v>0.24293705730843526</v>
      </c>
    </row>
    <row r="31" spans="1:12" x14ac:dyDescent="0.15">
      <c r="A31" s="65"/>
      <c r="B31" s="67"/>
      <c r="C31" s="67"/>
      <c r="D31" s="67"/>
      <c r="E31" s="67"/>
      <c r="F31" s="67"/>
      <c r="G31" s="67"/>
      <c r="H31" s="67"/>
      <c r="I31" s="67"/>
      <c r="J31" s="67"/>
      <c r="K31" s="67"/>
    </row>
    <row r="32" spans="1:12" x14ac:dyDescent="0.15">
      <c r="A32" s="68" t="s">
        <v>232</v>
      </c>
      <c r="B32" s="69">
        <f>B28-B29</f>
        <v>2759.3</v>
      </c>
      <c r="C32" s="69">
        <f t="shared" ref="C32:K32" si="11">C28-C29</f>
        <v>2818.9000000000005</v>
      </c>
      <c r="D32" s="69">
        <f t="shared" si="11"/>
        <v>2884.9</v>
      </c>
      <c r="E32" s="69">
        <f t="shared" si="11"/>
        <v>4518</v>
      </c>
      <c r="F32" s="69">
        <f t="shared" si="11"/>
        <v>3594.6</v>
      </c>
      <c r="G32" s="69">
        <f t="shared" si="11"/>
        <v>924.7</v>
      </c>
      <c r="H32" s="69">
        <f t="shared" si="11"/>
        <v>4200.2999999999993</v>
      </c>
      <c r="I32" s="69">
        <f t="shared" si="11"/>
        <v>3283.3999999999996</v>
      </c>
      <c r="J32" s="69">
        <f t="shared" si="11"/>
        <v>4124.7</v>
      </c>
      <c r="K32" s="69">
        <f t="shared" si="11"/>
        <v>3762.3</v>
      </c>
      <c r="L32" s="27"/>
    </row>
    <row r="33" spans="1:11" x14ac:dyDescent="0.15">
      <c r="A33" s="65" t="s">
        <v>233</v>
      </c>
      <c r="B33" s="67">
        <f>B32/B4</f>
        <v>0.14409855499328936</v>
      </c>
      <c r="C33" s="67">
        <f t="shared" ref="C33:K33" si="12">C32/C4</f>
        <v>0.13227441227535078</v>
      </c>
      <c r="D33" s="67">
        <f t="shared" si="12"/>
        <v>0.12888338887945747</v>
      </c>
      <c r="E33" s="67">
        <f t="shared" si="12"/>
        <v>0.18276772964291926</v>
      </c>
      <c r="F33" s="67">
        <f t="shared" si="12"/>
        <v>0.13563709360944246</v>
      </c>
      <c r="G33" s="67">
        <f t="shared" si="12"/>
        <v>3.9328017012227538E-2</v>
      </c>
      <c r="H33" s="67">
        <f t="shared" si="12"/>
        <v>0.14454485388247276</v>
      </c>
      <c r="I33" s="67">
        <f t="shared" si="12"/>
        <v>0.10187940412618722</v>
      </c>
      <c r="J33" s="67">
        <f t="shared" si="12"/>
        <v>0.11472797062750334</v>
      </c>
      <c r="K33" s="67">
        <f t="shared" si="12"/>
        <v>0.10408044705101251</v>
      </c>
    </row>
    <row r="35" spans="1:11" x14ac:dyDescent="0.15">
      <c r="A35" t="s">
        <v>234</v>
      </c>
      <c r="B35" s="86">
        <f>'Income Statement'!L55</f>
        <v>1485.1</v>
      </c>
      <c r="C35" s="86">
        <f>'Income Statement'!K55</f>
        <v>1460.5</v>
      </c>
      <c r="D35" s="86">
        <f>'Income Statement'!J55</f>
        <v>1431.6</v>
      </c>
      <c r="E35" s="86">
        <f>'Income Statement'!I55</f>
        <v>1309.0999999999999</v>
      </c>
      <c r="F35" s="86">
        <f>'Income Statement'!H55</f>
        <v>1184.5999999999999</v>
      </c>
      <c r="G35" s="86">
        <f>'Income Statement'!G55</f>
        <v>1173.3</v>
      </c>
      <c r="H35" s="86">
        <f>'Income Statement'!F55</f>
        <v>1180</v>
      </c>
      <c r="I35" s="86">
        <f>'Income Statement'!E55</f>
        <v>1147.9000000000001</v>
      </c>
      <c r="J35" s="86">
        <f>'Income Statement'!D55</f>
        <v>1142.5999999999999</v>
      </c>
      <c r="K35" s="86">
        <f>'Income Statement'!C55</f>
        <v>1133.5</v>
      </c>
    </row>
    <row r="37" spans="1:11" x14ac:dyDescent="0.15">
      <c r="A37" t="s">
        <v>235</v>
      </c>
      <c r="B37" s="86">
        <f>'Income Statement'!L53</f>
        <v>1.82</v>
      </c>
      <c r="C37" s="86">
        <f>'Income Statement'!K53</f>
        <v>1.9</v>
      </c>
      <c r="D37" s="86">
        <f>'Income Statement'!J53</f>
        <v>1.97</v>
      </c>
      <c r="E37" s="86">
        <f>'Income Statement'!I53</f>
        <v>3.24</v>
      </c>
      <c r="F37" s="86">
        <f>'Income Statement'!H53</f>
        <v>2.9186000000000001</v>
      </c>
      <c r="G37" s="86">
        <f>'Income Statement'!G53</f>
        <v>0.78549999999999998</v>
      </c>
      <c r="H37" s="86">
        <f>'Income Statement'!F53</f>
        <v>3.5421999999999998</v>
      </c>
      <c r="I37" s="86">
        <f>'Income Statement'!E53</f>
        <v>2.8325999999999998</v>
      </c>
      <c r="J37" s="86">
        <f>'Income Statement'!D53</f>
        <v>3.5825</v>
      </c>
      <c r="K37" s="86">
        <f>'Income Statement'!C53</f>
        <v>3.3069000000000002</v>
      </c>
    </row>
    <row r="38" spans="1:11" x14ac:dyDescent="0.15">
      <c r="A38" s="87" t="s">
        <v>236</v>
      </c>
      <c r="B38" s="87"/>
      <c r="C38" s="87">
        <f>(C37/B37)-1</f>
        <v>4.39560439560438E-2</v>
      </c>
      <c r="D38" s="87">
        <f t="shared" ref="D38:J38" si="13">(D37/C37)-1</f>
        <v>3.6842105263158009E-2</v>
      </c>
      <c r="E38" s="87">
        <f t="shared" si="13"/>
        <v>0.64467005076142136</v>
      </c>
      <c r="F38" s="87">
        <f t="shared" si="13"/>
        <v>-9.9197530864197581E-2</v>
      </c>
      <c r="G38" s="87">
        <f t="shared" si="13"/>
        <v>-0.73086411293085729</v>
      </c>
      <c r="H38" s="87">
        <f t="shared" si="13"/>
        <v>3.509484404837683</v>
      </c>
      <c r="I38" s="87">
        <f t="shared" si="13"/>
        <v>-0.20032748009711476</v>
      </c>
      <c r="J38" s="87">
        <f t="shared" si="13"/>
        <v>0.26473910894584485</v>
      </c>
      <c r="K38" s="87">
        <f>(K37/J37)-1</f>
        <v>-7.692951849267271E-2</v>
      </c>
    </row>
    <row r="39" spans="1:11" x14ac:dyDescent="0.15">
      <c r="A39" t="s">
        <v>312</v>
      </c>
      <c r="B39">
        <f>B40*B35</f>
        <v>950.46399999999994</v>
      </c>
      <c r="C39">
        <f t="shared" ref="C39:K39" si="14">C40*C35</f>
        <v>1168.4000000000001</v>
      </c>
      <c r="D39">
        <f t="shared" si="14"/>
        <v>1431.6</v>
      </c>
      <c r="E39">
        <f t="shared" si="14"/>
        <v>1649.4659999999999</v>
      </c>
      <c r="F39">
        <f t="shared" si="14"/>
        <v>1705.8239999999998</v>
      </c>
      <c r="G39">
        <f t="shared" si="14"/>
        <v>1924.2119999999998</v>
      </c>
      <c r="H39">
        <f t="shared" si="14"/>
        <v>2124</v>
      </c>
      <c r="I39">
        <f t="shared" si="14"/>
        <v>2249.884</v>
      </c>
      <c r="J39">
        <f t="shared" si="14"/>
        <v>2422.3119999999999</v>
      </c>
      <c r="K39">
        <f t="shared" si="14"/>
        <v>2584.3799999999997</v>
      </c>
    </row>
    <row r="40" spans="1:11" x14ac:dyDescent="0.15">
      <c r="A40" t="s">
        <v>237</v>
      </c>
      <c r="B40" s="86">
        <f>'Income Statement'!L57</f>
        <v>0.64</v>
      </c>
      <c r="C40" s="86">
        <f>'Income Statement'!K57</f>
        <v>0.8</v>
      </c>
      <c r="D40" s="86">
        <f>'Income Statement'!J57</f>
        <v>1</v>
      </c>
      <c r="E40" s="86">
        <f>'Income Statement'!I57</f>
        <v>1.26</v>
      </c>
      <c r="F40" s="86">
        <f>'Income Statement'!H57</f>
        <v>1.44</v>
      </c>
      <c r="G40" s="86">
        <f>'Income Statement'!G57</f>
        <v>1.64</v>
      </c>
      <c r="H40" s="86">
        <f>'Income Statement'!F57</f>
        <v>1.8</v>
      </c>
      <c r="I40" s="86">
        <f>'Income Statement'!E57</f>
        <v>1.96</v>
      </c>
      <c r="J40" s="86">
        <f>'Income Statement'!D57</f>
        <v>2.12</v>
      </c>
      <c r="K40" s="86">
        <f>'Income Statement'!C57</f>
        <v>2.2799999999999998</v>
      </c>
    </row>
    <row r="41" spans="1:11" x14ac:dyDescent="0.15">
      <c r="A41" s="67" t="s">
        <v>280</v>
      </c>
      <c r="B41" s="67">
        <f>(B40*B35)/B32</f>
        <v>0.34445837712463301</v>
      </c>
      <c r="C41" s="67">
        <f t="shared" ref="C41:I41" si="15">(C40*C35)/C32</f>
        <v>0.41448792082017805</v>
      </c>
      <c r="D41" s="67">
        <f t="shared" si="15"/>
        <v>0.49623903774827544</v>
      </c>
      <c r="E41" s="67">
        <f t="shared" si="15"/>
        <v>0.36508764940239041</v>
      </c>
      <c r="F41" s="67">
        <f t="shared" si="15"/>
        <v>0.47455182774161236</v>
      </c>
      <c r="G41" s="67">
        <f t="shared" si="15"/>
        <v>2.0809040769979448</v>
      </c>
      <c r="H41" s="67">
        <f t="shared" si="15"/>
        <v>0.5056781658452969</v>
      </c>
      <c r="I41" s="67">
        <f t="shared" si="15"/>
        <v>0.68522994456965347</v>
      </c>
      <c r="J41" s="67">
        <f>(J40*J35)/J32</f>
        <v>0.58726986205057341</v>
      </c>
      <c r="K41" s="67">
        <f t="shared" ref="K41" si="16">(K40*K35)/K32</f>
        <v>0.6869149190654652</v>
      </c>
    </row>
    <row r="42" spans="1:11" x14ac:dyDescent="0.15">
      <c r="A42" s="65" t="s">
        <v>281</v>
      </c>
      <c r="B42" s="67">
        <f>1-B41</f>
        <v>0.65554162287536699</v>
      </c>
      <c r="C42" s="67">
        <f t="shared" ref="C42:K42" si="17">1-C41</f>
        <v>0.58551207917982195</v>
      </c>
      <c r="D42" s="67">
        <f t="shared" si="17"/>
        <v>0.50376096225172451</v>
      </c>
      <c r="E42" s="67">
        <f t="shared" si="17"/>
        <v>0.63491235059760953</v>
      </c>
      <c r="F42" s="67">
        <f t="shared" si="17"/>
        <v>0.52544817225838769</v>
      </c>
      <c r="G42" s="67">
        <f t="shared" si="17"/>
        <v>-1.0809040769979448</v>
      </c>
      <c r="H42" s="67">
        <f t="shared" si="17"/>
        <v>0.4943218341547031</v>
      </c>
      <c r="I42" s="67">
        <f t="shared" si="17"/>
        <v>0.31477005543034653</v>
      </c>
      <c r="J42" s="67">
        <f t="shared" si="17"/>
        <v>0.41273013794942659</v>
      </c>
      <c r="K42" s="67">
        <f t="shared" si="17"/>
        <v>0.3130850809345348</v>
      </c>
    </row>
    <row r="43" spans="1:11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</row>
    <row r="44" spans="1:11" x14ac:dyDescent="0.15">
      <c r="A44" t="s">
        <v>315</v>
      </c>
      <c r="B44" s="41">
        <f>BS!K25</f>
        <v>3971</v>
      </c>
      <c r="C44" s="41">
        <f>BS!J25</f>
        <v>4757.8999999999996</v>
      </c>
      <c r="D44" s="41">
        <f>BS!I25</f>
        <v>5283.4</v>
      </c>
      <c r="E44" s="41">
        <f>BS!H25</f>
        <v>12494.2</v>
      </c>
      <c r="F44" s="41">
        <f>BS!G25</f>
        <v>5653.9</v>
      </c>
      <c r="G44" s="41">
        <f>BS!F25</f>
        <v>7806.4</v>
      </c>
      <c r="H44" s="41">
        <f>BS!E25</f>
        <v>9756.4</v>
      </c>
      <c r="I44" s="41">
        <f>BS!D25</f>
        <v>7018.7</v>
      </c>
      <c r="J44" s="41">
        <f>BS!C25</f>
        <v>7303.4</v>
      </c>
      <c r="K44" s="41">
        <f>BS!B25</f>
        <v>6847.4</v>
      </c>
    </row>
    <row r="45" spans="1:11" x14ac:dyDescent="0.15">
      <c r="A45" t="s">
        <v>314</v>
      </c>
      <c r="B45" s="41">
        <f>BS!K45</f>
        <v>12416.3</v>
      </c>
      <c r="C45" s="41">
        <f>BS!J45</f>
        <v>14312.5</v>
      </c>
      <c r="D45" s="41">
        <f>BS!I45</f>
        <v>14365.6</v>
      </c>
      <c r="E45" s="41">
        <f>BS!H45</f>
        <v>24156.400000000001</v>
      </c>
      <c r="F45" s="41">
        <f>BS!G45</f>
        <v>19219.599999999999</v>
      </c>
      <c r="G45" s="41">
        <f>BS!F45</f>
        <v>29374.5</v>
      </c>
      <c r="H45" s="41">
        <f>BS!E45</f>
        <v>31392.6</v>
      </c>
      <c r="I45" s="41">
        <f>BS!D45</f>
        <v>27978.400000000001</v>
      </c>
      <c r="J45" s="41">
        <f>BS!C45</f>
        <v>29445.5</v>
      </c>
      <c r="K45" s="41">
        <f>BS!B45</f>
        <v>31339.3</v>
      </c>
    </row>
    <row r="46" spans="1:11" x14ac:dyDescent="0.15">
      <c r="A46" t="s">
        <v>316</v>
      </c>
      <c r="B46" s="41">
        <f>BS!K55</f>
        <v>3648.1</v>
      </c>
      <c r="C46" s="41">
        <f>BS!J55</f>
        <v>4546.8</v>
      </c>
      <c r="D46" s="41">
        <f>BS!I55</f>
        <v>4220.7</v>
      </c>
      <c r="E46" s="41">
        <f>BS!H55</f>
        <v>5684.2</v>
      </c>
      <c r="F46" s="41">
        <f>BS!G55</f>
        <v>6168.7</v>
      </c>
      <c r="G46" s="41">
        <f>BS!F55</f>
        <v>7346.8</v>
      </c>
      <c r="H46" s="41">
        <f>BS!E55</f>
        <v>8151.4</v>
      </c>
      <c r="I46" s="41">
        <f>BS!D55</f>
        <v>9151.7999999999993</v>
      </c>
      <c r="J46" s="41">
        <f>BS!C55</f>
        <v>9345.2999999999993</v>
      </c>
      <c r="K46" s="41">
        <f>BS!B55</f>
        <v>9070</v>
      </c>
    </row>
    <row r="47" spans="1:11" x14ac:dyDescent="0.15">
      <c r="A47" t="s">
        <v>133</v>
      </c>
      <c r="B47" s="41">
        <f>BS!K76</f>
        <v>5819.8</v>
      </c>
      <c r="C47" s="41">
        <f>BS!J76</f>
        <v>5890.7</v>
      </c>
      <c r="D47" s="41">
        <f>BS!I76</f>
        <v>5457</v>
      </c>
      <c r="E47" s="41">
        <f>BS!H76</f>
        <v>1175.8</v>
      </c>
      <c r="F47" s="41">
        <f>BS!G76</f>
        <v>-6231</v>
      </c>
      <c r="G47" s="41">
        <f>BS!F76</f>
        <v>-7799.4</v>
      </c>
      <c r="H47" s="41">
        <f>BS!E76</f>
        <v>-5314.5</v>
      </c>
      <c r="I47" s="41">
        <f>BS!D76</f>
        <v>-8698.7000000000007</v>
      </c>
      <c r="J47" s="41">
        <f>BS!C76</f>
        <v>-7987.8</v>
      </c>
      <c r="K47" s="41">
        <f>BS!B76</f>
        <v>-7441.6</v>
      </c>
    </row>
    <row r="48" spans="1:11" x14ac:dyDescent="0.15">
      <c r="A48" t="s">
        <v>387</v>
      </c>
      <c r="B48" s="41">
        <f>BS!K20</f>
        <v>1306.4000000000001</v>
      </c>
      <c r="C48" s="41">
        <f>BS!J20</f>
        <v>1378.5</v>
      </c>
      <c r="D48" s="41">
        <f>BS!I20</f>
        <v>1364</v>
      </c>
      <c r="E48" s="41">
        <f>BS!H20</f>
        <v>1400.5</v>
      </c>
      <c r="F48" s="41">
        <f>BS!G20</f>
        <v>1529.4</v>
      </c>
      <c r="G48" s="41">
        <f>BS!F20</f>
        <v>1551.4</v>
      </c>
      <c r="H48" s="41">
        <f>BS!E20</f>
        <v>1603.9</v>
      </c>
      <c r="I48" s="41">
        <f>BS!D20</f>
        <v>2176.6</v>
      </c>
      <c r="J48" s="41">
        <f>BS!C20</f>
        <v>1806.4</v>
      </c>
      <c r="K48" s="41">
        <f>BS!B20</f>
        <v>1777.3</v>
      </c>
    </row>
    <row r="49" spans="1:11" x14ac:dyDescent="0.15">
      <c r="A49" t="s">
        <v>140</v>
      </c>
      <c r="B49" s="41">
        <f>BS!K84</f>
        <v>2347.5</v>
      </c>
      <c r="C49" s="41">
        <f>BS!J84</f>
        <v>3585.2</v>
      </c>
      <c r="D49" s="41">
        <f>BS!I84</f>
        <v>3991.7</v>
      </c>
      <c r="E49" s="41">
        <f>BS!H84</f>
        <v>9498.1</v>
      </c>
      <c r="F49" s="41">
        <f>BS!G84</f>
        <v>11234.9</v>
      </c>
      <c r="G49" s="41">
        <f>BS!F84</f>
        <v>25326.7</v>
      </c>
      <c r="H49" s="41">
        <f>BS!E84</f>
        <v>23605.1</v>
      </c>
      <c r="I49" s="41">
        <f>BS!D84</f>
        <v>23804.799999999999</v>
      </c>
      <c r="J49" s="41">
        <f>BS!C84</f>
        <v>24599.8</v>
      </c>
      <c r="K49" s="41">
        <f>BS!B84</f>
        <v>25803.1</v>
      </c>
    </row>
    <row r="50" spans="1:11" x14ac:dyDescent="0.15">
      <c r="A50" t="s">
        <v>388</v>
      </c>
      <c r="B50" s="41">
        <f>BS!K26+BS!K35</f>
        <v>9641.7999999999993</v>
      </c>
      <c r="C50" s="41">
        <f>BS!J26+BS!J35</f>
        <v>10573.3</v>
      </c>
      <c r="D50" s="41">
        <f>BS!I26+BS!I35</f>
        <v>11584</v>
      </c>
      <c r="E50" s="41">
        <f>BS!H26+BS!H35</f>
        <v>13197.1</v>
      </c>
      <c r="F50" s="41">
        <f>BS!G26+BS!G35</f>
        <v>14273.5</v>
      </c>
      <c r="G50" s="41">
        <f>BS!F26+BS!F35</f>
        <v>22289.4</v>
      </c>
      <c r="H50" s="41">
        <f>BS!E26+BS!E35</f>
        <v>23064.799999999999</v>
      </c>
      <c r="I50" s="41">
        <f>BS!D26+BS!D35</f>
        <v>23625.4</v>
      </c>
      <c r="J50" s="41">
        <f>BS!C26+BS!C35</f>
        <v>25722.800000000003</v>
      </c>
      <c r="K50" s="41">
        <f>BS!B26+BS!B35</f>
        <v>28727.200000000001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9AA0-D5D4-2B40-B611-15C2C708ADB1}">
  <sheetPr>
    <tabColor rgb="FF188C51"/>
  </sheetPr>
  <dimension ref="A1:I68"/>
  <sheetViews>
    <sheetView topLeftCell="A33" zoomScale="90" zoomScaleNormal="90" workbookViewId="0">
      <selection activeCell="A16" sqref="A16"/>
    </sheetView>
  </sheetViews>
  <sheetFormatPr baseColWidth="10" defaultRowHeight="13" x14ac:dyDescent="0.15"/>
  <cols>
    <col min="1" max="1" width="43.83203125" customWidth="1"/>
    <col min="2" max="4" width="14.6640625" bestFit="1" customWidth="1"/>
    <col min="5" max="5" width="11.6640625" bestFit="1" customWidth="1"/>
  </cols>
  <sheetData>
    <row r="1" spans="1:9" ht="23" x14ac:dyDescent="0.25">
      <c r="A1" s="110" t="s">
        <v>317</v>
      </c>
      <c r="B1" s="97" t="s">
        <v>325</v>
      </c>
      <c r="C1" s="97" t="s">
        <v>326</v>
      </c>
      <c r="D1" s="97" t="s">
        <v>327</v>
      </c>
      <c r="E1" s="51" t="s">
        <v>328</v>
      </c>
      <c r="F1" s="51" t="s">
        <v>329</v>
      </c>
      <c r="G1" s="51" t="s">
        <v>330</v>
      </c>
      <c r="H1" s="51" t="s">
        <v>331</v>
      </c>
      <c r="I1" s="51" t="s">
        <v>332</v>
      </c>
    </row>
    <row r="3" spans="1:9" x14ac:dyDescent="0.15">
      <c r="A3" s="51" t="s">
        <v>334</v>
      </c>
      <c r="B3" s="51"/>
      <c r="C3" s="51"/>
      <c r="D3" s="51"/>
      <c r="E3" s="51"/>
      <c r="F3" s="51"/>
      <c r="G3" s="51"/>
      <c r="H3" s="51"/>
      <c r="I3" s="51"/>
    </row>
    <row r="4" spans="1:9" x14ac:dyDescent="0.15">
      <c r="A4" t="s">
        <v>238</v>
      </c>
    </row>
    <row r="5" spans="1:9" x14ac:dyDescent="0.15">
      <c r="A5" t="s">
        <v>335</v>
      </c>
      <c r="B5" s="80">
        <f>'Historical data'!I5</f>
        <v>0.1090719506655471</v>
      </c>
      <c r="C5" s="80">
        <f>'Historical data'!J5</f>
        <v>0.11554130996670631</v>
      </c>
      <c r="D5" s="80">
        <f>'Historical data'!K5</f>
        <v>5.451713395638629E-3</v>
      </c>
      <c r="E5" s="116">
        <v>0.06</v>
      </c>
      <c r="F5" s="116">
        <v>6.5000000000000002E-2</v>
      </c>
      <c r="G5" s="116">
        <v>7.0000000000000007E-2</v>
      </c>
      <c r="H5" s="116">
        <v>6.5000000000000002E-2</v>
      </c>
      <c r="I5" s="116">
        <v>0.06</v>
      </c>
    </row>
    <row r="6" spans="1:9" x14ac:dyDescent="0.15">
      <c r="A6" t="s">
        <v>336</v>
      </c>
      <c r="B6" s="80">
        <f>'Historical data'!I8</f>
        <v>0.80423106400275535</v>
      </c>
      <c r="C6" s="80">
        <f>'Historical data'!J8</f>
        <v>0.78260736537605691</v>
      </c>
      <c r="D6" s="80">
        <f>'Historical data'!K8</f>
        <v>0.78815702113533248</v>
      </c>
      <c r="E6" s="116">
        <v>0.78500000000000003</v>
      </c>
      <c r="F6" s="116">
        <v>0.78200000000000003</v>
      </c>
      <c r="G6" s="116">
        <v>0.78</v>
      </c>
      <c r="H6" s="116">
        <v>0.77800000000000002</v>
      </c>
      <c r="I6" s="116">
        <v>0.77500000000000002</v>
      </c>
    </row>
    <row r="7" spans="1:9" x14ac:dyDescent="0.15">
      <c r="A7" t="s">
        <v>337</v>
      </c>
      <c r="B7" s="80">
        <f>'Historical data'!I14</f>
        <v>6.3050176397762211E-2</v>
      </c>
      <c r="C7" s="80">
        <f>'Historical data'!J14</f>
        <v>6.7904428126390748E-2</v>
      </c>
      <c r="D7" s="80">
        <f>'Historical data'!K14</f>
        <v>6.9804691822507481E-2</v>
      </c>
      <c r="E7" s="116">
        <v>7.0000000000000007E-2</v>
      </c>
      <c r="F7" s="116">
        <v>6.9000000000000006E-2</v>
      </c>
      <c r="G7" s="116">
        <v>6.8000000000000005E-2</v>
      </c>
      <c r="H7" s="116">
        <v>6.7000000000000004E-2</v>
      </c>
      <c r="I7" s="116">
        <v>6.6000000000000003E-2</v>
      </c>
    </row>
    <row r="8" spans="1:9" x14ac:dyDescent="0.15">
      <c r="A8" t="s">
        <v>338</v>
      </c>
      <c r="B8" s="80">
        <f>'Historical data'!I23</f>
        <v>9.3926766227197839E-2</v>
      </c>
      <c r="C8" s="80">
        <f>'Historical data'!J23</f>
        <v>4.0339897641299506E-2</v>
      </c>
      <c r="D8" s="80">
        <f>'Historical data'!K23</f>
        <v>4.4052229722252964E-2</v>
      </c>
      <c r="E8" s="116">
        <v>4.2999999999999997E-2</v>
      </c>
      <c r="F8" s="116">
        <v>4.2000000000000003E-2</v>
      </c>
      <c r="G8" s="116">
        <v>4.1000000000000002E-2</v>
      </c>
      <c r="H8" s="116">
        <v>0.04</v>
      </c>
      <c r="I8" s="116">
        <v>3.9E-2</v>
      </c>
    </row>
    <row r="9" spans="1:9" x14ac:dyDescent="0.15">
      <c r="A9" t="s">
        <v>339</v>
      </c>
      <c r="B9" s="80">
        <f>B30</f>
        <v>0.22413100498594013</v>
      </c>
      <c r="C9" s="80">
        <f>C30</f>
        <v>0.23643532831040934</v>
      </c>
      <c r="D9" s="80">
        <f>D30</f>
        <v>0.24293705730843526</v>
      </c>
      <c r="E9" s="117">
        <v>0.24</v>
      </c>
      <c r="F9" s="117">
        <v>0.24</v>
      </c>
      <c r="G9" s="117">
        <v>0.24</v>
      </c>
      <c r="H9" s="117">
        <v>0.24</v>
      </c>
      <c r="I9" s="117">
        <v>0.24</v>
      </c>
    </row>
    <row r="10" spans="1:9" x14ac:dyDescent="0.15">
      <c r="A10" t="s">
        <v>395</v>
      </c>
      <c r="B10" s="64">
        <f>'Historical data'!I20</f>
        <v>1.5427434894176858E-2</v>
      </c>
      <c r="C10" s="64">
        <f>'Historical data'!J20</f>
        <v>1.532599020916778E-2</v>
      </c>
      <c r="D10" s="64">
        <f>'Historical data'!K20</f>
        <v>1.6504370919552949E-2</v>
      </c>
      <c r="E10" s="118">
        <v>0.02</v>
      </c>
      <c r="F10" s="118">
        <v>0.02</v>
      </c>
      <c r="G10" s="118">
        <v>0.02</v>
      </c>
      <c r="H10" s="118">
        <v>0.02</v>
      </c>
      <c r="I10" s="118">
        <v>0.02</v>
      </c>
    </row>
    <row r="11" spans="1:9" x14ac:dyDescent="0.15">
      <c r="A11" t="s">
        <v>396</v>
      </c>
      <c r="B11" s="64">
        <f>-(BS!D12/BS!E12-1)</f>
        <v>0.51904682754348053</v>
      </c>
      <c r="C11" s="64">
        <f>C34/B34-1</f>
        <v>0.2419491658550379</v>
      </c>
      <c r="D11" s="64">
        <f>-(D34/C34-1)</f>
        <v>0.10366810017708072</v>
      </c>
      <c r="E11" s="118">
        <v>0.13</v>
      </c>
      <c r="F11" s="118">
        <v>0.15</v>
      </c>
      <c r="G11" s="118">
        <v>0.12</v>
      </c>
      <c r="H11" s="118">
        <v>0.11</v>
      </c>
      <c r="I11" s="118">
        <v>0.11</v>
      </c>
    </row>
    <row r="12" spans="1:9" x14ac:dyDescent="0.15">
      <c r="A12" t="s">
        <v>340</v>
      </c>
      <c r="B12" s="64">
        <f>-B60/B20</f>
        <v>5.7133016634448607E-2</v>
      </c>
      <c r="C12" s="64">
        <f>-C60/C20</f>
        <v>6.490876724521584E-2</v>
      </c>
      <c r="D12" s="64">
        <f>-D60/D20</f>
        <v>7.683689277415072E-2</v>
      </c>
      <c r="E12" s="118">
        <v>0.06</v>
      </c>
      <c r="F12" s="124">
        <v>6.5000000000000002E-2</v>
      </c>
      <c r="G12" s="118">
        <v>7.0000000000000007E-2</v>
      </c>
      <c r="H12" s="124">
        <v>6.5000000000000002E-2</v>
      </c>
      <c r="I12" s="124">
        <v>7.4999999999999997E-2</v>
      </c>
    </row>
    <row r="13" spans="1:9" x14ac:dyDescent="0.15">
      <c r="A13" t="s">
        <v>341</v>
      </c>
      <c r="B13" s="63">
        <f>B24/B38</f>
        <v>0.2076755785155151</v>
      </c>
      <c r="C13" s="63">
        <f>C24/C38</f>
        <v>9.1792882143331825E-2</v>
      </c>
      <c r="D13" s="63">
        <f>D24/D38</f>
        <v>8.8704690920637042E-2</v>
      </c>
      <c r="E13" s="118">
        <v>0.1</v>
      </c>
      <c r="F13" s="124">
        <v>9.5000000000000001E-2</v>
      </c>
      <c r="G13" s="118">
        <v>0.08</v>
      </c>
      <c r="H13" s="118">
        <v>0.09</v>
      </c>
      <c r="I13" s="124">
        <v>0.105</v>
      </c>
    </row>
    <row r="14" spans="1:9" x14ac:dyDescent="0.15">
      <c r="A14" t="s">
        <v>342</v>
      </c>
      <c r="B14" s="123">
        <f>(B35/B20)*365</f>
        <v>13.313066466428575</v>
      </c>
      <c r="C14" s="123">
        <f>(C35/C20)*365</f>
        <v>12.021486982643525</v>
      </c>
      <c r="D14" s="123">
        <f>(D35/D20)*365</f>
        <v>12.256196746707976</v>
      </c>
      <c r="E14" s="119">
        <v>13</v>
      </c>
      <c r="F14" s="119">
        <v>12</v>
      </c>
      <c r="G14" s="119">
        <v>14</v>
      </c>
      <c r="H14" s="119">
        <v>15</v>
      </c>
      <c r="I14" s="119">
        <v>13</v>
      </c>
    </row>
    <row r="15" spans="1:9" x14ac:dyDescent="0.15">
      <c r="A15" t="s">
        <v>343</v>
      </c>
      <c r="B15" s="123">
        <f>(B36/B20)*365</f>
        <v>24.650974454128825</v>
      </c>
      <c r="C15" s="123">
        <f>(C36/C20)*365</f>
        <v>18.339341344014244</v>
      </c>
      <c r="D15" s="123">
        <f>(D36/D20)*365</f>
        <v>17.946068938807123</v>
      </c>
      <c r="E15" s="119">
        <v>20</v>
      </c>
      <c r="F15" s="119">
        <v>19</v>
      </c>
      <c r="G15" s="119">
        <v>21</v>
      </c>
      <c r="H15" s="119">
        <v>18</v>
      </c>
      <c r="I15" s="119">
        <v>22</v>
      </c>
    </row>
    <row r="16" spans="1:9" x14ac:dyDescent="0.15">
      <c r="A16" t="s">
        <v>344</v>
      </c>
      <c r="B16" s="123">
        <f>(B42/B20)*365</f>
        <v>16.324503619489704</v>
      </c>
      <c r="C16" s="123">
        <f>(C42/C20)*365</f>
        <v>15.678390631953715</v>
      </c>
      <c r="D16" s="123">
        <f>(D42/D20)*365</f>
        <v>16.110365718711961</v>
      </c>
      <c r="E16" s="119">
        <v>17</v>
      </c>
      <c r="F16" s="119">
        <v>18</v>
      </c>
      <c r="G16" s="119">
        <v>16</v>
      </c>
      <c r="H16" s="119">
        <v>15</v>
      </c>
      <c r="I16" s="119">
        <v>16</v>
      </c>
    </row>
    <row r="17" spans="1:9" x14ac:dyDescent="0.15">
      <c r="A17" t="s">
        <v>345</v>
      </c>
      <c r="B17" s="64">
        <f>-CFS!E40/CFS!E12</f>
        <v>0.68931595297557413</v>
      </c>
      <c r="C17" s="64">
        <f>-CFS!D40/CFS!D12</f>
        <v>0.58957015055640416</v>
      </c>
      <c r="D17" s="64">
        <f>-CFS!C40/CFS!C12</f>
        <v>0.68707971187837225</v>
      </c>
      <c r="E17" s="118">
        <v>0.68</v>
      </c>
      <c r="F17" s="118">
        <v>0.65500000000000003</v>
      </c>
      <c r="G17" s="124">
        <v>0.64</v>
      </c>
      <c r="H17" s="124">
        <v>0.59</v>
      </c>
      <c r="I17" s="118">
        <v>0.65</v>
      </c>
    </row>
    <row r="18" spans="1:9" x14ac:dyDescent="0.15">
      <c r="A18" t="s">
        <v>346</v>
      </c>
      <c r="B18" s="86">
        <f>'Income Statement'!E55</f>
        <v>1147.9000000000001</v>
      </c>
      <c r="C18" s="86">
        <f>'Income Statement'!D55</f>
        <v>1142.5999999999999</v>
      </c>
      <c r="D18" s="86">
        <f>'Income Statement'!C55</f>
        <v>1133.5</v>
      </c>
      <c r="E18" s="125">
        <v>1132.5</v>
      </c>
      <c r="F18" s="125">
        <v>1129.5</v>
      </c>
      <c r="G18" s="125">
        <v>1120</v>
      </c>
      <c r="H18" s="125">
        <v>1117</v>
      </c>
      <c r="I18" s="125">
        <v>1095.5</v>
      </c>
    </row>
    <row r="19" spans="1:9" x14ac:dyDescent="0.15">
      <c r="A19" s="51" t="s">
        <v>323</v>
      </c>
      <c r="B19" s="50"/>
      <c r="C19" s="50"/>
      <c r="D19" s="50"/>
      <c r="E19" s="50"/>
      <c r="F19" s="50"/>
      <c r="G19" s="50"/>
      <c r="H19" s="50"/>
      <c r="I19" s="50"/>
    </row>
    <row r="20" spans="1:9" x14ac:dyDescent="0.15">
      <c r="A20" t="s">
        <v>324</v>
      </c>
      <c r="B20" s="122">
        <f>'Historical data'!I4</f>
        <v>32228.3</v>
      </c>
      <c r="C20" s="122">
        <f>'Historical data'!J4</f>
        <v>35952</v>
      </c>
      <c r="D20" s="122">
        <f>'Historical data'!K4</f>
        <v>36148</v>
      </c>
      <c r="E20" s="121">
        <f>D20*(1+E5)</f>
        <v>38316.880000000005</v>
      </c>
      <c r="F20" s="121">
        <f>E20*(1+F5)</f>
        <v>40807.477200000001</v>
      </c>
      <c r="G20" s="121">
        <f>F20*(1+G5)</f>
        <v>43664.000604000001</v>
      </c>
      <c r="H20" s="121">
        <f>G20*(1+H5)</f>
        <v>46502.160643260002</v>
      </c>
      <c r="I20" s="121">
        <f>H20*(1+I5)</f>
        <v>49292.290281855603</v>
      </c>
    </row>
    <row r="21" spans="1:9" x14ac:dyDescent="0.15">
      <c r="A21" t="s">
        <v>212</v>
      </c>
      <c r="B21" s="122">
        <f>'Historical data'!I7</f>
        <v>25919</v>
      </c>
      <c r="C21" s="122">
        <f>'Historical data'!J7</f>
        <v>28136.3</v>
      </c>
      <c r="D21" s="122">
        <f>'Historical data'!K7</f>
        <v>28490.3</v>
      </c>
      <c r="E21" s="121">
        <f>E20*E6</f>
        <v>30078.750800000005</v>
      </c>
      <c r="F21" s="121">
        <f>F20*F6</f>
        <v>31911.447170400003</v>
      </c>
      <c r="G21" s="121">
        <f>G20*G6</f>
        <v>34057.92047112</v>
      </c>
      <c r="H21" s="121">
        <f>H20*H6</f>
        <v>36178.68098045628</v>
      </c>
      <c r="I21" s="121">
        <f>I20*I6</f>
        <v>38201.524968438091</v>
      </c>
    </row>
    <row r="22" spans="1:9" x14ac:dyDescent="0.15">
      <c r="A22" t="s">
        <v>214</v>
      </c>
      <c r="B22" s="122">
        <f>B20-B21</f>
        <v>6309.2999999999993</v>
      </c>
      <c r="C22" s="122">
        <f t="shared" ref="C22:D22" si="0">C20-C21</f>
        <v>7815.7000000000007</v>
      </c>
      <c r="D22" s="122">
        <f t="shared" si="0"/>
        <v>7657.7000000000007</v>
      </c>
      <c r="E22" s="121">
        <f>E20-E21</f>
        <v>8238.1291999999994</v>
      </c>
      <c r="F22" s="121">
        <f t="shared" ref="F22:I22" si="1">F20-F21</f>
        <v>8896.0300295999987</v>
      </c>
      <c r="G22" s="121">
        <f t="shared" si="1"/>
        <v>9606.0801328800007</v>
      </c>
      <c r="H22" s="121">
        <f t="shared" si="1"/>
        <v>10323.479662803722</v>
      </c>
      <c r="I22" s="121">
        <f t="shared" si="1"/>
        <v>11090.765313417513</v>
      </c>
    </row>
    <row r="23" spans="1:9" x14ac:dyDescent="0.15">
      <c r="A23" t="s">
        <v>318</v>
      </c>
      <c r="B23" s="122">
        <f>'Historical data'!I13</f>
        <v>2032</v>
      </c>
      <c r="C23" s="122">
        <f>'Historical data'!J13</f>
        <v>2441.3000000000002</v>
      </c>
      <c r="D23" s="122">
        <f>'Historical data'!K13</f>
        <v>2523.3000000000002</v>
      </c>
      <c r="E23" s="121">
        <f>E20*E7</f>
        <v>2682.1816000000008</v>
      </c>
      <c r="F23" s="121">
        <f>F20*F7</f>
        <v>2815.7159268000005</v>
      </c>
      <c r="G23" s="121">
        <f>G20*G7</f>
        <v>2969.1520410720004</v>
      </c>
      <c r="H23" s="121">
        <f>H20*H7</f>
        <v>3115.6447630984203</v>
      </c>
      <c r="I23" s="121">
        <f>I20*I7</f>
        <v>3253.2911586024697</v>
      </c>
    </row>
    <row r="24" spans="1:9" x14ac:dyDescent="0.15">
      <c r="A24" t="s">
        <v>333</v>
      </c>
      <c r="B24" s="122">
        <f>'Historical data'!I22</f>
        <v>3027.1</v>
      </c>
      <c r="C24" s="122">
        <f>'Historical data'!J22</f>
        <v>1450.3</v>
      </c>
      <c r="D24" s="122">
        <f>'Historical data'!K22</f>
        <v>1592.4</v>
      </c>
      <c r="E24" s="121">
        <f>E20*E8</f>
        <v>1647.6258400000002</v>
      </c>
      <c r="F24" s="121">
        <f>F20*F8</f>
        <v>1713.9140424000002</v>
      </c>
      <c r="G24" s="121">
        <f>G20*G8</f>
        <v>1790.2240247640002</v>
      </c>
      <c r="H24" s="121">
        <f>H20*H8</f>
        <v>1860.0864257304002</v>
      </c>
      <c r="I24" s="121">
        <f>I20*I8</f>
        <v>1922.3993209923685</v>
      </c>
    </row>
    <row r="25" spans="1:9" x14ac:dyDescent="0.15">
      <c r="A25" t="s">
        <v>319</v>
      </c>
      <c r="B25" s="122">
        <f>'Historical data'!I25</f>
        <v>4277.2999999999993</v>
      </c>
      <c r="C25" s="122">
        <f>'Historical data'!J25</f>
        <v>5374.4000000000005</v>
      </c>
      <c r="D25" s="122">
        <f>'Historical data'!K25</f>
        <v>5134.4000000000005</v>
      </c>
      <c r="E25" s="121">
        <f>E22-E23-E24</f>
        <v>3908.3217599999984</v>
      </c>
      <c r="F25" s="121">
        <f t="shared" ref="F25:H25" si="2">F22-F23-F24</f>
        <v>4366.4000603999975</v>
      </c>
      <c r="G25" s="121">
        <f t="shared" si="2"/>
        <v>4846.7040670440001</v>
      </c>
      <c r="H25" s="121">
        <f t="shared" si="2"/>
        <v>5347.7484739749016</v>
      </c>
      <c r="I25" s="121">
        <f>I22-I23-I24</f>
        <v>5915.0748338226749</v>
      </c>
    </row>
    <row r="26" spans="1:9" x14ac:dyDescent="0.15">
      <c r="A26" t="s">
        <v>217</v>
      </c>
      <c r="B26" s="122">
        <f>'Historical data'!I19</f>
        <v>497.2</v>
      </c>
      <c r="C26" s="122">
        <f>'Historical data'!J19</f>
        <v>551</v>
      </c>
      <c r="D26" s="122">
        <f>'Historical data'!K19</f>
        <v>596.6</v>
      </c>
      <c r="E26" s="121">
        <f>E25*E10</f>
        <v>78.166435199999967</v>
      </c>
      <c r="F26" s="121">
        <f>F25*F10</f>
        <v>87.328001207999947</v>
      </c>
      <c r="G26" s="121">
        <f>G25*G10</f>
        <v>96.934081340879999</v>
      </c>
      <c r="H26" s="121">
        <f>H25*H10</f>
        <v>106.95496947949803</v>
      </c>
      <c r="I26" s="121">
        <f>I25*I10</f>
        <v>118.3014966764535</v>
      </c>
    </row>
    <row r="27" spans="1:9" x14ac:dyDescent="0.15">
      <c r="A27" t="s">
        <v>320</v>
      </c>
      <c r="B27" s="122">
        <f>B25-B26</f>
        <v>3780.0999999999995</v>
      </c>
      <c r="C27" s="122">
        <f t="shared" ref="C27:D27" si="3">C25-C26</f>
        <v>4823.4000000000005</v>
      </c>
      <c r="D27" s="122">
        <f t="shared" si="3"/>
        <v>4537.8</v>
      </c>
      <c r="E27" s="121">
        <f>E25-E26</f>
        <v>3830.1553247999987</v>
      </c>
      <c r="F27" s="121">
        <f t="shared" ref="F27:H27" si="4">F25-F26</f>
        <v>4279.0720591919971</v>
      </c>
      <c r="G27" s="121">
        <f t="shared" si="4"/>
        <v>4749.7699857031203</v>
      </c>
      <c r="H27" s="121">
        <f t="shared" si="4"/>
        <v>5240.7935044954038</v>
      </c>
      <c r="I27" s="121">
        <f>I25-I26</f>
        <v>5796.7733371462218</v>
      </c>
    </row>
    <row r="28" spans="1:9" x14ac:dyDescent="0.15">
      <c r="A28" t="s">
        <v>321</v>
      </c>
      <c r="B28" s="122">
        <f>'Historical data'!I29</f>
        <v>948.5</v>
      </c>
      <c r="C28" s="122">
        <f>'Historical data'!J29</f>
        <v>1277.2</v>
      </c>
      <c r="D28" s="122">
        <f>'Historical data'!K29</f>
        <v>1207.3</v>
      </c>
      <c r="E28" s="121">
        <f>E27*E9</f>
        <v>919.23727795199966</v>
      </c>
      <c r="F28" s="121">
        <f>F27*F9</f>
        <v>1026.9772942060793</v>
      </c>
      <c r="G28" s="121">
        <f>G27*G9</f>
        <v>1139.9447965687489</v>
      </c>
      <c r="H28" s="121">
        <f>H27*H9</f>
        <v>1257.7904410788969</v>
      </c>
      <c r="I28" s="121">
        <f>I27*I9</f>
        <v>1391.2256009150931</v>
      </c>
    </row>
    <row r="29" spans="1:9" x14ac:dyDescent="0.15">
      <c r="A29" t="s">
        <v>51</v>
      </c>
      <c r="B29" s="122">
        <f>'Historical data'!I32</f>
        <v>3283.3999999999996</v>
      </c>
      <c r="C29" s="122">
        <f>'Historical data'!J32</f>
        <v>4124.7</v>
      </c>
      <c r="D29" s="122">
        <f>'Historical data'!K32</f>
        <v>3762.3</v>
      </c>
      <c r="E29" s="121">
        <f>E27-E28</f>
        <v>2910.918046847999</v>
      </c>
      <c r="F29" s="121">
        <f t="shared" ref="F29:H29" si="5">F27-F28</f>
        <v>3252.0947649859181</v>
      </c>
      <c r="G29" s="121">
        <f t="shared" si="5"/>
        <v>3609.8251891343716</v>
      </c>
      <c r="H29" s="121">
        <f t="shared" si="5"/>
        <v>3983.0030634165068</v>
      </c>
      <c r="I29" s="121">
        <f>I27-I28</f>
        <v>4405.5477362311285</v>
      </c>
    </row>
    <row r="30" spans="1:9" x14ac:dyDescent="0.15">
      <c r="A30" t="s">
        <v>208</v>
      </c>
      <c r="B30" s="122">
        <f>'Historical data'!I30</f>
        <v>0.22413100498594013</v>
      </c>
      <c r="C30" s="122">
        <f>'Historical data'!J30</f>
        <v>0.23643532831040934</v>
      </c>
      <c r="D30" s="122">
        <f>'Historical data'!K30</f>
        <v>0.24293705730843526</v>
      </c>
      <c r="E30" s="118">
        <f>E9</f>
        <v>0.24</v>
      </c>
      <c r="F30" s="118">
        <f>F9</f>
        <v>0.24</v>
      </c>
      <c r="G30" s="118">
        <f>G9</f>
        <v>0.24</v>
      </c>
      <c r="H30" s="118">
        <f>H9</f>
        <v>0.24</v>
      </c>
      <c r="I30" s="118">
        <f>I9</f>
        <v>0.24</v>
      </c>
    </row>
    <row r="31" spans="1:9" x14ac:dyDescent="0.15">
      <c r="A31" t="s">
        <v>63</v>
      </c>
      <c r="B31" s="122">
        <f>B25+B24</f>
        <v>7304.4</v>
      </c>
      <c r="C31" s="122">
        <f>C25+C24</f>
        <v>6824.7000000000007</v>
      </c>
      <c r="D31" s="122">
        <f>D25+D24</f>
        <v>6726.8000000000011</v>
      </c>
      <c r="E31" s="121">
        <f>E25+E24</f>
        <v>5555.9475999999986</v>
      </c>
      <c r="F31" s="121">
        <f t="shared" ref="F31:I31" si="6">F25+F24</f>
        <v>6080.3141027999973</v>
      </c>
      <c r="G31" s="121">
        <f t="shared" si="6"/>
        <v>6636.9280918080003</v>
      </c>
      <c r="H31" s="121">
        <f t="shared" si="6"/>
        <v>7207.8348997053017</v>
      </c>
      <c r="I31" s="121">
        <f t="shared" si="6"/>
        <v>7837.4741548150432</v>
      </c>
    </row>
    <row r="32" spans="1:9" x14ac:dyDescent="0.15">
      <c r="A32" s="51" t="s">
        <v>322</v>
      </c>
      <c r="B32" s="51"/>
      <c r="C32" s="51"/>
      <c r="D32" s="51"/>
      <c r="E32" s="126"/>
      <c r="F32" s="126"/>
      <c r="G32" s="126"/>
      <c r="H32" s="126"/>
      <c r="I32" s="126"/>
    </row>
    <row r="33" spans="1:9" x14ac:dyDescent="0.15">
      <c r="A33" s="27" t="s">
        <v>313</v>
      </c>
      <c r="E33" s="119"/>
      <c r="F33" s="119"/>
      <c r="G33" s="119"/>
      <c r="H33" s="119"/>
      <c r="I33" s="119"/>
    </row>
    <row r="34" spans="1:9" x14ac:dyDescent="0.15">
      <c r="A34" t="s">
        <v>347</v>
      </c>
      <c r="B34" s="120">
        <f>BS!D12</f>
        <v>3182.9</v>
      </c>
      <c r="C34" s="120">
        <f>BS!C12</f>
        <v>3953</v>
      </c>
      <c r="D34" s="120">
        <f>BS!B12</f>
        <v>3543.2</v>
      </c>
      <c r="E34" s="121">
        <f>(E11+1)*D34</f>
        <v>4003.8159999999993</v>
      </c>
      <c r="F34" s="121">
        <f>(F11+1)*E34</f>
        <v>4604.3883999999989</v>
      </c>
      <c r="G34" s="121">
        <f>(G11+1)*F34</f>
        <v>5156.915007999999</v>
      </c>
      <c r="H34" s="121">
        <f>(H11+1)*G34</f>
        <v>5724.175658879999</v>
      </c>
      <c r="I34" s="121">
        <f>(I11+1)*H34</f>
        <v>6353.8349813567993</v>
      </c>
    </row>
    <row r="35" spans="1:9" x14ac:dyDescent="0.15">
      <c r="A35" t="s">
        <v>348</v>
      </c>
      <c r="B35" s="120">
        <f>BS!D16</f>
        <v>1175.5</v>
      </c>
      <c r="C35" s="120">
        <f>BS!C16</f>
        <v>1184.0999999999999</v>
      </c>
      <c r="D35" s="120">
        <f>BS!B16</f>
        <v>1213.8</v>
      </c>
      <c r="E35" s="121">
        <f>E20/365*E14</f>
        <v>1364.7107945205482</v>
      </c>
      <c r="F35" s="121">
        <f>F20/365*F14</f>
        <v>1341.6156887671232</v>
      </c>
      <c r="G35" s="121">
        <f>G20/365*G14</f>
        <v>1674.7835848109589</v>
      </c>
      <c r="H35" s="121">
        <f>H20/365*H14</f>
        <v>1911.0476976682191</v>
      </c>
      <c r="I35" s="121">
        <f>I20/365*I14</f>
        <v>1755.6158182578708</v>
      </c>
    </row>
    <row r="36" spans="1:9" x14ac:dyDescent="0.15">
      <c r="A36" t="s">
        <v>349</v>
      </c>
      <c r="B36" s="120">
        <f>BS!D20</f>
        <v>2176.6</v>
      </c>
      <c r="C36" s="120">
        <f>BS!C20</f>
        <v>1806.4</v>
      </c>
      <c r="D36" s="120">
        <f>BS!B20</f>
        <v>1777.3</v>
      </c>
      <c r="E36" s="121">
        <f>E21/365*E15</f>
        <v>1648.1507287671234</v>
      </c>
      <c r="F36" s="121">
        <f>F21/365*F15</f>
        <v>1661.1438253084934</v>
      </c>
      <c r="G36" s="121">
        <f>G21/365*G15</f>
        <v>1959.4967942288217</v>
      </c>
      <c r="H36" s="121">
        <f>H21/365*H15</f>
        <v>1784.1541305430494</v>
      </c>
      <c r="I36" s="121">
        <f>I21/365*I15</f>
        <v>2302.5576693305147</v>
      </c>
    </row>
    <row r="37" spans="1:9" x14ac:dyDescent="0.15">
      <c r="A37" t="s">
        <v>351</v>
      </c>
      <c r="B37" s="120">
        <f>BS!D25</f>
        <v>7018.7</v>
      </c>
      <c r="C37" s="120">
        <f>BS!C25</f>
        <v>7303.4</v>
      </c>
      <c r="D37" s="120">
        <f>BS!B25</f>
        <v>6847.4</v>
      </c>
      <c r="E37" s="121">
        <f>SUM(E34:E36)</f>
        <v>7016.6775232876716</v>
      </c>
      <c r="F37" s="121">
        <f t="shared" ref="F37:I37" si="7">SUM(F34:F36)</f>
        <v>7607.1479140756155</v>
      </c>
      <c r="G37" s="121">
        <f t="shared" si="7"/>
        <v>8791.1953870397792</v>
      </c>
      <c r="H37" s="121">
        <f t="shared" si="7"/>
        <v>9419.3774870912675</v>
      </c>
      <c r="I37" s="121">
        <f t="shared" si="7"/>
        <v>10412.008468945185</v>
      </c>
    </row>
    <row r="38" spans="1:9" x14ac:dyDescent="0.15">
      <c r="A38" t="s">
        <v>352</v>
      </c>
      <c r="B38" s="120">
        <f>BS!D26</f>
        <v>14576.1</v>
      </c>
      <c r="C38" s="120">
        <f>BS!C26</f>
        <v>15799.7</v>
      </c>
      <c r="D38" s="120">
        <f>BS!B26</f>
        <v>17951.7</v>
      </c>
      <c r="E38" s="121">
        <f>D38+E60-E24</f>
        <v>14005.06136</v>
      </c>
      <c r="F38" s="121">
        <f>E38+F60-F24</f>
        <v>9638.6612996000003</v>
      </c>
      <c r="G38" s="121">
        <f>F38+G60-G24</f>
        <v>4791.9572325560002</v>
      </c>
      <c r="H38" s="121">
        <f>G38+H60-H24</f>
        <v>-90.769634986299934</v>
      </c>
      <c r="I38" s="121">
        <f>H38+I60-I24</f>
        <v>-5710.0907271178385</v>
      </c>
    </row>
    <row r="39" spans="1:9" x14ac:dyDescent="0.15">
      <c r="A39" t="s">
        <v>353</v>
      </c>
      <c r="B39" s="120">
        <f>BS!D43</f>
        <v>398</v>
      </c>
      <c r="C39" s="120">
        <f>BS!C43</f>
        <v>393.5</v>
      </c>
      <c r="D39" s="120">
        <f>BS!B43</f>
        <v>437.9</v>
      </c>
      <c r="E39" s="121">
        <f>D39</f>
        <v>437.9</v>
      </c>
      <c r="F39" s="121">
        <f t="shared" ref="F39:I39" si="8">E39</f>
        <v>437.9</v>
      </c>
      <c r="G39" s="121">
        <f t="shared" si="8"/>
        <v>437.9</v>
      </c>
      <c r="H39" s="121">
        <f t="shared" si="8"/>
        <v>437.9</v>
      </c>
      <c r="I39" s="121">
        <f t="shared" si="8"/>
        <v>437.9</v>
      </c>
    </row>
    <row r="40" spans="1:9" x14ac:dyDescent="0.15">
      <c r="A40" t="s">
        <v>354</v>
      </c>
      <c r="B40" s="120">
        <f>BS!D45</f>
        <v>27978.400000000001</v>
      </c>
      <c r="C40" s="120">
        <f>BS!C45</f>
        <v>29445.5</v>
      </c>
      <c r="D40" s="120">
        <f>BS!B45</f>
        <v>31339.3</v>
      </c>
      <c r="E40" s="121">
        <f>SUM(E34:E38)</f>
        <v>28038.416406575343</v>
      </c>
      <c r="F40" s="121">
        <f t="shared" ref="F40:I40" si="9">SUM(F34:F38)</f>
        <v>24852.95712775123</v>
      </c>
      <c r="G40" s="121">
        <f t="shared" si="9"/>
        <v>22374.348006635559</v>
      </c>
      <c r="H40" s="121">
        <f t="shared" si="9"/>
        <v>18747.985339196235</v>
      </c>
      <c r="I40" s="121">
        <f t="shared" si="9"/>
        <v>15113.926210772532</v>
      </c>
    </row>
    <row r="41" spans="1:9" x14ac:dyDescent="0.15">
      <c r="A41" s="27" t="s">
        <v>350</v>
      </c>
      <c r="B41" s="120"/>
      <c r="C41" s="120"/>
      <c r="D41" s="120"/>
      <c r="E41" s="119"/>
      <c r="F41" s="119"/>
      <c r="G41" s="119"/>
      <c r="H41" s="119"/>
      <c r="I41" s="119"/>
    </row>
    <row r="42" spans="1:9" x14ac:dyDescent="0.15">
      <c r="A42" t="s">
        <v>355</v>
      </c>
      <c r="B42" s="120">
        <f>BS!D49</f>
        <v>1441.4</v>
      </c>
      <c r="C42" s="120">
        <f>BS!C49</f>
        <v>1544.3</v>
      </c>
      <c r="D42" s="120">
        <f>BS!B49</f>
        <v>1595.5</v>
      </c>
      <c r="E42" s="121">
        <f>E20/365*E16</f>
        <v>1784.6218082191783</v>
      </c>
      <c r="F42" s="121">
        <f>F20/365*F16</f>
        <v>2012.423533150685</v>
      </c>
      <c r="G42" s="121">
        <f>G20/365*G16</f>
        <v>1914.038382641096</v>
      </c>
      <c r="H42" s="121">
        <f>H20/365*H16</f>
        <v>1911.0476976682191</v>
      </c>
      <c r="I42" s="121">
        <f>I20/365*I16</f>
        <v>2160.7579301635333</v>
      </c>
    </row>
    <row r="43" spans="1:9" x14ac:dyDescent="0.15">
      <c r="A43" t="s">
        <v>356</v>
      </c>
      <c r="B43" s="120">
        <f>BS!D53</f>
        <v>761.7</v>
      </c>
      <c r="C43" s="120">
        <f>BS!C53</f>
        <v>828.3</v>
      </c>
      <c r="D43" s="120">
        <f>BS!B53</f>
        <v>786.6</v>
      </c>
      <c r="E43" s="121">
        <f>D43</f>
        <v>786.6</v>
      </c>
      <c r="F43" s="121">
        <f t="shared" ref="F43:I43" si="10">E43</f>
        <v>786.6</v>
      </c>
      <c r="G43" s="121">
        <f t="shared" si="10"/>
        <v>786.6</v>
      </c>
      <c r="H43" s="121">
        <f t="shared" si="10"/>
        <v>786.6</v>
      </c>
      <c r="I43" s="121">
        <f t="shared" si="10"/>
        <v>786.6</v>
      </c>
    </row>
    <row r="44" spans="1:9" x14ac:dyDescent="0.15">
      <c r="A44" t="s">
        <v>357</v>
      </c>
      <c r="B44" s="120">
        <f>BS!D57</f>
        <v>20635.099999999999</v>
      </c>
      <c r="C44" s="120">
        <f>BS!C57</f>
        <v>21472.400000000001</v>
      </c>
      <c r="D44" s="120">
        <f>BS!B57</f>
        <v>23091.1</v>
      </c>
      <c r="E44" s="121">
        <f>D44</f>
        <v>23091.1</v>
      </c>
      <c r="F44" s="121">
        <f>E44*(1+5%)</f>
        <v>24245.654999999999</v>
      </c>
      <c r="G44" s="121">
        <f t="shared" ref="G44:I44" si="11">F44*(1+5%)</f>
        <v>25457.937750000001</v>
      </c>
      <c r="H44" s="121">
        <f t="shared" si="11"/>
        <v>26730.834637500004</v>
      </c>
      <c r="I44" s="121">
        <f t="shared" si="11"/>
        <v>28067.376369375004</v>
      </c>
    </row>
    <row r="45" spans="1:9" x14ac:dyDescent="0.15">
      <c r="A45" t="s">
        <v>358</v>
      </c>
      <c r="B45" s="120">
        <f>BS!D65</f>
        <v>36677.1</v>
      </c>
      <c r="C45" s="120">
        <f>BS!C65</f>
        <v>37433.300000000003</v>
      </c>
      <c r="D45" s="120">
        <f>BS!B65</f>
        <v>38780.9</v>
      </c>
      <c r="E45" s="121">
        <f>D45*(1+3%)</f>
        <v>39944.327000000005</v>
      </c>
      <c r="F45" s="121">
        <f t="shared" ref="F45:I45" si="12">E45*(1+3%)</f>
        <v>41142.656810000008</v>
      </c>
      <c r="G45" s="121">
        <f t="shared" si="12"/>
        <v>42376.93651430001</v>
      </c>
      <c r="H45" s="121">
        <f t="shared" si="12"/>
        <v>43648.244609729009</v>
      </c>
      <c r="I45" s="121">
        <f t="shared" si="12"/>
        <v>44957.691948020882</v>
      </c>
    </row>
    <row r="46" spans="1:9" x14ac:dyDescent="0.15">
      <c r="A46" s="27" t="s">
        <v>123</v>
      </c>
      <c r="B46" s="120"/>
      <c r="C46" s="120"/>
      <c r="D46" s="120"/>
      <c r="E46" s="119"/>
      <c r="F46" s="119"/>
      <c r="G46" s="119"/>
      <c r="H46" s="119"/>
      <c r="I46" s="119"/>
    </row>
    <row r="47" spans="1:9" x14ac:dyDescent="0.15">
      <c r="A47" t="s">
        <v>359</v>
      </c>
      <c r="B47" s="120">
        <f>'Income Statement'!E55</f>
        <v>1147.9000000000001</v>
      </c>
      <c r="C47" s="120">
        <f>'Income Statement'!D55</f>
        <v>1142.5999999999999</v>
      </c>
      <c r="D47" s="120">
        <f>'Income Statement'!C55</f>
        <v>1133.5</v>
      </c>
      <c r="E47" s="121">
        <f>D47*(1-2%)</f>
        <v>1110.83</v>
      </c>
      <c r="F47" s="121">
        <f t="shared" ref="F47:I47" si="13">E47*(1-2%)</f>
        <v>1088.6134</v>
      </c>
      <c r="G47" s="121">
        <f t="shared" si="13"/>
        <v>1066.841132</v>
      </c>
      <c r="H47" s="121">
        <f t="shared" si="13"/>
        <v>1045.50430936</v>
      </c>
      <c r="I47" s="121">
        <f t="shared" si="13"/>
        <v>1024.5942231728</v>
      </c>
    </row>
    <row r="48" spans="1:9" x14ac:dyDescent="0.15">
      <c r="A48" t="s">
        <v>360</v>
      </c>
      <c r="B48" s="120">
        <f>BS!D70</f>
        <v>-8449.7999999999993</v>
      </c>
      <c r="C48" s="120">
        <f>BS!C70</f>
        <v>-7255.8</v>
      </c>
      <c r="D48" s="120">
        <f>BS!B70</f>
        <v>-7343.8</v>
      </c>
      <c r="E48" s="121">
        <f>D48*(1-1.5%)</f>
        <v>-7233.643</v>
      </c>
      <c r="F48" s="121">
        <f t="shared" ref="F48:I48" si="14">E48*(1-1.5%)</f>
        <v>-7125.138355</v>
      </c>
      <c r="G48" s="121">
        <f t="shared" si="14"/>
        <v>-7018.261279675</v>
      </c>
      <c r="H48" s="121">
        <f t="shared" si="14"/>
        <v>-6912.987360479875</v>
      </c>
      <c r="I48" s="121">
        <f t="shared" si="14"/>
        <v>-6809.2925500726769</v>
      </c>
    </row>
    <row r="49" spans="1:9" x14ac:dyDescent="0.15">
      <c r="A49" t="s">
        <v>361</v>
      </c>
      <c r="B49" s="120">
        <f>BS!D76</f>
        <v>-8698.7000000000007</v>
      </c>
      <c r="C49" s="120">
        <f>BS!C76</f>
        <v>-7987.8</v>
      </c>
      <c r="D49" s="120">
        <f>BS!B76</f>
        <v>-7441.6</v>
      </c>
      <c r="E49" s="119"/>
      <c r="F49" s="119"/>
      <c r="G49" s="119"/>
      <c r="H49" s="119"/>
      <c r="I49" s="119"/>
    </row>
    <row r="50" spans="1:9" x14ac:dyDescent="0.15">
      <c r="A50" s="51" t="s">
        <v>362</v>
      </c>
      <c r="B50" s="51"/>
      <c r="C50" s="51"/>
      <c r="D50" s="51"/>
      <c r="E50" s="51"/>
      <c r="F50" s="51"/>
      <c r="G50" s="51"/>
      <c r="H50" s="51"/>
      <c r="I50" s="51"/>
    </row>
    <row r="51" spans="1:9" x14ac:dyDescent="0.15">
      <c r="A51" s="27" t="s">
        <v>159</v>
      </c>
      <c r="B51" s="120"/>
      <c r="C51" s="120"/>
      <c r="D51" s="120"/>
    </row>
    <row r="52" spans="1:9" x14ac:dyDescent="0.15">
      <c r="A52" t="s">
        <v>363</v>
      </c>
      <c r="B52" s="120">
        <f>B29</f>
        <v>3283.3999999999996</v>
      </c>
      <c r="C52" s="120">
        <f>C29</f>
        <v>4124.7</v>
      </c>
      <c r="D52" s="120">
        <f>D29</f>
        <v>3762.3</v>
      </c>
      <c r="E52" s="121">
        <f>E29</f>
        <v>2910.918046847999</v>
      </c>
      <c r="F52" s="121">
        <f t="shared" ref="F52:I52" si="15">F29</f>
        <v>3252.0947649859181</v>
      </c>
      <c r="G52" s="121">
        <f t="shared" si="15"/>
        <v>3609.8251891343716</v>
      </c>
      <c r="H52" s="121">
        <f t="shared" si="15"/>
        <v>3983.0030634165068</v>
      </c>
      <c r="I52" s="121">
        <f t="shared" si="15"/>
        <v>4405.5477362311285</v>
      </c>
    </row>
    <row r="53" spans="1:9" x14ac:dyDescent="0.15">
      <c r="A53" t="s">
        <v>364</v>
      </c>
      <c r="B53" s="120">
        <f>B24</f>
        <v>3027.1</v>
      </c>
      <c r="C53" s="120">
        <f t="shared" ref="C53:D53" si="16">C24</f>
        <v>1450.3</v>
      </c>
      <c r="D53" s="120">
        <f t="shared" si="16"/>
        <v>1592.4</v>
      </c>
      <c r="E53" s="121">
        <f>E24</f>
        <v>1647.6258400000002</v>
      </c>
      <c r="F53" s="121">
        <f t="shared" ref="F53:I53" si="17">F24</f>
        <v>1713.9140424000002</v>
      </c>
      <c r="G53" s="121">
        <f t="shared" si="17"/>
        <v>1790.2240247640002</v>
      </c>
      <c r="H53" s="121">
        <f t="shared" si="17"/>
        <v>1860.0864257304002</v>
      </c>
      <c r="I53" s="121">
        <f t="shared" si="17"/>
        <v>1922.3993209923685</v>
      </c>
    </row>
    <row r="54" spans="1:9" x14ac:dyDescent="0.15">
      <c r="A54" t="s">
        <v>365</v>
      </c>
      <c r="B54" s="120">
        <f>CFS!E20</f>
        <v>-2133</v>
      </c>
      <c r="C54" s="120">
        <f>CFS!D20</f>
        <v>-1133.4000000000001</v>
      </c>
      <c r="D54" s="120">
        <f>CFS!C20</f>
        <v>-1048.8</v>
      </c>
      <c r="E54" s="121">
        <f>D54*(1-5%)</f>
        <v>-996.3599999999999</v>
      </c>
      <c r="F54" s="121">
        <f t="shared" ref="F54:I54" si="18">E54*(1-5%)</f>
        <v>-946.54199999999992</v>
      </c>
      <c r="G54" s="121">
        <f t="shared" si="18"/>
        <v>-899.21489999999983</v>
      </c>
      <c r="H54" s="121">
        <f t="shared" si="18"/>
        <v>-854.25415499999974</v>
      </c>
      <c r="I54" s="121">
        <f t="shared" si="18"/>
        <v>-811.54144724999969</v>
      </c>
    </row>
    <row r="55" spans="1:9" x14ac:dyDescent="0.15">
      <c r="A55" t="s">
        <v>389</v>
      </c>
      <c r="B55" s="120">
        <f>CFS!E21</f>
        <v>-326.10000000000002</v>
      </c>
      <c r="C55" s="120">
        <f>CFS!D21</f>
        <v>-4.0999999999999996</v>
      </c>
      <c r="D55" s="120">
        <f>CFS!C21</f>
        <v>18.399999999999999</v>
      </c>
      <c r="E55" s="121">
        <f>E35-D35</f>
        <v>150.91079452054828</v>
      </c>
      <c r="F55" s="121">
        <f t="shared" ref="F55:I55" si="19">F35-E35</f>
        <v>-23.095105753425059</v>
      </c>
      <c r="G55" s="121">
        <f t="shared" si="19"/>
        <v>333.16789604383575</v>
      </c>
      <c r="H55" s="121">
        <f>H35-G35</f>
        <v>236.26411285726022</v>
      </c>
      <c r="I55" s="121">
        <f t="shared" si="19"/>
        <v>-155.4318794103483</v>
      </c>
    </row>
    <row r="56" spans="1:9" x14ac:dyDescent="0.15">
      <c r="A56" t="s">
        <v>394</v>
      </c>
      <c r="B56" s="120">
        <f>CFS!E23</f>
        <v>345.5</v>
      </c>
      <c r="C56" s="120">
        <f>CFS!D23</f>
        <v>100.1</v>
      </c>
      <c r="D56" s="120">
        <f>CFS!C23</f>
        <v>28</v>
      </c>
      <c r="E56" s="121">
        <f>E42-D42</f>
        <v>189.12180821917832</v>
      </c>
      <c r="F56" s="121">
        <f t="shared" ref="F56:I56" si="20">F42-E42</f>
        <v>227.80172493150667</v>
      </c>
      <c r="G56" s="121">
        <f t="shared" si="20"/>
        <v>-98.385150509589039</v>
      </c>
      <c r="H56" s="121">
        <f t="shared" si="20"/>
        <v>-2.9906849728768066</v>
      </c>
      <c r="I56" s="121">
        <f t="shared" si="20"/>
        <v>249.71023249531413</v>
      </c>
    </row>
    <row r="57" spans="1:9" x14ac:dyDescent="0.15">
      <c r="A57" t="s">
        <v>397</v>
      </c>
      <c r="B57" s="120">
        <f>CFS!E22</f>
        <v>-641</v>
      </c>
      <c r="C57" s="120">
        <f>CFS!D22</f>
        <v>366.4</v>
      </c>
      <c r="D57" s="120">
        <f>CFS!C23</f>
        <v>28</v>
      </c>
      <c r="E57" s="121">
        <f>E36-D36</f>
        <v>-129.14927123287657</v>
      </c>
      <c r="F57" s="121">
        <f t="shared" ref="F57:H57" si="21">F36-E36</f>
        <v>12.993096541370051</v>
      </c>
      <c r="G57" s="121">
        <f t="shared" si="21"/>
        <v>298.35296892032829</v>
      </c>
      <c r="H57" s="121">
        <f t="shared" si="21"/>
        <v>-175.34266368577232</v>
      </c>
      <c r="I57" s="121">
        <f>I36-H36</f>
        <v>518.40353878746532</v>
      </c>
    </row>
    <row r="58" spans="1:9" x14ac:dyDescent="0.15">
      <c r="A58" t="s">
        <v>366</v>
      </c>
      <c r="B58" s="120">
        <f>CFS!E26</f>
        <v>4397.3</v>
      </c>
      <c r="C58" s="120">
        <f>CFS!D26</f>
        <v>6008.7</v>
      </c>
      <c r="D58" s="120">
        <f>CFS!B26</f>
        <v>5569.7</v>
      </c>
      <c r="E58" s="121">
        <f>D58*(1+5%)</f>
        <v>5848.1850000000004</v>
      </c>
      <c r="F58" s="121">
        <f t="shared" ref="F58:H58" si="22">E58*(1+5%)</f>
        <v>6140.594250000001</v>
      </c>
      <c r="G58" s="121">
        <f t="shared" si="22"/>
        <v>6447.6239625000017</v>
      </c>
      <c r="H58" s="121">
        <f t="shared" si="22"/>
        <v>6770.0051606250017</v>
      </c>
      <c r="I58" s="121">
        <f>H58*(1+5%)</f>
        <v>7108.505418656252</v>
      </c>
    </row>
    <row r="59" spans="1:9" x14ac:dyDescent="0.15">
      <c r="A59" s="27" t="s">
        <v>367</v>
      </c>
      <c r="B59" s="120"/>
      <c r="C59" s="120"/>
      <c r="D59" s="120"/>
      <c r="E59" s="119"/>
      <c r="F59" s="119"/>
      <c r="G59" s="119"/>
      <c r="H59" s="119"/>
      <c r="I59" s="119"/>
    </row>
    <row r="60" spans="1:9" x14ac:dyDescent="0.15">
      <c r="A60" t="s">
        <v>368</v>
      </c>
      <c r="B60" s="120">
        <f>CFS!E28</f>
        <v>-1841.3</v>
      </c>
      <c r="C60" s="120">
        <f>CFS!D28</f>
        <v>-2333.6</v>
      </c>
      <c r="D60" s="120">
        <f>CFS!C28</f>
        <v>-2777.5</v>
      </c>
      <c r="E60" s="121">
        <f>-E20*E12</f>
        <v>-2299.0128</v>
      </c>
      <c r="F60" s="121">
        <f>-F20*F12</f>
        <v>-2652.4860180000001</v>
      </c>
      <c r="G60" s="121">
        <f>-G20*G12</f>
        <v>-3056.4800422800004</v>
      </c>
      <c r="H60" s="121">
        <f>-H20*H12</f>
        <v>-3022.6404418119</v>
      </c>
      <c r="I60" s="121">
        <f>-I20*I12</f>
        <v>-3696.9217711391702</v>
      </c>
    </row>
    <row r="61" spans="1:9" x14ac:dyDescent="0.15">
      <c r="A61" t="s">
        <v>369</v>
      </c>
      <c r="B61" s="120">
        <f>CFS!E38</f>
        <v>-2146.3000000000002</v>
      </c>
      <c r="C61" s="120">
        <f>CFS!D38</f>
        <v>-2270.8000000000002</v>
      </c>
      <c r="D61" s="120">
        <f>CFS!C38</f>
        <v>-2699.2</v>
      </c>
      <c r="E61" s="127">
        <f>D61*(1+10%)</f>
        <v>-2969.12</v>
      </c>
      <c r="F61" s="127">
        <f t="shared" ref="F61:I61" si="23">E61*(1+10%)</f>
        <v>-3266.0320000000002</v>
      </c>
      <c r="G61" s="127">
        <f t="shared" si="23"/>
        <v>-3592.6352000000006</v>
      </c>
      <c r="H61" s="127">
        <f t="shared" si="23"/>
        <v>-3951.898720000001</v>
      </c>
      <c r="I61" s="127">
        <f t="shared" si="23"/>
        <v>-4347.0885920000019</v>
      </c>
    </row>
    <row r="62" spans="1:9" x14ac:dyDescent="0.15">
      <c r="A62" s="27" t="s">
        <v>370</v>
      </c>
      <c r="B62" s="120"/>
      <c r="C62" s="120"/>
      <c r="D62" s="120"/>
      <c r="E62" s="119"/>
      <c r="F62" s="119"/>
      <c r="G62" s="119"/>
      <c r="H62" s="119"/>
      <c r="I62" s="119"/>
    </row>
    <row r="63" spans="1:9" x14ac:dyDescent="0.15">
      <c r="A63" t="s">
        <v>390</v>
      </c>
      <c r="B63" s="120">
        <f>CFS!E48</f>
        <v>673.1</v>
      </c>
      <c r="C63" s="120">
        <f>CFS!D48</f>
        <v>322.8</v>
      </c>
      <c r="D63" s="120">
        <f>CFS!C48</f>
        <v>170.2</v>
      </c>
      <c r="E63" s="121">
        <f>D63</f>
        <v>170.2</v>
      </c>
      <c r="F63" s="121">
        <f t="shared" ref="F63:H63" si="24">E63</f>
        <v>170.2</v>
      </c>
      <c r="G63" s="121">
        <f t="shared" si="24"/>
        <v>170.2</v>
      </c>
      <c r="H63" s="121">
        <f t="shared" si="24"/>
        <v>170.2</v>
      </c>
      <c r="I63" s="121">
        <f>H63</f>
        <v>170.2</v>
      </c>
    </row>
    <row r="64" spans="1:9" x14ac:dyDescent="0.15">
      <c r="A64" t="s">
        <v>391</v>
      </c>
      <c r="B64" s="120">
        <f>CFS!E42</f>
        <v>-3911.4</v>
      </c>
      <c r="C64" s="120">
        <f>CFS!D42</f>
        <v>-817</v>
      </c>
      <c r="D64" s="120">
        <f>CFS!C42</f>
        <v>-1158.7</v>
      </c>
      <c r="E64" s="121">
        <f>D64*(1+10%)</f>
        <v>-1274.5700000000002</v>
      </c>
      <c r="F64" s="121">
        <f t="shared" ref="F64:I64" si="25">E64*(1+10%)</f>
        <v>-1402.0270000000003</v>
      </c>
      <c r="G64" s="121">
        <f t="shared" si="25"/>
        <v>-1542.2297000000003</v>
      </c>
      <c r="H64" s="121">
        <f t="shared" si="25"/>
        <v>-1696.4526700000006</v>
      </c>
      <c r="I64" s="121">
        <f t="shared" si="25"/>
        <v>-1866.0979370000007</v>
      </c>
    </row>
    <row r="65" spans="1:9" x14ac:dyDescent="0.15">
      <c r="A65" t="s">
        <v>392</v>
      </c>
      <c r="B65" s="120">
        <f>CFS!E41</f>
        <v>-2263.3000000000002</v>
      </c>
      <c r="C65" s="120">
        <f>CFS!D41</f>
        <v>-2431.8000000000002</v>
      </c>
      <c r="D65" s="120">
        <f>CFS!C41</f>
        <v>-2585</v>
      </c>
      <c r="E65" s="121">
        <f>D65*(1+5%)</f>
        <v>-2714.25</v>
      </c>
      <c r="F65" s="121">
        <f t="shared" ref="F65:I65" si="26">E65*(1+5%)</f>
        <v>-2849.9625000000001</v>
      </c>
      <c r="G65" s="121">
        <f t="shared" si="26"/>
        <v>-2992.4606250000002</v>
      </c>
      <c r="H65" s="121">
        <f t="shared" si="26"/>
        <v>-3142.0836562500003</v>
      </c>
      <c r="I65" s="121">
        <f t="shared" si="26"/>
        <v>-3299.1878390625006</v>
      </c>
    </row>
    <row r="66" spans="1:9" x14ac:dyDescent="0.15">
      <c r="A66" t="s">
        <v>371</v>
      </c>
      <c r="B66" s="120">
        <f>CFS!E54</f>
        <v>-5638</v>
      </c>
      <c r="C66" s="120">
        <f>CFS!D54</f>
        <v>-2990.6</v>
      </c>
      <c r="D66" s="120">
        <f>CFS!C54</f>
        <v>-3718.2</v>
      </c>
      <c r="E66" s="121">
        <f>SUM(E63:E65)</f>
        <v>-3818.62</v>
      </c>
      <c r="F66" s="121">
        <f t="shared" ref="F66:I66" si="27">SUM(F63:F65)</f>
        <v>-4081.7895000000003</v>
      </c>
      <c r="G66" s="121">
        <f t="shared" si="27"/>
        <v>-4364.4903250000007</v>
      </c>
      <c r="H66" s="121">
        <f t="shared" si="27"/>
        <v>-4668.3363262500006</v>
      </c>
      <c r="I66" s="121">
        <f t="shared" si="27"/>
        <v>-4995.0857760625013</v>
      </c>
    </row>
    <row r="67" spans="1:9" x14ac:dyDescent="0.15">
      <c r="A67" t="s">
        <v>393</v>
      </c>
      <c r="B67" s="120">
        <f>B58+B61+B66</f>
        <v>-3387</v>
      </c>
      <c r="C67" s="120">
        <f>C58+C61+C66</f>
        <v>747.29999999999973</v>
      </c>
      <c r="D67" s="120">
        <f>D58+D61+D66</f>
        <v>-847.69999999999982</v>
      </c>
      <c r="E67" s="121">
        <f>E58+E61+E66</f>
        <v>-939.55499999999938</v>
      </c>
      <c r="F67" s="121">
        <f>F58+F61+F66</f>
        <v>-1207.2272499999995</v>
      </c>
      <c r="G67" s="121">
        <f>G58+G61+G66</f>
        <v>-1509.5015624999996</v>
      </c>
      <c r="H67" s="121">
        <f>H58+H61+H66</f>
        <v>-1850.229885625</v>
      </c>
      <c r="I67" s="121">
        <f>I58+I61+I66</f>
        <v>-2233.6689494062512</v>
      </c>
    </row>
    <row r="68" spans="1:9" x14ac:dyDescent="0.15">
      <c r="B68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592D-B980-FF42-B9A8-5C77EA4E06DB}">
  <sheetPr>
    <tabColor rgb="FF188C51"/>
  </sheetPr>
  <dimension ref="A1:K16"/>
  <sheetViews>
    <sheetView workbookViewId="0">
      <selection activeCell="C14" sqref="C14"/>
    </sheetView>
  </sheetViews>
  <sheetFormatPr baseColWidth="10" defaultRowHeight="13" x14ac:dyDescent="0.15"/>
  <cols>
    <col min="1" max="1" width="20.1640625" customWidth="1"/>
    <col min="2" max="2" width="14.5" customWidth="1"/>
    <col min="3" max="3" width="17.5" customWidth="1"/>
  </cols>
  <sheetData>
    <row r="1" spans="1:11" ht="25" x14ac:dyDescent="0.25">
      <c r="A1" s="109" t="s">
        <v>373</v>
      </c>
      <c r="B1" s="109"/>
      <c r="C1" s="109"/>
      <c r="D1" s="109"/>
      <c r="E1" s="109"/>
    </row>
    <row r="2" spans="1:11" x14ac:dyDescent="0.15">
      <c r="A2" s="50" t="s">
        <v>383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14" x14ac:dyDescent="0.15">
      <c r="A3" s="52" t="s">
        <v>374</v>
      </c>
      <c r="B3" s="52">
        <v>2015</v>
      </c>
      <c r="C3" s="52">
        <v>2016</v>
      </c>
      <c r="D3" s="52">
        <v>2017</v>
      </c>
      <c r="E3" s="52">
        <v>2018</v>
      </c>
      <c r="F3" s="52">
        <v>2019</v>
      </c>
      <c r="G3" s="52">
        <v>2020</v>
      </c>
      <c r="H3" s="52">
        <v>2021</v>
      </c>
      <c r="I3" s="52">
        <v>2022</v>
      </c>
      <c r="J3" s="52">
        <v>2023</v>
      </c>
      <c r="K3" s="52">
        <v>2024</v>
      </c>
    </row>
    <row r="4" spans="1:11" x14ac:dyDescent="0.15">
      <c r="A4" t="s">
        <v>375</v>
      </c>
      <c r="B4" s="100">
        <f>CFS!L26</f>
        <v>3749.1</v>
      </c>
      <c r="C4" s="100">
        <f>CFS!K26</f>
        <v>4575.1000000000004</v>
      </c>
      <c r="D4" s="100">
        <f>CFS!J26</f>
        <v>4174.3</v>
      </c>
      <c r="E4" s="100">
        <f>CFS!I26</f>
        <v>11937.8</v>
      </c>
      <c r="F4" s="100">
        <f>CFS!H26</f>
        <v>5047</v>
      </c>
      <c r="G4" s="100">
        <f>CFS!G26</f>
        <v>1597.8</v>
      </c>
      <c r="H4" s="100">
        <f>CFS!F26</f>
        <v>5989.1</v>
      </c>
      <c r="I4" s="100">
        <f>CFS!E26</f>
        <v>4397.3</v>
      </c>
      <c r="J4" s="100">
        <f>CFS!D26</f>
        <v>6008.7</v>
      </c>
      <c r="K4" s="100">
        <f>CFS!C26</f>
        <v>6095.6</v>
      </c>
    </row>
    <row r="5" spans="1:11" x14ac:dyDescent="0.15">
      <c r="A5" t="s">
        <v>376</v>
      </c>
      <c r="B5" s="100">
        <f>CFS!L38+CFS!L54</f>
        <v>-3776.8</v>
      </c>
      <c r="C5" s="100">
        <f>CFS!K38+CFS!K54</f>
        <v>-3972.9</v>
      </c>
      <c r="D5" s="100">
        <f>CFS!J38+CFS!J54</f>
        <v>-3851.6</v>
      </c>
      <c r="E5" s="100">
        <f>CFS!I38+CFS!I54</f>
        <v>-5604.3</v>
      </c>
      <c r="F5" s="100">
        <f>CFS!H38+CFS!H54</f>
        <v>-11067.699999999999</v>
      </c>
      <c r="G5" s="100">
        <f>CFS!G38+CFS!G54</f>
        <v>1.7999999999999545</v>
      </c>
      <c r="H5" s="100">
        <f>CFS!F38+CFS!F54</f>
        <v>-3970.5</v>
      </c>
      <c r="I5" s="100">
        <f>CFS!E38+CFS!E54</f>
        <v>-7784.3</v>
      </c>
      <c r="J5" s="100">
        <f>CFS!D38+CFS!D54</f>
        <v>-5261.4</v>
      </c>
      <c r="K5" s="100">
        <f>CFS!C38+CFS!C54</f>
        <v>-6417.4</v>
      </c>
    </row>
    <row r="6" spans="1:11" x14ac:dyDescent="0.15">
      <c r="A6" t="s">
        <v>377</v>
      </c>
      <c r="B6" s="101">
        <f>SUM(B4:B5)</f>
        <v>-27.700000000000273</v>
      </c>
      <c r="C6" s="101">
        <f t="shared" ref="C6:J6" si="0">SUM(C4:C5)</f>
        <v>602.20000000000027</v>
      </c>
      <c r="D6" s="101">
        <f t="shared" si="0"/>
        <v>322.70000000000027</v>
      </c>
      <c r="E6" s="101">
        <f t="shared" si="0"/>
        <v>6333.4999999999991</v>
      </c>
      <c r="F6" s="101">
        <f t="shared" si="0"/>
        <v>-6020.6999999999989</v>
      </c>
      <c r="G6" s="101">
        <f t="shared" si="0"/>
        <v>1599.6</v>
      </c>
      <c r="H6" s="101">
        <f t="shared" si="0"/>
        <v>2018.6000000000004</v>
      </c>
      <c r="I6" s="101">
        <f t="shared" si="0"/>
        <v>-3387</v>
      </c>
      <c r="J6" s="101">
        <f t="shared" si="0"/>
        <v>747.30000000000018</v>
      </c>
      <c r="K6" s="101">
        <f>SUM(K4:K5)</f>
        <v>-321.79999999999927</v>
      </c>
    </row>
    <row r="7" spans="1:11" x14ac:dyDescent="0.15">
      <c r="A7" s="99" t="s">
        <v>378</v>
      </c>
      <c r="B7" s="102">
        <f>B6</f>
        <v>-27.700000000000273</v>
      </c>
      <c r="C7" s="102">
        <f>B7+C6</f>
        <v>574.5</v>
      </c>
      <c r="D7" s="102">
        <f t="shared" ref="D7:K7" si="1">C7+D6</f>
        <v>897.20000000000027</v>
      </c>
      <c r="E7" s="102">
        <f t="shared" si="1"/>
        <v>7230.6999999999989</v>
      </c>
      <c r="F7" s="102">
        <f t="shared" si="1"/>
        <v>1210</v>
      </c>
      <c r="G7" s="102">
        <f t="shared" si="1"/>
        <v>2809.6</v>
      </c>
      <c r="H7" s="102">
        <f t="shared" si="1"/>
        <v>4828.2000000000007</v>
      </c>
      <c r="I7" s="102">
        <f t="shared" si="1"/>
        <v>1441.2000000000007</v>
      </c>
      <c r="J7" s="102">
        <f t="shared" si="1"/>
        <v>2188.5000000000009</v>
      </c>
      <c r="K7" s="102">
        <f t="shared" si="1"/>
        <v>1866.7000000000016</v>
      </c>
    </row>
    <row r="10" spans="1:11" x14ac:dyDescent="0.15">
      <c r="B10" s="105" t="s">
        <v>379</v>
      </c>
      <c r="C10" s="112">
        <v>8.5000000000000006E-2</v>
      </c>
    </row>
    <row r="11" spans="1:11" x14ac:dyDescent="0.15">
      <c r="B11" s="105"/>
      <c r="C11" s="106"/>
    </row>
    <row r="12" spans="1:11" x14ac:dyDescent="0.15">
      <c r="B12" s="105" t="s">
        <v>380</v>
      </c>
      <c r="C12" s="107">
        <f>NPV(C10,C6:K6)+B6</f>
        <v>2037.9714782922147</v>
      </c>
    </row>
    <row r="13" spans="1:11" x14ac:dyDescent="0.15">
      <c r="B13" s="105"/>
      <c r="C13" s="106"/>
    </row>
    <row r="14" spans="1:11" x14ac:dyDescent="0.15">
      <c r="B14" s="105" t="s">
        <v>381</v>
      </c>
      <c r="C14" s="108">
        <f>IRR(B6:K6)</f>
        <v>-0.13867628451018088</v>
      </c>
    </row>
    <row r="15" spans="1:11" x14ac:dyDescent="0.15">
      <c r="B15" s="105"/>
      <c r="C15" s="106"/>
    </row>
    <row r="16" spans="1:11" x14ac:dyDescent="0.15">
      <c r="B16" s="105" t="s">
        <v>382</v>
      </c>
      <c r="C16" s="111">
        <f>1+ABS(B7/C6)</f>
        <v>1.0459980073065431</v>
      </c>
      <c r="D16" t="s">
        <v>385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531-81AB-814B-9B9A-47A159F84BC6}">
  <sheetPr>
    <tabColor rgb="FF188C51"/>
  </sheetPr>
  <dimension ref="A1:K30"/>
  <sheetViews>
    <sheetView zoomScale="88" zoomScaleNormal="88" workbookViewId="0"/>
  </sheetViews>
  <sheetFormatPr baseColWidth="10" defaultRowHeight="13" x14ac:dyDescent="0.15"/>
  <cols>
    <col min="1" max="1" width="28.83203125" customWidth="1"/>
    <col min="2" max="2" width="12.6640625" bestFit="1" customWidth="1"/>
    <col min="3" max="6" width="13.6640625" bestFit="1" customWidth="1"/>
    <col min="7" max="7" width="13.83203125" bestFit="1" customWidth="1"/>
    <col min="8" max="11" width="13.6640625" bestFit="1" customWidth="1"/>
    <col min="12" max="12" width="11.83203125" customWidth="1"/>
  </cols>
  <sheetData>
    <row r="1" spans="1:11" ht="24" thickBot="1" x14ac:dyDescent="0.3">
      <c r="A1" s="110" t="s">
        <v>384</v>
      </c>
    </row>
    <row r="2" spans="1:11" s="48" customFormat="1" ht="14" x14ac:dyDescent="0.15">
      <c r="A2" s="58" t="s">
        <v>245</v>
      </c>
      <c r="B2" s="53" t="str">
        <f>'Historical data'!B2</f>
        <v>SEP'15</v>
      </c>
      <c r="C2" s="53" t="str">
        <f>'Historical data'!C2</f>
        <v>SEP'16</v>
      </c>
      <c r="D2" s="53" t="str">
        <f>'Historical data'!D2</f>
        <v>SEP'17</v>
      </c>
      <c r="E2" s="53" t="str">
        <f>'Historical data'!E2</f>
        <v>SEP'18</v>
      </c>
      <c r="F2" s="53" t="str">
        <f>'Historical data'!F2</f>
        <v>SEP'19</v>
      </c>
      <c r="G2" s="53" t="str">
        <f>'Historical data'!G2</f>
        <v>SEP'20</v>
      </c>
      <c r="H2" s="53" t="str">
        <f>'Historical data'!H2</f>
        <v>SEP'21</v>
      </c>
      <c r="I2" s="53" t="str">
        <f>'Historical data'!I2</f>
        <v>SEP'22</v>
      </c>
      <c r="J2" s="53" t="str">
        <f>'Historical data'!J2</f>
        <v>SEP'23</v>
      </c>
      <c r="K2" s="54" t="str">
        <f>'Historical data'!K2</f>
        <v>SEP'24</v>
      </c>
    </row>
    <row r="3" spans="1:11" x14ac:dyDescent="0.15">
      <c r="A3" s="59" t="s">
        <v>250</v>
      </c>
      <c r="B3" s="55"/>
      <c r="C3" s="78">
        <f>'Historical data'!C5</f>
        <v>0.11292150380965806</v>
      </c>
      <c r="D3" s="78">
        <f>'Historical data'!D5</f>
        <v>5.0340199896766892E-2</v>
      </c>
      <c r="E3" s="78">
        <f>'Historical data'!E5</f>
        <v>0.10436565730573014</v>
      </c>
      <c r="F3" s="78">
        <f>'Historical data'!F5</f>
        <v>7.2075534286141815E-2</v>
      </c>
      <c r="G3" s="78">
        <f>'Historical data'!G5</f>
        <v>-0.11278941648806105</v>
      </c>
      <c r="H3" s="78">
        <f>'Historical data'!H5</f>
        <v>0.23588729399255712</v>
      </c>
      <c r="I3" s="78">
        <f>'Historical data'!I5</f>
        <v>0.1090719506655471</v>
      </c>
      <c r="J3" s="78">
        <f>'Historical data'!J5</f>
        <v>0.11554130996670631</v>
      </c>
      <c r="K3" s="78">
        <f>'Historical data'!K5</f>
        <v>5.451713395638629E-3</v>
      </c>
    </row>
    <row r="4" spans="1:11" x14ac:dyDescent="0.15">
      <c r="A4" s="59" t="s">
        <v>251</v>
      </c>
      <c r="B4" s="55"/>
      <c r="C4" s="95">
        <f>('Historical data'!C16-'Historical data'!B16)/'Historical data'!B16</f>
        <v>0.14856066595358777</v>
      </c>
      <c r="D4" s="95">
        <f>('Historical data'!D16-'Historical data'!C16)/'Historical data'!C16</f>
        <v>1.5953031683368799E-2</v>
      </c>
      <c r="E4" s="95">
        <f>('Historical data'!E16-'Historical data'!D16)/'Historical data'!D16</f>
        <v>2.9352569595281305E-2</v>
      </c>
      <c r="F4" s="95">
        <f>('Historical data'!F16-'Historical data'!E16)/'Historical data'!E16</f>
        <v>3.6452687006349557E-2</v>
      </c>
      <c r="G4" s="95">
        <f>('Historical data'!G16-'Historical data'!F16)/'Historical data'!F16</f>
        <v>-0.21227516389921366</v>
      </c>
      <c r="H4" s="95">
        <f>('Historical data'!H16-'Historical data'!G16)/'Historical data'!G16</f>
        <v>0.7634561578223551</v>
      </c>
      <c r="I4" s="95">
        <f>('Historical data'!I16-'Historical data'!H16)/'Historical data'!H16</f>
        <v>-1.7856182434249475E-2</v>
      </c>
      <c r="J4" s="95">
        <f>('Historical data'!J16-'Historical data'!I16)/'Historical data'!I16</f>
        <v>-6.5672745194677154E-2</v>
      </c>
      <c r="K4" s="95">
        <f>('Historical data'!K16-'Historical data'!J16)/'Historical data'!J16</f>
        <v>-1.4344952891702147E-2</v>
      </c>
    </row>
    <row r="5" spans="1:11" x14ac:dyDescent="0.15">
      <c r="A5" s="59" t="s">
        <v>252</v>
      </c>
      <c r="B5" s="55"/>
      <c r="C5" s="95">
        <f>('Historical data'!C25-'Historical data'!B25)/'Historical data'!B25</f>
        <v>0.60682285244554057</v>
      </c>
      <c r="D5" s="95">
        <f>('Historical data'!D25-'Historical data'!C25)/'Historical data'!C25</f>
        <v>1.0692177827799592E-2</v>
      </c>
      <c r="E5" s="95">
        <f>('Historical data'!E25-'Historical data'!D25)/'Historical data'!D25</f>
        <v>-2.3157521765539008E-2</v>
      </c>
      <c r="F5" s="95">
        <f>('Historical data'!F25-'Historical data'!E25)/'Historical data'!E25</f>
        <v>1.1633028473714295E-2</v>
      </c>
      <c r="G5" s="95">
        <f>('Historical data'!G25-'Historical data'!F25)/'Historical data'!F25</f>
        <v>-0.61158633406750962</v>
      </c>
      <c r="H5" s="95">
        <f>('Historical data'!H25-'Historical data'!G25)/'Historical data'!G25</f>
        <v>2.0756296980087008</v>
      </c>
      <c r="I5" s="95">
        <f>('Historical data'!I25-'Historical data'!H25)/'Historical data'!H25</f>
        <v>-8.3009968914138504E-2</v>
      </c>
      <c r="J5" s="95">
        <f>('Historical data'!J25-'Historical data'!I25)/'Historical data'!I25</f>
        <v>0.25649358240011255</v>
      </c>
      <c r="K5" s="95">
        <f>('Historical data'!K25-'Historical data'!J25)/'Historical data'!J25</f>
        <v>-4.4656147662994937E-2</v>
      </c>
    </row>
    <row r="6" spans="1:11" x14ac:dyDescent="0.15">
      <c r="A6" s="59" t="s">
        <v>254</v>
      </c>
      <c r="B6" s="55"/>
      <c r="C6" s="95">
        <f>('Historical data'!C32-'Historical data'!B32)/'Historical data'!B32</f>
        <v>2.1599681078534542E-2</v>
      </c>
      <c r="D6" s="95">
        <f>('Historical data'!D32-'Historical data'!C32)/'Historical data'!C32</f>
        <v>2.3413388201071174E-2</v>
      </c>
      <c r="E6" s="95">
        <f>('Historical data'!E32-'Historical data'!D32)/'Historical data'!D32</f>
        <v>0.56608547956601607</v>
      </c>
      <c r="F6" s="95">
        <f>('Historical data'!F32-'Historical data'!E32)/'Historical data'!E32</f>
        <v>-0.20438247011952193</v>
      </c>
      <c r="G6" s="95">
        <f>('Historical data'!G32-'Historical data'!F32)/'Historical data'!F32</f>
        <v>-0.74275301841651353</v>
      </c>
      <c r="H6" s="95">
        <f>('Historical data'!H32-'Historical data'!G32)/'Historical data'!G32</f>
        <v>3.5423380555855948</v>
      </c>
      <c r="I6" s="95">
        <f>('Historical data'!I32-'Historical data'!H32)/'Historical data'!H32</f>
        <v>-0.21829393138585335</v>
      </c>
      <c r="J6" s="95">
        <f>('Historical data'!J32-'Historical data'!I32)/'Historical data'!I32</f>
        <v>0.2562282999329964</v>
      </c>
      <c r="K6" s="95">
        <f>('Historical data'!K32-'Historical data'!J32)/'Historical data'!J32</f>
        <v>-8.7860935340751969E-2</v>
      </c>
    </row>
    <row r="7" spans="1:11" x14ac:dyDescent="0.15">
      <c r="A7" s="59" t="s">
        <v>255</v>
      </c>
      <c r="B7" s="55"/>
      <c r="C7" s="95">
        <f>('Historical data'!C39-'Historical data'!B39)/'Historical data'!B39</f>
        <v>0.22929432361457158</v>
      </c>
      <c r="D7" s="95">
        <f>('Historical data'!D39-'Historical data'!C39)/'Historical data'!C39</f>
        <v>0.2252653200958574</v>
      </c>
      <c r="E7" s="95">
        <f>('Historical data'!E39-'Historical data'!D39)/'Historical data'!D39</f>
        <v>0.15218357082984074</v>
      </c>
      <c r="F7" s="95">
        <f>('Historical data'!F39-'Historical data'!E39)/'Historical data'!E39</f>
        <v>3.4167421456398589E-2</v>
      </c>
      <c r="G7" s="95">
        <f>('Historical data'!G39-'Historical data'!F39)/'Historical data'!F39</f>
        <v>0.12802493105971069</v>
      </c>
      <c r="H7" s="95">
        <f>('Historical data'!H39-'Historical data'!G39)/'Historical data'!G39</f>
        <v>0.10382847628016054</v>
      </c>
      <c r="I7" s="95">
        <f>('Historical data'!I39-'Historical data'!H39)/'Historical data'!H39</f>
        <v>5.926741996233522E-2</v>
      </c>
      <c r="J7" s="95">
        <f>('Historical data'!J39-'Historical data'!I39)/'Historical data'!I39</f>
        <v>7.6638617813184984E-2</v>
      </c>
      <c r="K7" s="95">
        <f>('Historical data'!K39-'Historical data'!J39)/'Historical data'!J39</f>
        <v>6.6906327508595001E-2</v>
      </c>
    </row>
    <row r="8" spans="1:11" x14ac:dyDescent="0.15">
      <c r="A8" s="60"/>
      <c r="B8" s="56"/>
      <c r="C8" s="56"/>
      <c r="D8" s="56"/>
      <c r="E8" s="56"/>
      <c r="F8" s="56"/>
      <c r="G8" s="56"/>
      <c r="H8" s="56"/>
      <c r="I8" s="56"/>
      <c r="J8" s="56"/>
      <c r="K8" s="57"/>
    </row>
    <row r="9" spans="1:11" x14ac:dyDescent="0.15">
      <c r="A9" s="59" t="s">
        <v>256</v>
      </c>
      <c r="B9" s="79">
        <f>'Historical data'!B11</f>
        <v>0.23831905037939913</v>
      </c>
      <c r="C9" s="79">
        <f>'Historical data'!C11</f>
        <v>0.24729013185678758</v>
      </c>
      <c r="D9" s="79">
        <f>'Historical data'!D11</f>
        <v>0.23876642929261341</v>
      </c>
      <c r="E9" s="79">
        <f>'Historical data'!E11</f>
        <v>0.22714897713987522</v>
      </c>
      <c r="F9" s="79">
        <f>'Historical data'!F11</f>
        <v>0.21616430706070566</v>
      </c>
      <c r="G9" s="79">
        <f>'Historical data'!G11</f>
        <v>0.13593620414673049</v>
      </c>
      <c r="H9" s="79">
        <f>'Historical data'!H11</f>
        <v>0.22702589232865772</v>
      </c>
      <c r="I9" s="79">
        <f>'Historical data'!I11</f>
        <v>0.19576893599724465</v>
      </c>
      <c r="J9" s="79">
        <f>'Historical data'!J11</f>
        <v>0.21739263462394307</v>
      </c>
      <c r="K9" s="79">
        <f>'Historical data'!K11</f>
        <v>0.21184297886466749</v>
      </c>
    </row>
    <row r="10" spans="1:11" x14ac:dyDescent="0.15">
      <c r="A10" s="59" t="s">
        <v>257</v>
      </c>
      <c r="B10" s="79">
        <f>'Historical data'!B17</f>
        <v>0.22458965882801443</v>
      </c>
      <c r="C10" s="79">
        <f>'Historical data'!C17</f>
        <v>0.23178170897658487</v>
      </c>
      <c r="D10" s="79">
        <f>'Historical data'!D17</f>
        <v>0.22419338986231116</v>
      </c>
      <c r="E10" s="79">
        <f>'Historical data'!E17</f>
        <v>0.20896524662316596</v>
      </c>
      <c r="F10" s="79">
        <f>'Historical data'!F17</f>
        <v>0.20202176472363934</v>
      </c>
      <c r="G10" s="79">
        <f>'Historical data'!G17</f>
        <v>0.17936842105263157</v>
      </c>
      <c r="H10" s="79">
        <f>'Historical data'!H17</f>
        <v>0.25593623962448553</v>
      </c>
      <c r="I10" s="79">
        <f>'Historical data'!I17</f>
        <v>0.22664552582668027</v>
      </c>
      <c r="J10" s="79">
        <f>'Historical data'!J17</f>
        <v>0.18982810413885179</v>
      </c>
      <c r="K10" s="79">
        <f>'Historical data'!K17</f>
        <v>0.18609051676441296</v>
      </c>
    </row>
    <row r="11" spans="1:11" x14ac:dyDescent="0.15">
      <c r="A11" s="59" t="s">
        <v>258</v>
      </c>
      <c r="B11" s="79">
        <f>'Historical data'!B26</f>
        <v>0.12705823371821584</v>
      </c>
      <c r="C11" s="79">
        <f>'Historical data'!C26</f>
        <v>0.18344516916146592</v>
      </c>
      <c r="D11" s="79">
        <f>'Historical data'!D26</f>
        <v>0.17652051930413959</v>
      </c>
      <c r="E11" s="79">
        <f>'Historical data'!E26</f>
        <v>0.15613736301522263</v>
      </c>
      <c r="F11" s="79">
        <f>'Historical data'!F26</f>
        <v>0.14733450055845676</v>
      </c>
      <c r="G11" s="79">
        <f>'Historical data'!G26</f>
        <v>6.450186071238706E-2</v>
      </c>
      <c r="H11" s="79">
        <f>'Historical data'!H26</f>
        <v>0.16051936074442161</v>
      </c>
      <c r="I11" s="79">
        <f>'Historical data'!I26</f>
        <v>0.13271875959948243</v>
      </c>
      <c r="J11" s="79">
        <f>'Historical data'!J26</f>
        <v>0.14948820649755232</v>
      </c>
      <c r="K11" s="79">
        <f>'Historical data'!K26</f>
        <v>0.14203828704216001</v>
      </c>
    </row>
    <row r="12" spans="1:11" x14ac:dyDescent="0.15">
      <c r="A12" s="59" t="s">
        <v>259</v>
      </c>
      <c r="B12" s="79">
        <f>'Historical data'!B33</f>
        <v>0.14409855499328936</v>
      </c>
      <c r="C12" s="79">
        <f>'Historical data'!C33</f>
        <v>0.13227441227535078</v>
      </c>
      <c r="D12" s="79">
        <f>'Historical data'!D33</f>
        <v>0.12888338887945747</v>
      </c>
      <c r="E12" s="79">
        <f>'Historical data'!E33</f>
        <v>0.18276772964291926</v>
      </c>
      <c r="F12" s="79">
        <f>'Historical data'!F33</f>
        <v>0.13563709360944246</v>
      </c>
      <c r="G12" s="79">
        <f>'Historical data'!G33</f>
        <v>3.9328017012227538E-2</v>
      </c>
      <c r="H12" s="79">
        <f>'Historical data'!H33</f>
        <v>0.14454485388247276</v>
      </c>
      <c r="I12" s="79">
        <f>'Historical data'!I33</f>
        <v>0.10187940412618722</v>
      </c>
      <c r="J12" s="79">
        <f>'Historical data'!J33</f>
        <v>0.11472797062750334</v>
      </c>
      <c r="K12" s="79">
        <f>'Historical data'!K33</f>
        <v>0.10408044705101251</v>
      </c>
    </row>
    <row r="13" spans="1:11" x14ac:dyDescent="0.15">
      <c r="A13" s="60"/>
      <c r="B13" s="56"/>
      <c r="C13" s="56"/>
      <c r="D13" s="56"/>
      <c r="E13" s="56"/>
      <c r="F13" s="56"/>
      <c r="G13" s="56"/>
      <c r="H13" s="56"/>
      <c r="I13" s="56"/>
      <c r="J13" s="56"/>
      <c r="K13" s="57"/>
    </row>
    <row r="14" spans="1:11" x14ac:dyDescent="0.15">
      <c r="A14" s="59" t="s">
        <v>260</v>
      </c>
      <c r="B14" s="95">
        <f>'Historical data'!B13/'Historical data'!B4</f>
        <v>6.2495104106283977E-2</v>
      </c>
      <c r="C14" s="95">
        <f>'Historical data'!C13/'Historical data'!C4</f>
        <v>6.3844962695321666E-2</v>
      </c>
      <c r="D14" s="95">
        <f>'Historical data'!D13/'Historical data'!D4</f>
        <v>6.2245909988473805E-2</v>
      </c>
      <c r="E14" s="95">
        <f>'Historical data'!E13/'Historical data'!E4</f>
        <v>7.1011614124652608E-2</v>
      </c>
      <c r="F14" s="95">
        <f>'Historical data'!F13/'Historical data'!F4</f>
        <v>6.8829806502248916E-2</v>
      </c>
      <c r="G14" s="95">
        <f>'Historical data'!G13/'Historical data'!G4</f>
        <v>7.1434343434343434E-2</v>
      </c>
      <c r="H14" s="95">
        <f>'Historical data'!H13/'Historical data'!H4</f>
        <v>6.6506531584236098E-2</v>
      </c>
      <c r="I14" s="95">
        <f>'Historical data'!I13/'Historical data'!I4</f>
        <v>6.3050176397762211E-2</v>
      </c>
      <c r="J14" s="95">
        <f>'Historical data'!J13/'Historical data'!J4</f>
        <v>6.7904428126390748E-2</v>
      </c>
      <c r="K14" s="95">
        <f>'Historical data'!K13/'Historical data'!K4</f>
        <v>6.9804691822507481E-2</v>
      </c>
    </row>
    <row r="15" spans="1:11" x14ac:dyDescent="0.15">
      <c r="A15" s="59" t="s">
        <v>261</v>
      </c>
      <c r="B15" s="95">
        <f>'Historical data'!B22/'Historical data'!B4</f>
        <v>4.8765712554899282E-2</v>
      </c>
      <c r="C15" s="95">
        <f>'Historical data'!C22/'Historical data'!C4</f>
        <v>4.8336539815118949E-2</v>
      </c>
      <c r="D15" s="95">
        <f>'Historical data'!D22/'Historical data'!D4</f>
        <v>4.7672870558171529E-2</v>
      </c>
      <c r="E15" s="95">
        <f>'Historical data'!E22/'Historical data'!E4</f>
        <v>5.2827883607943396E-2</v>
      </c>
      <c r="F15" s="95">
        <f>'Historical data'!F22/'Historical data'!F4</f>
        <v>5.4687264165182478E-2</v>
      </c>
      <c r="G15" s="95">
        <f>'Historical data'!G22/'Historical data'!G4</f>
        <v>0.11486656034024456</v>
      </c>
      <c r="H15" s="95">
        <f>'Historical data'!H22/'Historical data'!H4</f>
        <v>9.5416878880063866E-2</v>
      </c>
      <c r="I15" s="95">
        <f>'Historical data'!I22/'Historical data'!I4</f>
        <v>9.3926766227197839E-2</v>
      </c>
      <c r="J15" s="95">
        <f>'Historical data'!J22/'Historical data'!J4</f>
        <v>4.0339897641299506E-2</v>
      </c>
      <c r="K15" s="95">
        <f>'Historical data'!K22/'Historical data'!K4</f>
        <v>4.4052229722252964E-2</v>
      </c>
    </row>
    <row r="16" spans="1:11" x14ac:dyDescent="0.15">
      <c r="A16" s="59" t="s">
        <v>262</v>
      </c>
      <c r="B16" s="95">
        <f>'Historical data'!B25/'Historical data'!B4</f>
        <v>0.12705823371821584</v>
      </c>
      <c r="C16" s="95">
        <f>'Historical data'!C25/'Historical data'!C4</f>
        <v>0.18344516916146592</v>
      </c>
      <c r="D16" s="95">
        <f>'Historical data'!D25/'Historical data'!D4</f>
        <v>0.17652051930413959</v>
      </c>
      <c r="E16" s="95">
        <f>'Historical data'!E25/'Historical data'!E4</f>
        <v>0.15613736301522263</v>
      </c>
      <c r="F16" s="95">
        <f>'Historical data'!F25/'Historical data'!F4</f>
        <v>0.14733450055845676</v>
      </c>
      <c r="G16" s="95">
        <f>'Historical data'!G25/'Historical data'!G4</f>
        <v>6.450186071238706E-2</v>
      </c>
      <c r="H16" s="95">
        <f>'Historical data'!H25/'Historical data'!H4</f>
        <v>0.16051936074442161</v>
      </c>
      <c r="I16" s="95">
        <f>'Historical data'!I25/'Historical data'!I4</f>
        <v>0.13271875959948243</v>
      </c>
      <c r="J16" s="95">
        <f>'Historical data'!J25/'Historical data'!J4</f>
        <v>0.14948820649755232</v>
      </c>
      <c r="K16" s="95">
        <f>'Historical data'!K25/'Historical data'!K4</f>
        <v>0.14203828704216001</v>
      </c>
    </row>
    <row r="17" spans="1:11" x14ac:dyDescent="0.15">
      <c r="A17" s="60"/>
      <c r="B17" s="56"/>
      <c r="C17" s="56"/>
      <c r="D17" s="56"/>
      <c r="E17" s="56"/>
      <c r="F17" s="56"/>
      <c r="G17" s="56"/>
      <c r="H17" s="56"/>
      <c r="I17" s="56"/>
      <c r="J17" s="56"/>
      <c r="K17" s="57"/>
    </row>
    <row r="18" spans="1:11" x14ac:dyDescent="0.15">
      <c r="A18" s="59" t="s">
        <v>263</v>
      </c>
      <c r="B18" s="95">
        <f>'Historical data'!B32/'Historical data'!B45</f>
        <v>0.22223206591335587</v>
      </c>
      <c r="C18" s="95">
        <f>'Historical data'!C32/'Historical data'!C45</f>
        <v>0.19695371179039306</v>
      </c>
      <c r="D18" s="95">
        <f>'Historical data'!D32/'Historical data'!D45</f>
        <v>0.20082001447903325</v>
      </c>
      <c r="E18" s="95">
        <f>'Historical data'!E32/'Historical data'!E45</f>
        <v>0.18703118014273648</v>
      </c>
      <c r="F18" s="95">
        <f>'Historical data'!F32/'Historical data'!F45</f>
        <v>0.18702782576120211</v>
      </c>
      <c r="G18" s="95">
        <f>'Historical data'!G32/'Historical data'!G45</f>
        <v>3.1479684760591674E-2</v>
      </c>
      <c r="H18" s="95">
        <f>'Historical data'!H32/'Historical data'!H45</f>
        <v>0.1337990481833298</v>
      </c>
      <c r="I18" s="95">
        <f>'Historical data'!I32/'Historical data'!I45</f>
        <v>0.1173548165727847</v>
      </c>
      <c r="J18" s="95">
        <f>'Historical data'!J32/'Historical data'!J45</f>
        <v>0.14007912923876314</v>
      </c>
      <c r="K18" s="95">
        <f>'Historical data'!K32/'Historical data'!K45</f>
        <v>0.12005054356670379</v>
      </c>
    </row>
    <row r="19" spans="1:11" x14ac:dyDescent="0.15">
      <c r="A19" s="59" t="s">
        <v>264</v>
      </c>
      <c r="B19" s="95">
        <f>'Historical data'!B32/'Historical data'!B47</f>
        <v>0.4741228220901062</v>
      </c>
      <c r="C19" s="95">
        <f>'Historical data'!C32/'Historical data'!C47</f>
        <v>0.47853396031031975</v>
      </c>
      <c r="D19" s="95">
        <f>'Historical data'!D32/'Historical data'!D47</f>
        <v>0.5286604361370717</v>
      </c>
      <c r="E19" s="95">
        <f>'Historical data'!E32/'Historical data'!E47</f>
        <v>3.8424902194250725</v>
      </c>
      <c r="F19" s="95">
        <f>'Historical data'!F32/'Historical data'!F47</f>
        <v>-0.5768897448242658</v>
      </c>
      <c r="G19" s="95">
        <f>'Historical data'!G32/'Historical data'!G47</f>
        <v>-0.11856040208221147</v>
      </c>
      <c r="H19" s="95">
        <f>'Historical data'!H32/'Historical data'!H47</f>
        <v>-0.79034716342082967</v>
      </c>
      <c r="I19" s="95">
        <f>'Historical data'!I32/'Historical data'!I47</f>
        <v>-0.37745870072539567</v>
      </c>
      <c r="J19" s="95">
        <f>'Historical data'!J32/'Historical data'!J47</f>
        <v>-0.51637497183204384</v>
      </c>
      <c r="K19" s="95">
        <f>'Historical data'!K32/'Historical data'!K47</f>
        <v>-0.505576757686519</v>
      </c>
    </row>
    <row r="20" spans="1:11" x14ac:dyDescent="0.15">
      <c r="A20" s="59" t="s">
        <v>265</v>
      </c>
      <c r="B20" s="95">
        <f>'Historical data'!B32/'Historical data'!B4</f>
        <v>0.14409855499328936</v>
      </c>
      <c r="C20" s="95">
        <f>'Historical data'!C32/'Historical data'!C4</f>
        <v>0.13227441227535078</v>
      </c>
      <c r="D20" s="95">
        <f>'Historical data'!D32/'Historical data'!D4</f>
        <v>0.12888338887945747</v>
      </c>
      <c r="E20" s="95">
        <f>'Historical data'!E32/'Historical data'!E4</f>
        <v>0.18276772964291926</v>
      </c>
      <c r="F20" s="95">
        <f>'Historical data'!F32/'Historical data'!F4</f>
        <v>0.13563709360944246</v>
      </c>
      <c r="G20" s="95">
        <f>'Historical data'!G32/'Historical data'!G4</f>
        <v>3.9328017012227538E-2</v>
      </c>
      <c r="H20" s="95">
        <f>'Historical data'!H32/'Historical data'!H4</f>
        <v>0.14454485388247276</v>
      </c>
      <c r="I20" s="95">
        <f>'Historical data'!I32/'Historical data'!I4</f>
        <v>0.10187940412618722</v>
      </c>
      <c r="J20" s="95">
        <f>'Historical data'!J32/'Historical data'!J4</f>
        <v>0.11472797062750334</v>
      </c>
      <c r="K20" s="95">
        <f>'Historical data'!K32/'Historical data'!K4</f>
        <v>0.10408044705101251</v>
      </c>
    </row>
    <row r="21" spans="1:11" x14ac:dyDescent="0.15">
      <c r="A21" s="59" t="s">
        <v>266</v>
      </c>
      <c r="B21" s="95">
        <f>'Historical data'!B41</f>
        <v>0.34445837712463301</v>
      </c>
      <c r="C21" s="95">
        <f>'Historical data'!C41</f>
        <v>0.41448792082017805</v>
      </c>
      <c r="D21" s="95">
        <f>'Historical data'!D41</f>
        <v>0.49623903774827544</v>
      </c>
      <c r="E21" s="95">
        <f>'Historical data'!E41</f>
        <v>0.36508764940239041</v>
      </c>
      <c r="F21" s="95">
        <f>'Historical data'!F41</f>
        <v>0.47455182774161236</v>
      </c>
      <c r="G21" s="95">
        <f>'Historical data'!G41</f>
        <v>2.0809040769979448</v>
      </c>
      <c r="H21" s="95">
        <f>'Historical data'!H41</f>
        <v>0.5056781658452969</v>
      </c>
      <c r="I21" s="95">
        <f>'Historical data'!I41</f>
        <v>0.68522994456965347</v>
      </c>
      <c r="J21" s="95">
        <f>'Historical data'!J41</f>
        <v>0.58726986205057341</v>
      </c>
      <c r="K21" s="95">
        <f>'Historical data'!K41</f>
        <v>0.6869149190654652</v>
      </c>
    </row>
    <row r="22" spans="1:11" x14ac:dyDescent="0.15">
      <c r="A22" s="61" t="s">
        <v>267</v>
      </c>
      <c r="B22" s="113">
        <f>'Income Statement'!$A$2/'Income Statement'!L53</f>
        <v>45.060439560439562</v>
      </c>
      <c r="C22" s="113">
        <f>'Income Statement'!A2/'Income Statement'!K53</f>
        <v>43.163157894736848</v>
      </c>
      <c r="D22" s="113">
        <f>'Income Statement'!A2/'Income Statement'!J53</f>
        <v>41.629441624365484</v>
      </c>
      <c r="E22" s="113">
        <f>'Income Statement'!A2/'Income Statement'!I53</f>
        <v>25.311728395061728</v>
      </c>
      <c r="F22" s="113">
        <f>'Income Statement'!A2/'Income Statement'!H53</f>
        <v>28.099088604125267</v>
      </c>
      <c r="G22" s="113">
        <f>'Income Statement'!A2/'Income Statement'!G53</f>
        <v>104.40483768300446</v>
      </c>
      <c r="H22" s="113">
        <f>'Income Statement'!A2/'Income Statement'!F53</f>
        <v>23.152278245158378</v>
      </c>
      <c r="I22" s="113">
        <f>'Income Statement'!A2/'Income Statement'!E53</f>
        <v>28.952199392784017</v>
      </c>
      <c r="J22" s="113">
        <f>'Income Statement'!A2/'Income Statement'!D53</f>
        <v>22.891835310537335</v>
      </c>
      <c r="K22" s="114">
        <f>'Income Statement'!A2/'Income Statement'!C53</f>
        <v>24.79966131422178</v>
      </c>
    </row>
    <row r="23" spans="1:11" x14ac:dyDescent="0.15">
      <c r="A23" s="60"/>
      <c r="B23" s="56"/>
      <c r="C23" s="56"/>
      <c r="D23" s="56"/>
      <c r="E23" s="56"/>
      <c r="F23" s="56"/>
      <c r="G23" s="56"/>
      <c r="H23" s="56"/>
      <c r="I23" s="56"/>
      <c r="J23" s="56"/>
      <c r="K23" s="57"/>
    </row>
    <row r="24" spans="1:11" x14ac:dyDescent="0.15">
      <c r="A24" s="59" t="s">
        <v>268</v>
      </c>
      <c r="B24" s="55"/>
      <c r="C24" s="115">
        <f>'Historical data'!C7/AVERAGE('Historical data'!B48,'Historical data'!C48)</f>
        <v>11.949048381690194</v>
      </c>
      <c r="D24" s="115">
        <f>'Historical data'!D7/AVERAGE('Historical data'!C48,'Historical data'!D48)</f>
        <v>12.426107566089334</v>
      </c>
      <c r="E24" s="115">
        <f>'Historical data'!E7/AVERAGE('Historical data'!D48,'Historical data'!E48)</f>
        <v>13.821522879363357</v>
      </c>
      <c r="F24" s="115">
        <f>'Historical data'!F7/AVERAGE('Historical data'!E48,'Historical data'!F48)</f>
        <v>14.179937881838971</v>
      </c>
      <c r="G24" s="115">
        <f>'Historical data'!G7/AVERAGE('Historical data'!F48,'Historical data'!G48)</f>
        <v>13.188976889119708</v>
      </c>
      <c r="H24" s="115">
        <f>'Historical data'!H7/AVERAGE('Historical data'!G48,'Historical data'!H48)</f>
        <v>14.237441764649954</v>
      </c>
      <c r="I24" s="115">
        <f>'Historical data'!I7/AVERAGE('Historical data'!H48,'Historical data'!I48)</f>
        <v>13.711942864700436</v>
      </c>
      <c r="J24" s="115">
        <f>'Historical data'!J7/AVERAGE('Historical data'!I48,'Historical data'!J48)</f>
        <v>14.128194828019081</v>
      </c>
      <c r="K24" s="115">
        <f>'Historical data'!K7/AVERAGE('Historical data'!J48,'Historical data'!K48)</f>
        <v>15.899935820520691</v>
      </c>
    </row>
    <row r="25" spans="1:11" x14ac:dyDescent="0.15">
      <c r="A25" s="59" t="s">
        <v>269</v>
      </c>
      <c r="B25" s="55"/>
      <c r="C25" s="115">
        <f>'Historical data'!C4/AVERAGE('Historical data'!B50:C50)</f>
        <v>2.1084239009453332</v>
      </c>
      <c r="D25" s="115">
        <f>'Historical data'!D4/AVERAGE('Historical data'!C50:D50)</f>
        <v>2.0204447292765817</v>
      </c>
      <c r="E25" s="115">
        <f>'Historical data'!E4/AVERAGE('Historical data'!D50:E50)</f>
        <v>1.995060751944022</v>
      </c>
      <c r="F25" s="115">
        <f>'Historical data'!F4/AVERAGE('Historical data'!E50:F50)</f>
        <v>1.9294518503418199</v>
      </c>
      <c r="G25" s="115">
        <f>'Historical data'!G4/AVERAGE('Historical data'!F50:G50)</f>
        <v>1.2861397755648485</v>
      </c>
      <c r="H25" s="115">
        <f>'Historical data'!H4/AVERAGE('Historical data'!G50:H50)</f>
        <v>1.2814160540809891</v>
      </c>
      <c r="I25" s="115">
        <f>'Historical data'!I4/AVERAGE('Historical data'!H50:I50)</f>
        <v>1.3805166823016393</v>
      </c>
      <c r="J25" s="115">
        <f>'Historical data'!J4/AVERAGE('Historical data'!I50:J50)</f>
        <v>1.4570744221673737</v>
      </c>
      <c r="K25" s="115">
        <f>'Historical data'!K4/AVERAGE('Historical data'!J50:K50)</f>
        <v>1.3277502295684114</v>
      </c>
    </row>
    <row r="26" spans="1:11" x14ac:dyDescent="0.15">
      <c r="A26" s="60"/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 x14ac:dyDescent="0.15">
      <c r="A27" s="59" t="s">
        <v>270</v>
      </c>
      <c r="B27" s="115">
        <f>'Historical data'!B44/'Historical data'!B46</f>
        <v>1.0885118280748882</v>
      </c>
      <c r="C27" s="115">
        <f>'Historical data'!C44/'Historical data'!C46</f>
        <v>1.0464282572358581</v>
      </c>
      <c r="D27" s="115">
        <f>'Historical data'!D44/'Historical data'!D46</f>
        <v>1.2517828796171251</v>
      </c>
      <c r="E27" s="115">
        <f>'Historical data'!E44/'Historical data'!E46</f>
        <v>2.1980577741810636</v>
      </c>
      <c r="F27" s="115">
        <f>'Historical data'!F44/'Historical data'!F46</f>
        <v>0.91654643604000841</v>
      </c>
      <c r="G27" s="115">
        <f>'Historical data'!G44/'Historical data'!G46</f>
        <v>1.0625578483149125</v>
      </c>
      <c r="H27" s="115">
        <f>'Historical data'!H44/'Historical data'!H46</f>
        <v>1.1968986922491842</v>
      </c>
      <c r="I27" s="115">
        <f>'Historical data'!I44/'Historical data'!I46</f>
        <v>0.76692016870998059</v>
      </c>
      <c r="J27" s="115">
        <f>'Historical data'!J44/'Historical data'!J46</f>
        <v>0.78150514162199181</v>
      </c>
      <c r="K27" s="115">
        <f>'Historical data'!K44/'Historical data'!K46</f>
        <v>0.75495038588754126</v>
      </c>
    </row>
    <row r="28" spans="1:11" x14ac:dyDescent="0.15">
      <c r="A28" s="59" t="s">
        <v>271</v>
      </c>
      <c r="B28" s="115">
        <f>('Historical data'!B44-'Historical data'!B48)/'Historical data'!B46</f>
        <v>0.73040760944053063</v>
      </c>
      <c r="C28" s="115">
        <f>('Historical data'!C44-'Historical data'!C48)/'Historical data'!C46</f>
        <v>0.74324799859241653</v>
      </c>
      <c r="D28" s="115">
        <f>('Historical data'!D44-'Historical data'!D48)/'Historical data'!D46</f>
        <v>0.92861373705783401</v>
      </c>
      <c r="E28" s="115">
        <f>('Historical data'!E44-'Historical data'!E48)/'Historical data'!E46</f>
        <v>1.9516730586538125</v>
      </c>
      <c r="F28" s="115">
        <f>('Historical data'!F44-'Historical data'!F48)/'Historical data'!F46</f>
        <v>0.66861737481154859</v>
      </c>
      <c r="G28" s="115">
        <f>('Historical data'!G44-'Historical data'!G48)/'Historical data'!G46</f>
        <v>0.85139108183154566</v>
      </c>
      <c r="H28" s="115">
        <f>('Historical data'!H44-'Historical data'!H48)/'Historical data'!H46</f>
        <v>1.0001349461442206</v>
      </c>
      <c r="I28" s="115">
        <f>('Historical data'!I44-'Historical data'!I48)/'Historical data'!I46</f>
        <v>0.52908717410782591</v>
      </c>
      <c r="J28" s="115">
        <f>('Historical data'!J44-'Historical data'!J48)/'Historical data'!J46</f>
        <v>0.58821011631515308</v>
      </c>
      <c r="K28" s="115">
        <f>('Historical data'!K44-'Historical data'!K48)/'Historical data'!K46</f>
        <v>0.55899669239250271</v>
      </c>
    </row>
    <row r="29" spans="1:11" x14ac:dyDescent="0.15">
      <c r="A29" s="60"/>
      <c r="B29" s="56"/>
      <c r="C29" s="56"/>
      <c r="D29" s="56"/>
      <c r="E29" s="56"/>
      <c r="F29" s="56"/>
      <c r="G29" s="56"/>
      <c r="H29" s="56"/>
      <c r="I29" s="56"/>
      <c r="J29" s="56"/>
      <c r="K29" s="57"/>
    </row>
    <row r="30" spans="1:11" ht="14" thickBot="1" x14ac:dyDescent="0.2">
      <c r="A30" s="62" t="s">
        <v>272</v>
      </c>
      <c r="B30" s="96">
        <f>'Historical data'!B49/'Historical data'!B45</f>
        <v>0.18906598584119264</v>
      </c>
      <c r="C30" s="96">
        <f>'Historical data'!C49/'Historical data'!C45</f>
        <v>0.2504943231441048</v>
      </c>
      <c r="D30" s="96">
        <f>'Historical data'!D49/'Historical data'!D45</f>
        <v>0.27786517792504312</v>
      </c>
      <c r="E30" s="96">
        <f>'Historical data'!E49/'Historical data'!E45</f>
        <v>0.39319186633769931</v>
      </c>
      <c r="F30" s="96">
        <f>'Historical data'!F49/'Historical data'!F45</f>
        <v>0.58455430914275008</v>
      </c>
      <c r="G30" s="96">
        <f>'Historical data'!G49/'Historical data'!G45</f>
        <v>0.86220020766310923</v>
      </c>
      <c r="H30" s="96">
        <f>'Historical data'!H49/'Historical data'!H45</f>
        <v>0.75193198397074468</v>
      </c>
      <c r="I30" s="96">
        <f>'Historical data'!I49/'Historical data'!I45</f>
        <v>0.85082778143138982</v>
      </c>
      <c r="J30" s="96">
        <f>'Historical data'!J49/'Historical data'!J45</f>
        <v>0.83543495610534713</v>
      </c>
      <c r="K30" s="96">
        <f>'Historical data'!K49/'Historical data'!K45</f>
        <v>0.82334640531217984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ED1E89C9-86D4-2A4F-B753-69BBE171523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'Ratio Analysis'!B24:K24</xm:f>
              <xm:sqref>L24</xm:sqref>
            </x14:sparkline>
            <x14:sparkline>
              <xm:f>'Ratio Analysis'!B25:K25</xm:f>
              <xm:sqref>L25</xm:sqref>
            </x14:sparkline>
            <x14:sparkline>
              <xm:f>'Ratio Analysis'!B26:K26</xm:f>
              <xm:sqref>L26</xm:sqref>
            </x14:sparkline>
            <x14:sparkline>
              <xm:f>'Ratio Analysis'!B27:K27</xm:f>
              <xm:sqref>L27</xm:sqref>
            </x14:sparkline>
            <x14:sparkline>
              <xm:f>'Ratio Analysis'!B28:K28</xm:f>
              <xm:sqref>L28</xm:sqref>
            </x14:sparkline>
            <x14:sparkline>
              <xm:f>'Ratio Analysis'!B29:K29</xm:f>
              <xm:sqref>L29</xm:sqref>
            </x14:sparkline>
            <x14:sparkline>
              <xm:f>'Ratio Analysis'!B30:K30</xm:f>
              <xm:sqref>L30</xm:sqref>
            </x14:sparkline>
          </x14:sparklines>
        </x14:sparklineGroup>
        <x14:sparklineGroup displayEmptyCellsAs="gap" high="1" low="1" xr2:uid="{582B2398-D372-EA4D-AA68-315C1B1FA591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'Ratio Analysis'!B3:K3</xm:f>
              <xm:sqref>L3</xm:sqref>
            </x14:sparkline>
            <x14:sparkline>
              <xm:f>'Ratio Analysis'!B4:K4</xm:f>
              <xm:sqref>L4</xm:sqref>
            </x14:sparkline>
            <x14:sparkline>
              <xm:f>'Ratio Analysis'!B5:K5</xm:f>
              <xm:sqref>L5</xm:sqref>
            </x14:sparkline>
            <x14:sparkline>
              <xm:f>'Ratio Analysis'!B6:K6</xm:f>
              <xm:sqref>L6</xm:sqref>
            </x14:sparkline>
            <x14:sparkline>
              <xm:f>'Ratio Analysis'!B7:K7</xm:f>
              <xm:sqref>L7</xm:sqref>
            </x14:sparkline>
            <x14:sparkline>
              <xm:f>'Ratio Analysis'!B8:K8</xm:f>
              <xm:sqref>L8</xm:sqref>
            </x14:sparkline>
            <x14:sparkline>
              <xm:f>'Ratio Analysis'!B9:K9</xm:f>
              <xm:sqref>L9</xm:sqref>
            </x14:sparkline>
            <x14:sparkline>
              <xm:f>'Ratio Analysis'!B10:K10</xm:f>
              <xm:sqref>L10</xm:sqref>
            </x14:sparkline>
            <x14:sparkline>
              <xm:f>'Ratio Analysis'!B11:K11</xm:f>
              <xm:sqref>L11</xm:sqref>
            </x14:sparkline>
            <x14:sparkline>
              <xm:f>'Ratio Analysis'!B12:K12</xm:f>
              <xm:sqref>L12</xm:sqref>
            </x14:sparkline>
            <x14:sparkline>
              <xm:f>'Ratio Analysis'!B13:K13</xm:f>
              <xm:sqref>L13</xm:sqref>
            </x14:sparkline>
            <x14:sparkline>
              <xm:f>'Ratio Analysis'!B14:K14</xm:f>
              <xm:sqref>L14</xm:sqref>
            </x14:sparkline>
            <x14:sparkline>
              <xm:f>'Ratio Analysis'!B15:K15</xm:f>
              <xm:sqref>L15</xm:sqref>
            </x14:sparkline>
            <x14:sparkline>
              <xm:f>'Ratio Analysis'!B16:K16</xm:f>
              <xm:sqref>L16</xm:sqref>
            </x14:sparkline>
            <x14:sparkline>
              <xm:f>'Ratio Analysis'!B17:K17</xm:f>
              <xm:sqref>L17</xm:sqref>
            </x14:sparkline>
            <x14:sparkline>
              <xm:f>'Ratio Analysis'!B18:K18</xm:f>
              <xm:sqref>L18</xm:sqref>
            </x14:sparkline>
            <x14:sparkline>
              <xm:f>'Ratio Analysis'!B19:K19</xm:f>
              <xm:sqref>L19</xm:sqref>
            </x14:sparkline>
            <x14:sparkline>
              <xm:f>'Ratio Analysis'!B20:K20</xm:f>
              <xm:sqref>L20</xm:sqref>
            </x14:sparkline>
            <x14:sparkline>
              <xm:f>'Ratio Analysis'!B21:K21</xm:f>
              <xm:sqref>L21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3646-33D9-3745-BDBB-03511CD27F40}">
  <sheetPr>
    <tabColor rgb="FF188C51"/>
  </sheetPr>
  <dimension ref="A1:O62"/>
  <sheetViews>
    <sheetView tabSelected="1" workbookViewId="0">
      <selection activeCell="H7" sqref="H7"/>
    </sheetView>
  </sheetViews>
  <sheetFormatPr baseColWidth="10" defaultRowHeight="16" x14ac:dyDescent="0.2"/>
  <cols>
    <col min="1" max="1" width="21" style="77" customWidth="1"/>
    <col min="2" max="2" width="16.33203125" style="75" customWidth="1"/>
    <col min="3" max="3" width="22.5" style="75" customWidth="1"/>
    <col min="4" max="5" width="14.6640625" style="75" customWidth="1"/>
    <col min="7" max="7" width="19.33203125" customWidth="1"/>
    <col min="12" max="12" width="16.1640625" customWidth="1"/>
  </cols>
  <sheetData>
    <row r="1" spans="1:9" x14ac:dyDescent="0.2">
      <c r="A1" s="82" t="s">
        <v>274</v>
      </c>
      <c r="B1" s="83" t="s">
        <v>275</v>
      </c>
      <c r="C1" s="84" t="s">
        <v>276</v>
      </c>
      <c r="D1" s="85" t="s">
        <v>277</v>
      </c>
      <c r="E1" s="85" t="s">
        <v>278</v>
      </c>
    </row>
    <row r="2" spans="1:9" x14ac:dyDescent="0.2">
      <c r="A2" s="76">
        <v>45778</v>
      </c>
      <c r="B2" s="73">
        <v>83.81</v>
      </c>
      <c r="C2" s="74">
        <v>2919.62</v>
      </c>
    </row>
    <row r="3" spans="1:9" x14ac:dyDescent="0.2">
      <c r="A3" s="76">
        <v>45748</v>
      </c>
      <c r="B3" s="73">
        <v>79.489999999999995</v>
      </c>
      <c r="C3" s="74">
        <v>3104.66</v>
      </c>
      <c r="D3" s="81">
        <f>(B3/B2)-1</f>
        <v>-5.1545161675217832E-2</v>
      </c>
      <c r="E3" s="81">
        <f>(C3/C2)-1</f>
        <v>6.3378110850042191E-2</v>
      </c>
      <c r="G3" s="27" t="s">
        <v>306</v>
      </c>
      <c r="H3">
        <f>_xlfn.COVARIANCE.S(D3:D61,E3:E61)</f>
        <v>1.4286497405704269E-4</v>
      </c>
      <c r="I3" t="s">
        <v>307</v>
      </c>
    </row>
    <row r="4" spans="1:9" x14ac:dyDescent="0.2">
      <c r="A4" s="76">
        <v>45717</v>
      </c>
      <c r="B4" s="73">
        <v>97.4</v>
      </c>
      <c r="C4" s="74">
        <v>3207.62</v>
      </c>
      <c r="D4" s="81">
        <f t="shared" ref="D4:D61" si="0">(B4/B3)-1</f>
        <v>0.22531135991948692</v>
      </c>
      <c r="E4" s="81">
        <f t="shared" ref="E4:E61" si="1">(C4/C3)-1</f>
        <v>3.3163051670714427E-2</v>
      </c>
      <c r="G4" s="27" t="s">
        <v>308</v>
      </c>
      <c r="H4">
        <f>CORREL(D3:D61,E3:E61)</f>
        <v>4.9670965757667891E-2</v>
      </c>
      <c r="I4" t="s">
        <v>309</v>
      </c>
    </row>
    <row r="5" spans="1:9" x14ac:dyDescent="0.2">
      <c r="A5" s="76">
        <v>45689</v>
      </c>
      <c r="B5" s="73">
        <v>114.38</v>
      </c>
      <c r="C5" s="74">
        <v>3391.71</v>
      </c>
      <c r="D5" s="81">
        <f t="shared" si="0"/>
        <v>0.17433264887063649</v>
      </c>
      <c r="E5" s="81">
        <f t="shared" si="1"/>
        <v>5.7391461582107617E-2</v>
      </c>
      <c r="G5" s="27" t="s">
        <v>282</v>
      </c>
      <c r="H5">
        <f>_xlfn.STDEV.S(D3:D61)</f>
        <v>8.6911453853364212E-2</v>
      </c>
    </row>
    <row r="6" spans="1:9" x14ac:dyDescent="0.2">
      <c r="A6" s="76">
        <v>45658</v>
      </c>
      <c r="B6" s="73">
        <v>106.35</v>
      </c>
      <c r="C6" s="74">
        <v>3365.52</v>
      </c>
      <c r="D6" s="81">
        <f t="shared" si="0"/>
        <v>-7.0204581220493112E-2</v>
      </c>
      <c r="E6" s="81">
        <f t="shared" si="1"/>
        <v>-7.7217686653635598E-3</v>
      </c>
      <c r="G6" s="27" t="s">
        <v>310</v>
      </c>
      <c r="H6" s="94">
        <v>0.04</v>
      </c>
    </row>
    <row r="7" spans="1:9" x14ac:dyDescent="0.2">
      <c r="A7" s="76">
        <v>45627</v>
      </c>
      <c r="B7" s="73">
        <v>90.12</v>
      </c>
      <c r="C7" s="74">
        <v>3418.7</v>
      </c>
      <c r="D7" s="81">
        <f t="shared" si="0"/>
        <v>-0.15260930888575452</v>
      </c>
      <c r="E7" s="81">
        <f t="shared" si="1"/>
        <v>1.580142147424457E-2</v>
      </c>
      <c r="G7" s="27" t="s">
        <v>311</v>
      </c>
      <c r="H7">
        <f>(AVERAGE(D3:D61)-H6)/H5</f>
        <v>-0.46512720603800584</v>
      </c>
    </row>
    <row r="8" spans="1:9" x14ac:dyDescent="0.2">
      <c r="A8" s="76">
        <v>45597</v>
      </c>
      <c r="B8" s="73">
        <v>100.57</v>
      </c>
      <c r="C8" s="74">
        <v>3548.99</v>
      </c>
      <c r="D8" s="81">
        <f t="shared" si="0"/>
        <v>0.11595650244118949</v>
      </c>
      <c r="E8" s="81">
        <f t="shared" si="1"/>
        <v>3.8110977857080064E-2</v>
      </c>
    </row>
    <row r="9" spans="1:9" x14ac:dyDescent="0.2">
      <c r="A9" s="76">
        <v>45566</v>
      </c>
      <c r="B9" s="73">
        <v>95.9</v>
      </c>
      <c r="C9" s="74">
        <v>3695.31</v>
      </c>
      <c r="D9" s="81">
        <f t="shared" si="0"/>
        <v>-4.6435318683503923E-2</v>
      </c>
      <c r="E9" s="81">
        <f t="shared" si="1"/>
        <v>4.1228631244382363E-2</v>
      </c>
    </row>
    <row r="10" spans="1:9" x14ac:dyDescent="0.2">
      <c r="A10" s="76">
        <v>45536</v>
      </c>
      <c r="B10" s="73">
        <v>95.69</v>
      </c>
      <c r="C10" s="74">
        <v>3793.75</v>
      </c>
      <c r="D10" s="81">
        <f t="shared" si="0"/>
        <v>-2.1897810218979297E-3</v>
      </c>
      <c r="E10" s="81">
        <f t="shared" si="1"/>
        <v>2.663917235631108E-2</v>
      </c>
    </row>
    <row r="11" spans="1:9" x14ac:dyDescent="0.2">
      <c r="A11" s="76">
        <v>45505</v>
      </c>
      <c r="B11" s="73">
        <v>92.27</v>
      </c>
      <c r="C11" s="74">
        <v>3883.43</v>
      </c>
      <c r="D11" s="81">
        <f t="shared" si="0"/>
        <v>-3.5740411746263967E-2</v>
      </c>
      <c r="E11" s="81">
        <f t="shared" si="1"/>
        <v>2.3638879736408436E-2</v>
      </c>
      <c r="G11" t="s">
        <v>283</v>
      </c>
    </row>
    <row r="12" spans="1:9" ht="17" thickBot="1" x14ac:dyDescent="0.25">
      <c r="A12" s="76">
        <v>45474</v>
      </c>
      <c r="B12" s="73">
        <v>76.05</v>
      </c>
      <c r="C12" s="74">
        <v>3910.51</v>
      </c>
      <c r="D12" s="81">
        <f t="shared" si="0"/>
        <v>-0.17578844694917095</v>
      </c>
      <c r="E12" s="81">
        <f t="shared" si="1"/>
        <v>6.9732169757148466E-3</v>
      </c>
    </row>
    <row r="13" spans="1:9" x14ac:dyDescent="0.2">
      <c r="A13" s="76">
        <v>45444</v>
      </c>
      <c r="B13" s="73">
        <v>75.959999999999994</v>
      </c>
      <c r="C13" s="74">
        <v>4141.18</v>
      </c>
      <c r="D13" s="81">
        <f t="shared" si="0"/>
        <v>-1.1834319526627946E-3</v>
      </c>
      <c r="E13" s="81">
        <f t="shared" si="1"/>
        <v>5.8987190929060462E-2</v>
      </c>
      <c r="G13" s="91" t="s">
        <v>284</v>
      </c>
      <c r="H13" s="91"/>
    </row>
    <row r="14" spans="1:9" x14ac:dyDescent="0.2">
      <c r="A14" s="76">
        <v>45413</v>
      </c>
      <c r="B14" s="73">
        <v>77.680000000000007</v>
      </c>
      <c r="C14" s="74">
        <v>4167.8500000000004</v>
      </c>
      <c r="D14" s="81">
        <f t="shared" si="0"/>
        <v>2.2643496577146038E-2</v>
      </c>
      <c r="E14" s="81">
        <f t="shared" si="1"/>
        <v>6.4401933748352569E-3</v>
      </c>
      <c r="G14" s="88" t="s">
        <v>285</v>
      </c>
      <c r="H14" s="88">
        <v>6.7732995135399737E-2</v>
      </c>
    </row>
    <row r="15" spans="1:9" x14ac:dyDescent="0.2">
      <c r="A15" s="76">
        <v>45383</v>
      </c>
      <c r="B15" s="73">
        <v>85.69</v>
      </c>
      <c r="C15" s="74">
        <v>4238.49</v>
      </c>
      <c r="D15" s="81">
        <f t="shared" si="0"/>
        <v>0.10311534500514918</v>
      </c>
      <c r="E15" s="81">
        <f t="shared" si="1"/>
        <v>1.6948786544621175E-2</v>
      </c>
      <c r="G15" s="88" t="s">
        <v>286</v>
      </c>
      <c r="H15" s="88">
        <v>4.5877586300120841E-3</v>
      </c>
    </row>
    <row r="16" spans="1:9" x14ac:dyDescent="0.2">
      <c r="A16" s="76">
        <v>45352</v>
      </c>
      <c r="B16" s="73">
        <v>88.5</v>
      </c>
      <c r="C16" s="74">
        <v>4363.71</v>
      </c>
      <c r="D16" s="81">
        <f t="shared" si="0"/>
        <v>3.2792624576963414E-2</v>
      </c>
      <c r="E16" s="81">
        <f t="shared" si="1"/>
        <v>2.9543540270237756E-2</v>
      </c>
      <c r="G16" s="88" t="s">
        <v>287</v>
      </c>
      <c r="H16" s="88">
        <v>-1.3187459965880556E-2</v>
      </c>
    </row>
    <row r="17" spans="1:15" x14ac:dyDescent="0.2">
      <c r="A17" s="76">
        <v>45323</v>
      </c>
      <c r="B17" s="73">
        <v>91.35</v>
      </c>
      <c r="C17" s="74">
        <v>4454.21</v>
      </c>
      <c r="D17" s="81">
        <f t="shared" si="0"/>
        <v>3.22033898305083E-2</v>
      </c>
      <c r="E17" s="81">
        <f t="shared" si="1"/>
        <v>2.073923335877037E-2</v>
      </c>
      <c r="G17" s="88" t="s">
        <v>288</v>
      </c>
      <c r="H17" s="88">
        <v>8.7978565325897054E-2</v>
      </c>
    </row>
    <row r="18" spans="1:15" ht="17" thickBot="1" x14ac:dyDescent="0.25">
      <c r="A18" s="76">
        <v>45292</v>
      </c>
      <c r="B18" s="73">
        <v>89.55</v>
      </c>
      <c r="C18" s="74">
        <v>4445.54</v>
      </c>
      <c r="D18" s="81">
        <f t="shared" si="0"/>
        <v>-1.9704433497536922E-2</v>
      </c>
      <c r="E18" s="81">
        <f t="shared" si="1"/>
        <v>-1.9464731119547274E-3</v>
      </c>
      <c r="G18" s="89" t="s">
        <v>289</v>
      </c>
      <c r="H18" s="89">
        <v>58</v>
      </c>
    </row>
    <row r="19" spans="1:15" x14ac:dyDescent="0.2">
      <c r="A19" s="76">
        <v>45261</v>
      </c>
      <c r="B19" s="73">
        <v>92.41</v>
      </c>
      <c r="C19" s="74">
        <v>4460.71</v>
      </c>
      <c r="D19" s="81">
        <f t="shared" si="0"/>
        <v>3.1937465103294205E-2</v>
      </c>
      <c r="E19" s="81">
        <f t="shared" si="1"/>
        <v>3.4124088412206266E-3</v>
      </c>
    </row>
    <row r="20" spans="1:15" ht="17" thickBot="1" x14ac:dyDescent="0.25">
      <c r="A20" s="76">
        <v>45231</v>
      </c>
      <c r="B20" s="73">
        <v>95.06</v>
      </c>
      <c r="C20" s="74">
        <v>4667.3900000000003</v>
      </c>
      <c r="D20" s="81">
        <f t="shared" si="0"/>
        <v>2.8676550156909508E-2</v>
      </c>
      <c r="E20" s="81">
        <f t="shared" si="1"/>
        <v>4.6333431225074051E-2</v>
      </c>
      <c r="G20" t="s">
        <v>290</v>
      </c>
    </row>
    <row r="21" spans="1:15" x14ac:dyDescent="0.2">
      <c r="A21" s="76">
        <v>45200</v>
      </c>
      <c r="B21" s="73">
        <v>88.3</v>
      </c>
      <c r="C21" s="74">
        <v>4674.7700000000004</v>
      </c>
      <c r="D21" s="81">
        <f t="shared" si="0"/>
        <v>-7.1112981274984222E-2</v>
      </c>
      <c r="E21" s="81">
        <f t="shared" si="1"/>
        <v>1.5811834879879694E-3</v>
      </c>
      <c r="G21" s="90"/>
      <c r="H21" s="90" t="s">
        <v>294</v>
      </c>
      <c r="I21" s="90" t="s">
        <v>295</v>
      </c>
      <c r="J21" s="90" t="s">
        <v>296</v>
      </c>
      <c r="K21" s="90" t="s">
        <v>297</v>
      </c>
      <c r="L21" s="90" t="s">
        <v>298</v>
      </c>
    </row>
    <row r="22" spans="1:15" x14ac:dyDescent="0.2">
      <c r="A22" s="76">
        <v>45170</v>
      </c>
      <c r="B22" s="73">
        <v>87.37</v>
      </c>
      <c r="C22" s="74">
        <v>4573.82</v>
      </c>
      <c r="D22" s="81">
        <f t="shared" si="0"/>
        <v>-1.053227633069076E-2</v>
      </c>
      <c r="E22" s="81">
        <f t="shared" si="1"/>
        <v>-2.1594645298057547E-2</v>
      </c>
      <c r="G22" s="88" t="s">
        <v>291</v>
      </c>
      <c r="H22" s="88">
        <v>1</v>
      </c>
      <c r="I22" s="88">
        <v>1.997741823287047E-3</v>
      </c>
      <c r="J22" s="88">
        <v>1.997741823287047E-3</v>
      </c>
      <c r="K22" s="88">
        <v>0.2580985772558762</v>
      </c>
      <c r="L22" s="88">
        <v>0.61342486159064336</v>
      </c>
    </row>
    <row r="23" spans="1:15" x14ac:dyDescent="0.2">
      <c r="A23" s="76">
        <v>45139</v>
      </c>
      <c r="B23" s="73">
        <v>92.78</v>
      </c>
      <c r="C23" s="74">
        <v>4435.9799999999996</v>
      </c>
      <c r="D23" s="81">
        <f t="shared" si="0"/>
        <v>6.1920567700583629E-2</v>
      </c>
      <c r="E23" s="81">
        <f t="shared" si="1"/>
        <v>-3.0136734720649261E-2</v>
      </c>
      <c r="G23" s="88" t="s">
        <v>292</v>
      </c>
      <c r="H23" s="88">
        <v>56</v>
      </c>
      <c r="I23" s="88">
        <v>0.43345276558097562</v>
      </c>
      <c r="J23" s="88">
        <v>7.7402279568031364E-3</v>
      </c>
      <c r="K23" s="88"/>
      <c r="L23" s="88"/>
    </row>
    <row r="24" spans="1:15" ht="17" thickBot="1" x14ac:dyDescent="0.25">
      <c r="A24" s="76">
        <v>45108</v>
      </c>
      <c r="B24" s="73">
        <v>96.72</v>
      </c>
      <c r="C24" s="74">
        <v>4391.2700000000004</v>
      </c>
      <c r="D24" s="81">
        <f t="shared" si="0"/>
        <v>4.246604871739601E-2</v>
      </c>
      <c r="E24" s="81">
        <f t="shared" si="1"/>
        <v>-1.007894535142162E-2</v>
      </c>
      <c r="G24" s="89" t="s">
        <v>209</v>
      </c>
      <c r="H24" s="89">
        <v>57</v>
      </c>
      <c r="I24" s="89">
        <v>0.43545050740426267</v>
      </c>
      <c r="J24" s="89"/>
      <c r="K24" s="89"/>
      <c r="L24" s="89"/>
    </row>
    <row r="25" spans="1:15" ht="17" thickBot="1" x14ac:dyDescent="0.25">
      <c r="A25" s="76">
        <v>45078</v>
      </c>
      <c r="B25" s="73">
        <v>94.33</v>
      </c>
      <c r="C25" s="74">
        <v>4391.3</v>
      </c>
      <c r="D25" s="81">
        <f t="shared" si="0"/>
        <v>-2.4710504549214196E-2</v>
      </c>
      <c r="E25" s="81">
        <f t="shared" si="1"/>
        <v>6.8317366046510841E-6</v>
      </c>
    </row>
    <row r="26" spans="1:15" x14ac:dyDescent="0.2">
      <c r="A26" s="76">
        <v>45047</v>
      </c>
      <c r="B26" s="73">
        <v>92.51</v>
      </c>
      <c r="C26" s="74">
        <v>4040.36</v>
      </c>
      <c r="D26" s="81">
        <f t="shared" si="0"/>
        <v>-1.9293967984734373E-2</v>
      </c>
      <c r="E26" s="81">
        <f t="shared" si="1"/>
        <v>-7.9917108828820638E-2</v>
      </c>
      <c r="G26" s="90"/>
      <c r="H26" s="90" t="s">
        <v>299</v>
      </c>
      <c r="I26" s="90" t="s">
        <v>288</v>
      </c>
      <c r="J26" s="90" t="s">
        <v>300</v>
      </c>
      <c r="K26" s="90" t="s">
        <v>301</v>
      </c>
      <c r="L26" s="90" t="s">
        <v>302</v>
      </c>
      <c r="M26" s="90" t="s">
        <v>303</v>
      </c>
      <c r="N26" s="90" t="s">
        <v>304</v>
      </c>
      <c r="O26" s="90" t="s">
        <v>305</v>
      </c>
    </row>
    <row r="27" spans="1:15" x14ac:dyDescent="0.2">
      <c r="A27" s="76">
        <v>45017</v>
      </c>
      <c r="B27" s="73">
        <v>108.29</v>
      </c>
      <c r="C27" s="74">
        <v>3898.95</v>
      </c>
      <c r="D27" s="81">
        <f t="shared" si="0"/>
        <v>0.17057615392930492</v>
      </c>
      <c r="E27" s="81">
        <f t="shared" si="1"/>
        <v>-3.49993564929858E-2</v>
      </c>
      <c r="G27" s="88" t="s">
        <v>293</v>
      </c>
      <c r="H27" s="88">
        <v>-1.3605175200467432E-3</v>
      </c>
      <c r="I27" s="88">
        <v>1.2093141389123763E-2</v>
      </c>
      <c r="J27" s="88">
        <v>-0.1125032343763346</v>
      </c>
      <c r="K27" s="88">
        <v>0.91082672449126867</v>
      </c>
      <c r="L27" s="88">
        <v>-2.5585990769523993E-2</v>
      </c>
      <c r="M27" s="88">
        <v>2.2864955729430505E-2</v>
      </c>
      <c r="N27" s="88">
        <v>-2.5585990769523993E-2</v>
      </c>
      <c r="O27" s="88">
        <v>2.2864955729430505E-2</v>
      </c>
    </row>
    <row r="28" spans="1:15" ht="17" thickBot="1" x14ac:dyDescent="0.25">
      <c r="A28" s="76">
        <v>44986</v>
      </c>
      <c r="B28" s="73">
        <v>98.66</v>
      </c>
      <c r="C28" s="74">
        <v>3911.73</v>
      </c>
      <c r="D28" s="81">
        <f t="shared" si="0"/>
        <v>-8.8927878843845343E-2</v>
      </c>
      <c r="E28" s="81">
        <f t="shared" si="1"/>
        <v>3.2778055630362513E-3</v>
      </c>
      <c r="G28" s="89">
        <v>6.3378110850042191E-2</v>
      </c>
      <c r="H28" s="89">
        <v>0.18138250391337207</v>
      </c>
      <c r="I28" s="89">
        <v>0.35702825526253218</v>
      </c>
      <c r="J28" s="89">
        <v>0.50803403159225258</v>
      </c>
      <c r="K28" s="89">
        <v>0.61342486159064213</v>
      </c>
      <c r="L28" s="89">
        <v>-0.53383103480774463</v>
      </c>
      <c r="M28" s="89">
        <v>0.89659604263448878</v>
      </c>
      <c r="N28" s="89">
        <v>-0.53383103480774463</v>
      </c>
      <c r="O28" s="89">
        <v>0.89659604263448878</v>
      </c>
    </row>
    <row r="29" spans="1:15" x14ac:dyDescent="0.2">
      <c r="A29" s="76">
        <v>44958</v>
      </c>
      <c r="B29" s="73">
        <v>96.25</v>
      </c>
      <c r="C29" s="74">
        <v>4158.5600000000004</v>
      </c>
      <c r="D29" s="81">
        <f t="shared" si="0"/>
        <v>-2.4427326170687214E-2</v>
      </c>
      <c r="E29" s="81">
        <f t="shared" si="1"/>
        <v>6.3099958330457451E-2</v>
      </c>
    </row>
    <row r="30" spans="1:15" x14ac:dyDescent="0.2">
      <c r="A30" s="76">
        <v>44927</v>
      </c>
      <c r="B30" s="73">
        <v>102.89</v>
      </c>
      <c r="C30" s="74">
        <v>3850.52</v>
      </c>
      <c r="D30" s="81">
        <f t="shared" si="0"/>
        <v>6.898701298701293E-2</v>
      </c>
      <c r="E30" s="81">
        <f t="shared" si="1"/>
        <v>-7.4073717825401175E-2</v>
      </c>
    </row>
    <row r="31" spans="1:15" x14ac:dyDescent="0.2">
      <c r="A31" s="76">
        <v>44896</v>
      </c>
      <c r="B31" s="73">
        <v>93.52</v>
      </c>
      <c r="C31" s="74">
        <v>3726.05</v>
      </c>
      <c r="D31" s="81">
        <f t="shared" si="0"/>
        <v>-9.1068131013704035E-2</v>
      </c>
      <c r="E31" s="81">
        <f t="shared" si="1"/>
        <v>-3.2325504087759471E-2</v>
      </c>
    </row>
    <row r="32" spans="1:15" x14ac:dyDescent="0.2">
      <c r="A32" s="76">
        <v>44866</v>
      </c>
      <c r="B32" s="73">
        <v>95.8</v>
      </c>
      <c r="C32" s="74">
        <v>3917.49</v>
      </c>
      <c r="D32" s="81">
        <f t="shared" si="0"/>
        <v>2.4379811804961626E-2</v>
      </c>
      <c r="E32" s="81">
        <f t="shared" si="1"/>
        <v>5.1378805974154895E-2</v>
      </c>
    </row>
    <row r="33" spans="1:12" x14ac:dyDescent="0.2">
      <c r="A33" s="76">
        <v>44835</v>
      </c>
      <c r="B33" s="73">
        <v>81.17</v>
      </c>
      <c r="C33" s="74">
        <v>3912.38</v>
      </c>
      <c r="D33" s="81">
        <f t="shared" si="0"/>
        <v>-0.15271398747390397</v>
      </c>
      <c r="E33" s="81">
        <f t="shared" si="1"/>
        <v>-1.3044066481343597E-3</v>
      </c>
    </row>
    <row r="34" spans="1:12" x14ac:dyDescent="0.2">
      <c r="A34" s="76">
        <v>44805</v>
      </c>
      <c r="B34" s="73">
        <v>78.98</v>
      </c>
      <c r="C34" s="74">
        <v>3960.66</v>
      </c>
      <c r="D34" s="81">
        <f t="shared" si="0"/>
        <v>-2.698041148207464E-2</v>
      </c>
      <c r="E34" s="81">
        <f t="shared" si="1"/>
        <v>1.2340314591118284E-2</v>
      </c>
    </row>
    <row r="35" spans="1:12" x14ac:dyDescent="0.2">
      <c r="A35" s="76">
        <v>44774</v>
      </c>
      <c r="B35" s="73">
        <v>78.36</v>
      </c>
      <c r="C35" s="74">
        <v>4079.68</v>
      </c>
      <c r="D35" s="81">
        <f t="shared" si="0"/>
        <v>-7.8500886300330031E-3</v>
      </c>
      <c r="E35" s="81">
        <f t="shared" si="1"/>
        <v>3.0050547131033722E-2</v>
      </c>
    </row>
    <row r="36" spans="1:12" x14ac:dyDescent="0.2">
      <c r="A36" s="76">
        <v>44743</v>
      </c>
      <c r="B36" s="73">
        <v>79.02</v>
      </c>
      <c r="C36" s="74">
        <v>3968.56</v>
      </c>
      <c r="D36" s="81">
        <f t="shared" si="0"/>
        <v>8.4226646248084514E-3</v>
      </c>
      <c r="E36" s="81">
        <f t="shared" si="1"/>
        <v>-2.7237430386697015E-2</v>
      </c>
    </row>
    <row r="37" spans="1:12" x14ac:dyDescent="0.2">
      <c r="A37" s="76">
        <v>44713</v>
      </c>
      <c r="B37" s="73">
        <v>71.2</v>
      </c>
      <c r="C37" s="74">
        <v>4121.47</v>
      </c>
      <c r="D37" s="81">
        <f t="shared" si="0"/>
        <v>-9.8962288028347167E-2</v>
      </c>
      <c r="E37" s="81">
        <f t="shared" si="1"/>
        <v>3.8530348539520753E-2</v>
      </c>
    </row>
    <row r="38" spans="1:12" x14ac:dyDescent="0.2">
      <c r="A38" s="76">
        <v>44682</v>
      </c>
      <c r="B38" s="73">
        <v>72.66</v>
      </c>
      <c r="C38" s="74">
        <v>4146.17</v>
      </c>
      <c r="D38" s="81">
        <f t="shared" si="0"/>
        <v>2.0505617977528035E-2</v>
      </c>
      <c r="E38" s="81">
        <f t="shared" si="1"/>
        <v>5.9930073493195124E-3</v>
      </c>
    </row>
    <row r="39" spans="1:12" x14ac:dyDescent="0.2">
      <c r="A39" s="76">
        <v>44652</v>
      </c>
      <c r="B39" s="73">
        <v>69.08</v>
      </c>
      <c r="C39" s="74">
        <v>4345.37</v>
      </c>
      <c r="D39" s="81">
        <f t="shared" si="0"/>
        <v>-4.9270575282135964E-2</v>
      </c>
      <c r="E39" s="81">
        <f t="shared" si="1"/>
        <v>4.8044339715930473E-2</v>
      </c>
    </row>
    <row r="40" spans="1:12" x14ac:dyDescent="0.2">
      <c r="A40" s="76">
        <v>44621</v>
      </c>
      <c r="B40" s="73">
        <v>84.2</v>
      </c>
      <c r="C40" s="74">
        <v>4508.08</v>
      </c>
      <c r="D40" s="81">
        <f t="shared" si="0"/>
        <v>0.21887666473653744</v>
      </c>
      <c r="E40" s="81">
        <f t="shared" si="1"/>
        <v>3.7444452371144576E-2</v>
      </c>
    </row>
    <row r="41" spans="1:12" x14ac:dyDescent="0.2">
      <c r="A41" s="76">
        <v>44593</v>
      </c>
      <c r="B41" s="73">
        <v>84.53</v>
      </c>
      <c r="C41" s="74">
        <v>4457.3599999999997</v>
      </c>
      <c r="D41" s="81">
        <f t="shared" si="0"/>
        <v>3.9192399049881033E-3</v>
      </c>
      <c r="E41" s="81">
        <f t="shared" si="1"/>
        <v>-1.1250909478092708E-2</v>
      </c>
    </row>
    <row r="42" spans="1:12" x14ac:dyDescent="0.2">
      <c r="A42" s="76">
        <v>44562</v>
      </c>
      <c r="B42" s="73">
        <v>90.54</v>
      </c>
      <c r="C42" s="74">
        <v>4409.1000000000004</v>
      </c>
      <c r="D42" s="81">
        <f t="shared" si="0"/>
        <v>7.1099018100082789E-2</v>
      </c>
      <c r="E42" s="81">
        <f t="shared" si="1"/>
        <v>-1.0827036631548603E-2</v>
      </c>
    </row>
    <row r="43" spans="1:12" x14ac:dyDescent="0.2">
      <c r="A43" s="76">
        <v>44531</v>
      </c>
      <c r="B43" s="73">
        <v>107.71</v>
      </c>
      <c r="C43" s="74">
        <v>4269.3999999999996</v>
      </c>
      <c r="D43" s="81">
        <f t="shared" si="0"/>
        <v>0.18963993814888425</v>
      </c>
      <c r="E43" s="81">
        <f t="shared" si="1"/>
        <v>-3.1684470753668759E-2</v>
      </c>
      <c r="G43" s="55"/>
      <c r="H43" s="92"/>
      <c r="I43" s="55"/>
      <c r="J43" s="55"/>
      <c r="K43" s="55"/>
      <c r="L43" s="55"/>
    </row>
    <row r="44" spans="1:12" x14ac:dyDescent="0.2">
      <c r="A44" s="76">
        <v>44501</v>
      </c>
      <c r="B44" s="73">
        <v>100.53</v>
      </c>
      <c r="C44" s="74">
        <v>4460.0600000000004</v>
      </c>
      <c r="D44" s="81">
        <f t="shared" si="0"/>
        <v>-6.6660477207315827E-2</v>
      </c>
      <c r="E44" s="81">
        <f t="shared" si="1"/>
        <v>4.4657328898674464E-2</v>
      </c>
      <c r="G44" s="55"/>
      <c r="H44" s="88"/>
      <c r="I44" s="55"/>
      <c r="J44" s="55"/>
      <c r="K44" s="55"/>
      <c r="L44" s="55"/>
    </row>
    <row r="45" spans="1:12" x14ac:dyDescent="0.2">
      <c r="A45" s="76">
        <v>44470</v>
      </c>
      <c r="B45" s="73">
        <v>97.26</v>
      </c>
      <c r="C45" s="74">
        <v>4685.05</v>
      </c>
      <c r="D45" s="81">
        <f t="shared" si="0"/>
        <v>-3.2527603700387875E-2</v>
      </c>
      <c r="E45" s="81">
        <f t="shared" si="1"/>
        <v>5.0445509701663171E-2</v>
      </c>
      <c r="G45" s="55"/>
      <c r="H45" s="88"/>
      <c r="I45" s="55"/>
      <c r="J45" s="55"/>
      <c r="K45" s="55"/>
      <c r="L45" s="55"/>
    </row>
    <row r="46" spans="1:12" x14ac:dyDescent="0.2">
      <c r="A46" s="76">
        <v>44440</v>
      </c>
      <c r="B46" s="73">
        <v>101.15</v>
      </c>
      <c r="C46" s="74">
        <v>4804.49</v>
      </c>
      <c r="D46" s="81">
        <f t="shared" si="0"/>
        <v>3.9995887312358702E-2</v>
      </c>
      <c r="E46" s="81">
        <f t="shared" si="1"/>
        <v>2.5493858123178947E-2</v>
      </c>
      <c r="G46" s="55"/>
      <c r="H46" s="88"/>
      <c r="I46" s="55"/>
      <c r="J46" s="55"/>
      <c r="K46" s="55"/>
      <c r="L46" s="55"/>
    </row>
    <row r="47" spans="1:12" x14ac:dyDescent="0.2">
      <c r="A47" s="76">
        <v>44409</v>
      </c>
      <c r="B47" s="73">
        <v>107.31</v>
      </c>
      <c r="C47" s="74">
        <v>5011.96</v>
      </c>
      <c r="D47" s="81">
        <f t="shared" si="0"/>
        <v>6.0899653979238799E-2</v>
      </c>
      <c r="E47" s="81">
        <f t="shared" si="1"/>
        <v>4.3182523014929863E-2</v>
      </c>
      <c r="G47" s="55"/>
      <c r="H47" s="88"/>
      <c r="I47" s="55"/>
      <c r="J47" s="55"/>
      <c r="K47" s="55"/>
      <c r="L47" s="55"/>
    </row>
    <row r="48" spans="1:12" x14ac:dyDescent="0.2">
      <c r="A48" s="76">
        <v>44378</v>
      </c>
      <c r="B48" s="73">
        <v>110.91</v>
      </c>
      <c r="C48" s="74">
        <v>5170.57</v>
      </c>
      <c r="D48" s="81">
        <f t="shared" si="0"/>
        <v>3.3547665641598945E-2</v>
      </c>
      <c r="E48" s="81">
        <f t="shared" si="1"/>
        <v>3.1646302045507113E-2</v>
      </c>
      <c r="G48" s="55"/>
      <c r="H48" s="88"/>
      <c r="I48" s="55"/>
      <c r="J48" s="55"/>
      <c r="K48" s="55"/>
      <c r="L48" s="55"/>
    </row>
    <row r="49" spans="1:12" x14ac:dyDescent="0.2">
      <c r="A49" s="76">
        <v>44348</v>
      </c>
      <c r="B49" s="73">
        <v>102.12</v>
      </c>
      <c r="C49" s="74">
        <v>5112.49</v>
      </c>
      <c r="D49" s="81">
        <f t="shared" si="0"/>
        <v>-7.9253448742223398E-2</v>
      </c>
      <c r="E49" s="81">
        <f t="shared" si="1"/>
        <v>-1.1232804120242079E-2</v>
      </c>
      <c r="G49" s="55"/>
      <c r="H49" s="55"/>
      <c r="I49" s="55"/>
      <c r="J49" s="55"/>
      <c r="K49" s="55"/>
      <c r="L49" s="55"/>
    </row>
    <row r="50" spans="1:12" x14ac:dyDescent="0.2">
      <c r="A50" s="76">
        <v>44317</v>
      </c>
      <c r="B50" s="73">
        <v>103.6</v>
      </c>
      <c r="C50" s="74">
        <v>5235.2299999999996</v>
      </c>
      <c r="D50" s="81">
        <f t="shared" si="0"/>
        <v>1.4492753623188248E-2</v>
      </c>
      <c r="E50" s="81">
        <f t="shared" si="1"/>
        <v>2.4007870920040864E-2</v>
      </c>
      <c r="G50" s="55"/>
      <c r="H50" s="55"/>
      <c r="I50" s="55"/>
      <c r="J50" s="55"/>
      <c r="K50" s="55"/>
      <c r="L50" s="55"/>
    </row>
    <row r="51" spans="1:12" x14ac:dyDescent="0.2">
      <c r="A51" s="76">
        <v>44287</v>
      </c>
      <c r="B51" s="73">
        <v>104.16</v>
      </c>
      <c r="C51" s="74">
        <v>5415.14</v>
      </c>
      <c r="D51" s="81">
        <f t="shared" si="0"/>
        <v>5.4054054054053502E-3</v>
      </c>
      <c r="E51" s="81">
        <f t="shared" si="1"/>
        <v>3.4365252338483865E-2</v>
      </c>
      <c r="G51" s="55"/>
      <c r="H51" s="93"/>
      <c r="I51" s="93"/>
      <c r="J51" s="93"/>
      <c r="K51" s="93"/>
      <c r="L51" s="93"/>
    </row>
    <row r="52" spans="1:12" x14ac:dyDescent="0.2">
      <c r="A52" s="76">
        <v>44256</v>
      </c>
      <c r="B52" s="73">
        <v>99.41</v>
      </c>
      <c r="C52" s="74">
        <v>5538</v>
      </c>
      <c r="D52" s="81">
        <f t="shared" si="0"/>
        <v>-4.5602918586789554E-2</v>
      </c>
      <c r="E52" s="81">
        <f t="shared" si="1"/>
        <v>2.2688240747238186E-2</v>
      </c>
      <c r="G52" s="55"/>
      <c r="H52" s="88"/>
      <c r="I52" s="88"/>
      <c r="J52" s="88"/>
      <c r="K52" s="88"/>
      <c r="L52" s="88"/>
    </row>
    <row r="53" spans="1:12" x14ac:dyDescent="0.2">
      <c r="A53" s="76">
        <v>44228</v>
      </c>
      <c r="B53" s="73">
        <v>97.86</v>
      </c>
      <c r="C53" s="74">
        <v>5478.21</v>
      </c>
      <c r="D53" s="81">
        <f t="shared" si="0"/>
        <v>-1.5591992757267858E-2</v>
      </c>
      <c r="E53" s="81">
        <f t="shared" si="1"/>
        <v>-1.0796316359696689E-2</v>
      </c>
      <c r="G53" s="55"/>
      <c r="H53" s="88"/>
      <c r="I53" s="88"/>
      <c r="J53" s="88"/>
      <c r="K53" s="88"/>
      <c r="L53" s="88"/>
    </row>
    <row r="54" spans="1:12" x14ac:dyDescent="0.2">
      <c r="A54" s="76">
        <v>44197</v>
      </c>
      <c r="B54" s="73">
        <v>87.7</v>
      </c>
      <c r="C54" s="74">
        <v>5621.26</v>
      </c>
      <c r="D54" s="81">
        <f t="shared" si="0"/>
        <v>-0.10382178622521965</v>
      </c>
      <c r="E54" s="81">
        <f t="shared" si="1"/>
        <v>2.6112544060925114E-2</v>
      </c>
      <c r="G54" s="55"/>
      <c r="H54" s="88"/>
      <c r="I54" s="88"/>
      <c r="J54" s="88"/>
      <c r="K54" s="88"/>
      <c r="L54" s="88"/>
    </row>
    <row r="55" spans="1:12" x14ac:dyDescent="0.2">
      <c r="A55" s="76">
        <v>44166</v>
      </c>
      <c r="B55" s="73">
        <v>96.91</v>
      </c>
      <c r="C55" s="74">
        <v>5792.32</v>
      </c>
      <c r="D55" s="81">
        <f t="shared" si="0"/>
        <v>0.1050171037628278</v>
      </c>
      <c r="E55" s="81">
        <f t="shared" si="1"/>
        <v>3.0430899833844949E-2</v>
      </c>
      <c r="G55" s="55"/>
      <c r="H55" s="55"/>
      <c r="I55" s="55"/>
      <c r="J55" s="55"/>
      <c r="K55" s="55"/>
      <c r="L55" s="55"/>
    </row>
    <row r="56" spans="1:12" x14ac:dyDescent="0.2">
      <c r="A56" s="76">
        <v>44136</v>
      </c>
      <c r="B56" s="73">
        <v>88.38</v>
      </c>
      <c r="C56" s="74">
        <v>5929.92</v>
      </c>
      <c r="D56" s="81">
        <f t="shared" si="0"/>
        <v>-8.8019812196883707E-2</v>
      </c>
      <c r="E56" s="81">
        <f t="shared" si="1"/>
        <v>2.375559361361268E-2</v>
      </c>
      <c r="G56" s="55"/>
      <c r="H56" s="55"/>
      <c r="I56" s="55"/>
      <c r="J56" s="55"/>
      <c r="K56" s="55"/>
      <c r="L56" s="55"/>
    </row>
    <row r="57" spans="1:12" x14ac:dyDescent="0.2">
      <c r="A57" s="76">
        <v>44105</v>
      </c>
      <c r="B57" s="73">
        <v>78.41</v>
      </c>
      <c r="C57" s="74">
        <v>6010.91</v>
      </c>
      <c r="D57" s="81">
        <f t="shared" si="0"/>
        <v>-0.11280832767594473</v>
      </c>
      <c r="E57" s="81">
        <f t="shared" si="1"/>
        <v>1.3657857104311555E-2</v>
      </c>
      <c r="G57" s="55"/>
      <c r="H57" s="55"/>
      <c r="I57" s="55"/>
      <c r="J57" s="55"/>
      <c r="K57" s="55"/>
      <c r="L57" s="55"/>
    </row>
    <row r="58" spans="1:12" x14ac:dyDescent="0.2">
      <c r="A58" s="76">
        <v>44075</v>
      </c>
      <c r="B58" s="73">
        <v>77.47</v>
      </c>
      <c r="C58" s="74">
        <v>5979.52</v>
      </c>
      <c r="D58" s="81">
        <f t="shared" si="0"/>
        <v>-1.1988266802703706E-2</v>
      </c>
      <c r="E58" s="81">
        <f t="shared" si="1"/>
        <v>-5.2221710190303305E-3</v>
      </c>
      <c r="G58" s="55"/>
      <c r="H58" s="55"/>
      <c r="I58" s="55"/>
      <c r="J58" s="55"/>
      <c r="K58" s="55"/>
      <c r="L58" s="55"/>
    </row>
    <row r="59" spans="1:12" x14ac:dyDescent="0.2">
      <c r="A59" s="76">
        <v>44044</v>
      </c>
      <c r="B59" s="73">
        <v>75.75</v>
      </c>
      <c r="C59" s="74">
        <v>6038.69</v>
      </c>
      <c r="D59" s="81">
        <f t="shared" si="0"/>
        <v>-2.2202142764941257E-2</v>
      </c>
      <c r="E59" s="81">
        <f t="shared" si="1"/>
        <v>9.8954431124904652E-3</v>
      </c>
    </row>
    <row r="60" spans="1:12" x14ac:dyDescent="0.2">
      <c r="A60" s="76">
        <v>44013</v>
      </c>
      <c r="B60" s="73">
        <v>68.63</v>
      </c>
      <c r="C60" s="74">
        <v>5683.98</v>
      </c>
      <c r="D60" s="81">
        <f t="shared" si="0"/>
        <v>-9.3993399339934003E-2</v>
      </c>
      <c r="E60" s="81">
        <f t="shared" si="1"/>
        <v>-5.8739561063740675E-2</v>
      </c>
    </row>
    <row r="61" spans="1:12" x14ac:dyDescent="0.2">
      <c r="A61" s="76">
        <v>43983</v>
      </c>
      <c r="B61" s="73">
        <v>65.989999999999995</v>
      </c>
      <c r="C61" s="74">
        <v>5369.5</v>
      </c>
      <c r="D61" s="81">
        <f t="shared" si="0"/>
        <v>-3.8467142648987318E-2</v>
      </c>
      <c r="E61" s="81">
        <f t="shared" si="1"/>
        <v>-5.5327429019806473E-2</v>
      </c>
    </row>
    <row r="62" spans="1:12" x14ac:dyDescent="0.2">
      <c r="C62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74B5-3762-A948-8EFE-1FE682A79E69}">
  <sheetPr>
    <tabColor rgb="FF188C51"/>
  </sheetPr>
  <dimension ref="A2:K29"/>
  <sheetViews>
    <sheetView topLeftCell="A2" workbookViewId="0">
      <selection activeCell="H24" sqref="H24"/>
    </sheetView>
  </sheetViews>
  <sheetFormatPr baseColWidth="10" defaultRowHeight="13" x14ac:dyDescent="0.15"/>
  <cols>
    <col min="1" max="1" width="22.5" customWidth="1"/>
    <col min="2" max="2" width="18.33203125" customWidth="1"/>
    <col min="4" max="4" width="10.5" customWidth="1"/>
    <col min="5" max="5" width="16" customWidth="1"/>
    <col min="6" max="6" width="15.6640625" customWidth="1"/>
    <col min="7" max="7" width="16.1640625" customWidth="1"/>
  </cols>
  <sheetData>
    <row r="2" spans="1:7" ht="25" x14ac:dyDescent="0.25">
      <c r="A2" s="147" t="s">
        <v>398</v>
      </c>
      <c r="B2" s="147"/>
    </row>
    <row r="4" spans="1:7" ht="16" x14ac:dyDescent="0.2">
      <c r="A4" s="43" t="s">
        <v>249</v>
      </c>
      <c r="B4" t="s">
        <v>275</v>
      </c>
    </row>
    <row r="5" spans="1:7" ht="15" thickBot="1" x14ac:dyDescent="0.2">
      <c r="A5" s="38"/>
    </row>
    <row r="6" spans="1:7" ht="15" thickBot="1" x14ac:dyDescent="0.2">
      <c r="A6" s="46" t="s">
        <v>207</v>
      </c>
      <c r="B6" s="47"/>
      <c r="E6" s="139" t="s">
        <v>204</v>
      </c>
      <c r="F6" s="139"/>
    </row>
    <row r="7" spans="1:7" ht="14" x14ac:dyDescent="0.15">
      <c r="A7" s="44" t="s">
        <v>30</v>
      </c>
      <c r="B7" s="70">
        <f>'Income Statement'!C25</f>
        <v>596.6</v>
      </c>
      <c r="E7" s="104" t="s">
        <v>205</v>
      </c>
      <c r="F7" s="140">
        <v>4.2999999999999997E-2</v>
      </c>
    </row>
    <row r="8" spans="1:7" ht="14" x14ac:dyDescent="0.15">
      <c r="A8" s="44" t="s">
        <v>239</v>
      </c>
      <c r="B8" s="70">
        <f>BS!B84</f>
        <v>25803.1</v>
      </c>
      <c r="E8" s="104" t="s">
        <v>206</v>
      </c>
      <c r="F8" s="141">
        <f>0.8</f>
        <v>0.8</v>
      </c>
    </row>
    <row r="9" spans="1:7" ht="14" x14ac:dyDescent="0.15">
      <c r="A9" s="44" t="s">
        <v>242</v>
      </c>
      <c r="B9" s="71">
        <f>B7/B8</f>
        <v>2.3121252872716845E-2</v>
      </c>
      <c r="E9" s="104" t="s">
        <v>244</v>
      </c>
      <c r="F9" s="142">
        <v>9.2999999999999999E-2</v>
      </c>
    </row>
    <row r="10" spans="1:7" ht="14" x14ac:dyDescent="0.15">
      <c r="A10" s="44" t="s">
        <v>243</v>
      </c>
      <c r="B10" s="70">
        <f>'Income Statement'!C39</f>
        <v>1207.3</v>
      </c>
      <c r="E10" s="104" t="s">
        <v>204</v>
      </c>
      <c r="F10" s="143">
        <f>(F7)+(F8)*(F9-F7)</f>
        <v>8.3000000000000004E-2</v>
      </c>
    </row>
    <row r="11" spans="1:7" ht="15" thickBot="1" x14ac:dyDescent="0.2">
      <c r="A11" s="44" t="s">
        <v>240</v>
      </c>
      <c r="B11" s="70">
        <f>'Income Statement'!C38</f>
        <v>4969.6000000000004</v>
      </c>
    </row>
    <row r="12" spans="1:7" ht="14" x14ac:dyDescent="0.15">
      <c r="A12" s="44" t="s">
        <v>208</v>
      </c>
      <c r="B12" s="71">
        <f>B10/B11</f>
        <v>0.24293705730843526</v>
      </c>
      <c r="E12" s="144" t="s">
        <v>248</v>
      </c>
      <c r="F12" s="145"/>
    </row>
    <row r="13" spans="1:7" ht="14" x14ac:dyDescent="0.15">
      <c r="A13" s="45" t="s">
        <v>241</v>
      </c>
      <c r="B13" s="72">
        <f>B9*(1-B12)</f>
        <v>1.7504243738534809E-2</v>
      </c>
      <c r="E13" s="104" t="s">
        <v>140</v>
      </c>
      <c r="F13" s="131">
        <f>B8</f>
        <v>25803.1</v>
      </c>
      <c r="G13" s="146">
        <f>F13/F15</f>
        <v>0.20027227547945087</v>
      </c>
    </row>
    <row r="14" spans="1:7" ht="14" x14ac:dyDescent="0.15">
      <c r="A14" s="38"/>
      <c r="E14" s="104" t="s">
        <v>203</v>
      </c>
      <c r="F14" s="131">
        <v>103037</v>
      </c>
      <c r="G14" s="146">
        <f>F14/F15</f>
        <v>0.79972772452054908</v>
      </c>
    </row>
    <row r="15" spans="1:7" ht="14" x14ac:dyDescent="0.15">
      <c r="A15" s="38"/>
      <c r="E15" s="104" t="s">
        <v>209</v>
      </c>
      <c r="F15" s="131">
        <f>SUM(F13:F14)</f>
        <v>128840.1</v>
      </c>
      <c r="G15" s="140">
        <f>SUM(G13:G14)</f>
        <v>1</v>
      </c>
    </row>
    <row r="16" spans="1:7" ht="14" x14ac:dyDescent="0.15">
      <c r="A16" s="38"/>
    </row>
    <row r="17" spans="1:11" ht="14" x14ac:dyDescent="0.15">
      <c r="A17" s="38"/>
      <c r="E17" s="137" t="s">
        <v>399</v>
      </c>
      <c r="F17" s="148">
        <f>(B9*G13)+(F10*G14)</f>
        <v>7.1007947059960358E-2</v>
      </c>
      <c r="H17" s="137" t="s">
        <v>402</v>
      </c>
      <c r="I17" s="137"/>
      <c r="J17" s="142">
        <v>2.5000000000000001E-2</v>
      </c>
    </row>
    <row r="18" spans="1:11" ht="14" x14ac:dyDescent="0.15">
      <c r="A18" s="38" t="s">
        <v>407</v>
      </c>
    </row>
    <row r="19" spans="1:11" ht="20" x14ac:dyDescent="0.2">
      <c r="A19" s="135" t="s">
        <v>245</v>
      </c>
      <c r="B19" s="135">
        <v>2015</v>
      </c>
      <c r="C19" s="135">
        <v>2016</v>
      </c>
      <c r="D19" s="135">
        <v>2017</v>
      </c>
      <c r="E19" s="135">
        <v>2018</v>
      </c>
      <c r="F19" s="135">
        <v>2019</v>
      </c>
      <c r="G19" s="135">
        <v>2020</v>
      </c>
      <c r="H19" s="135">
        <v>2021</v>
      </c>
      <c r="I19" s="135">
        <v>2022</v>
      </c>
      <c r="J19" s="135">
        <v>2023</v>
      </c>
      <c r="K19" s="135">
        <v>2024</v>
      </c>
    </row>
    <row r="20" spans="1:11" ht="14" x14ac:dyDescent="0.15">
      <c r="A20" s="130" t="s">
        <v>246</v>
      </c>
      <c r="B20" s="131">
        <f>CFS!L58</f>
        <v>2445.4</v>
      </c>
      <c r="C20" s="131">
        <f>CFS!K58</f>
        <v>3134.8</v>
      </c>
      <c r="D20" s="131">
        <f>CFS!J58</f>
        <v>2654.9</v>
      </c>
      <c r="E20" s="131">
        <f>CFS!I58</f>
        <v>9961.4</v>
      </c>
      <c r="F20" s="131">
        <f>CFS!H58</f>
        <v>3240.4</v>
      </c>
      <c r="G20" s="131">
        <f>CFS!G58</f>
        <v>114.2</v>
      </c>
      <c r="H20" s="131">
        <f>CFS!F58</f>
        <v>4519.1000000000004</v>
      </c>
      <c r="I20" s="131">
        <f>CFS!E58</f>
        <v>2556</v>
      </c>
      <c r="J20" s="131">
        <f>CFS!D58</f>
        <v>3675.1</v>
      </c>
      <c r="K20" s="131">
        <f>CFS!C58</f>
        <v>3318.1</v>
      </c>
    </row>
    <row r="21" spans="1:11" ht="14" x14ac:dyDescent="0.15">
      <c r="A21" s="130" t="s">
        <v>247</v>
      </c>
      <c r="B21" s="104"/>
      <c r="C21" s="132">
        <f>(C20-B20)/B20</f>
        <v>0.28191706878220335</v>
      </c>
      <c r="D21" s="132">
        <f t="shared" ref="D21:K21" si="0">(D20-C20)/C20</f>
        <v>-0.15308791629450047</v>
      </c>
      <c r="E21" s="132">
        <f t="shared" si="0"/>
        <v>2.7520810576669552</v>
      </c>
      <c r="F21" s="132">
        <f t="shared" si="0"/>
        <v>-0.67470435882506474</v>
      </c>
      <c r="G21" s="132">
        <f t="shared" si="0"/>
        <v>-0.96475743735341324</v>
      </c>
      <c r="H21" s="132">
        <f t="shared" si="0"/>
        <v>38.571803852889673</v>
      </c>
      <c r="I21" s="132">
        <f t="shared" si="0"/>
        <v>-0.43440065499767655</v>
      </c>
      <c r="J21" s="132">
        <f t="shared" si="0"/>
        <v>0.43783255086071982</v>
      </c>
      <c r="K21" s="132">
        <f t="shared" si="0"/>
        <v>-9.7140213871731385E-2</v>
      </c>
    </row>
    <row r="22" spans="1:11" ht="20" x14ac:dyDescent="0.2">
      <c r="A22" s="135" t="s">
        <v>245</v>
      </c>
      <c r="B22" s="135">
        <v>2025</v>
      </c>
      <c r="C22" s="135">
        <v>2026</v>
      </c>
      <c r="D22" s="135">
        <v>2027</v>
      </c>
      <c r="E22" s="135">
        <v>2028</v>
      </c>
      <c r="F22" s="135">
        <v>2029</v>
      </c>
      <c r="G22" s="98" t="s">
        <v>408</v>
      </c>
      <c r="I22" s="80"/>
    </row>
    <row r="23" spans="1:11" x14ac:dyDescent="0.15">
      <c r="A23" s="104" t="s">
        <v>386</v>
      </c>
      <c r="B23" s="136">
        <f>K20*(1+B24)</f>
        <v>3915.3579999999997</v>
      </c>
      <c r="C23" s="136">
        <f>B23*(1+C24)</f>
        <v>4620.1224399999992</v>
      </c>
      <c r="D23" s="136">
        <f t="shared" ref="D23:F23" si="1">C23*(1+D24)</f>
        <v>5451.7444791999988</v>
      </c>
      <c r="E23" s="136">
        <f t="shared" si="1"/>
        <v>6433.0584854559984</v>
      </c>
      <c r="F23" s="136">
        <f t="shared" si="1"/>
        <v>7591.009012838078</v>
      </c>
      <c r="G23" s="149">
        <f>(F23*(1+$J$17))/(F17-J17)</f>
        <v>169118.26619906854</v>
      </c>
    </row>
    <row r="24" spans="1:11" x14ac:dyDescent="0.15">
      <c r="A24" s="104" t="s">
        <v>400</v>
      </c>
      <c r="B24" s="103">
        <v>0.18</v>
      </c>
      <c r="C24" s="103">
        <v>0.18</v>
      </c>
      <c r="D24" s="103">
        <v>0.18</v>
      </c>
      <c r="E24" s="103">
        <v>0.18</v>
      </c>
      <c r="F24" s="103">
        <v>0.18</v>
      </c>
      <c r="G24" s="103">
        <v>0.18</v>
      </c>
    </row>
    <row r="25" spans="1:11" x14ac:dyDescent="0.15">
      <c r="A25" s="128" t="s">
        <v>403</v>
      </c>
      <c r="B25" s="128">
        <f>B23/(1+$F$17)^1</f>
        <v>3655.7693252866206</v>
      </c>
      <c r="C25" s="128">
        <f>C23/(1+$F$17)^2</f>
        <v>4027.8018624232523</v>
      </c>
      <c r="D25" s="128">
        <f>D23/(1+$F$17)^3</f>
        <v>4437.6946134773661</v>
      </c>
      <c r="E25" s="128">
        <f>E23/(1+$F$17)^4</f>
        <v>4889.3004559658302</v>
      </c>
      <c r="F25" s="128">
        <f>F23/(1+$F$17)^5</f>
        <v>5386.8643588287787</v>
      </c>
      <c r="G25" s="128">
        <f>G23/(1+$F$17)^5</f>
        <v>120012.65695692737</v>
      </c>
    </row>
    <row r="26" spans="1:11" x14ac:dyDescent="0.15">
      <c r="A26" s="133" t="s">
        <v>401</v>
      </c>
      <c r="B26" s="134">
        <f>G23</f>
        <v>169118.26619906854</v>
      </c>
    </row>
    <row r="27" spans="1:11" x14ac:dyDescent="0.15">
      <c r="A27" s="104" t="s">
        <v>404</v>
      </c>
      <c r="B27" s="129">
        <f>SUM(B25:G25)</f>
        <v>142410.08757290922</v>
      </c>
    </row>
    <row r="28" spans="1:11" x14ac:dyDescent="0.15">
      <c r="A28" s="104" t="s">
        <v>405</v>
      </c>
      <c r="B28" s="129">
        <f>B27+BS!C12-DCF!B8</f>
        <v>120559.98757290922</v>
      </c>
    </row>
    <row r="29" spans="1:11" x14ac:dyDescent="0.15">
      <c r="A29" s="137" t="s">
        <v>406</v>
      </c>
      <c r="B29" s="138">
        <f>B28/'Income Statement'!C52</f>
        <v>106.3608183263425</v>
      </c>
    </row>
  </sheetData>
  <mergeCells count="4">
    <mergeCell ref="A6:B6"/>
    <mergeCell ref="E6:F6"/>
    <mergeCell ref="E12:F12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1 1 5 1 d 1 - 9 c e f - 4 6 4 3 - 9 a 7 f - 6 7 2 e e 0 f 0 3 8 7 5 "   x m l n s = " h t t p : / / s c h e m a s . m i c r o s o f t . c o m / D a t a M a s h u p " > A A A A A M E D A A B Q S w M E F A A A C A g A c K e h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B w p 6 F a y 9 z 9 t Q 8 B A A D 7 A w A A E w A A A E Z v c m 1 1 b G F z L 1 N l Y 3 R p b 2 4 x L m 3 t k E F r g 0 A Q h e 9 C / s O w u S h Y J e 2 x 9 B L T Q i n 0 o q G F k M N o J i q u s 2 F 3 b S y S / 9 4 1 Q g + l u e V U e l r e P n j v m 2 e o s L V i S K d 3 c T / z Z p 6 p U N M O 5 i J d r t 9 v 1 q m A B 5 B k P Y B U d b o g J x / 7 g m T 0 p n S T K 9 X 4 T 7 W k K F F s i a 3 x R b w 2 p E 3 M J f K h Q o 5 X 6 s h S 4 c 7 E q U W d d 0 U D S 5 T I L s p U R D b q p e l F E A J 3 U o Z g d U d B 6 O r m 4 h U / 6 h L P i I s R Y w I Y N s + W W i e / C U N 4 q X l 3 / h k D x f a 0 W a H F 7 Z S S O I j S X V Q o 2 b U M 9 v N A Y 1 i G u c P O N L L Z K 9 0 m Z z d z p v F / N I c w D G L y R z E G g K X e n k 6 B V / P F j l / X B P 8 2 + F / 0 u o v e X X V R l w o F m g r 2 U h 3 / 7 J J f U E s D B B Q A A A g I A H C n o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K e h W n F y y L S k A A A A 9 g A A A B I A A A A A A A A A A A A A A K S B A A A A A E N v b m Z p Z y 9 Q Y W N r Y W d l L n h t b F B L A Q I U A x Q A A A g I A H C n o V r L 3 P 2 1 D w E A A P s D A A A T A A A A A A A A A A A A A A C k g d Q A A A B G b 3 J t d W x h c y 9 T Z W N 0 a W 9 u M S 5 t U E s B A h Q D F A A A C A g A c K e h W g / K 6 a u k A A A A 6 Q A A A B M A A A A A A A A A A A A A A K S B F A I A A F t D b 2 5 0 Z W 5 0 X 1 R 5 c G V z X S 5 4 b W x Q S w U G A A A A A A M A A w D C A A A A 6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C k A A A A A A A D G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Q l V Y L V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E 2 M D B l Y W I t M z I 4 M C 0 0 M z l l L W E w O W E t Y W I 0 N j d i M D l h Y z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M z o y M j o z N i 4 z N D M z N z E w W i I g L z 4 8 R W 5 0 c n k g V H l w Z T 0 i R m l s b E N v b H V t b l R 5 c G V z I i B W Y W x 1 Z T 0 i c 0 J n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J V W C 1 V U y 9 B d X R v U m V t b 3 Z l Z E N v b H V t b n M x L n t D b 2 x 1 b W 4 x L D B 9 J n F 1 b 3 Q 7 L C Z x d W 9 0 O 1 N l Y 3 R p b 2 4 x L 1 N C V V g t V V M v Q X V 0 b 1 J l b W 9 2 Z W R D b 2 x 1 b W 5 z M S 5 7 Q 2 9 s d W 1 u M i w x f S Z x d W 9 0 O y w m c X V v d D t T Z W N 0 a W 9 u M S 9 T Q l V Y L V V T L 0 F 1 d G 9 S Z W 1 v d m V k Q 2 9 s d W 1 u c z E u e 0 N v b H V t b j M s M n 0 m c X V v d D s s J n F 1 b 3 Q 7 U 2 V j d G l v b j E v U 0 J V W C 1 V U y 9 B d X R v U m V t b 3 Z l Z E N v b H V t b n M x L n t D b 2 x 1 b W 4 0 L D N 9 J n F 1 b 3 Q 7 L C Z x d W 9 0 O 1 N l Y 3 R p b 2 4 x L 1 N C V V g t V V M v Q X V 0 b 1 J l b W 9 2 Z W R D b 2 x 1 b W 5 z M S 5 7 Q 2 9 s d W 1 u N S w 0 f S Z x d W 9 0 O y w m c X V v d D t T Z W N 0 a W 9 u M S 9 T Q l V Y L V V T L 0 F 1 d G 9 S Z W 1 v d m V k Q 2 9 s d W 1 u c z E u e 0 N v b H V t b j Y s N X 0 m c X V v d D s s J n F 1 b 3 Q 7 U 2 V j d G l v b j E v U 0 J V W C 1 V U y 9 B d X R v U m V t b 3 Z l Z E N v b H V t b n M x L n t D b 2 x 1 b W 4 3 L D Z 9 J n F 1 b 3 Q 7 L C Z x d W 9 0 O 1 N l Y 3 R p b 2 4 x L 1 N C V V g t V V M v Q X V 0 b 1 J l b W 9 2 Z W R D b 2 x 1 b W 5 z M S 5 7 Q 2 9 s d W 1 u O C w 3 f S Z x d W 9 0 O y w m c X V v d D t T Z W N 0 a W 9 u M S 9 T Q l V Y L V V T L 0 F 1 d G 9 S Z W 1 v d m V k Q 2 9 s d W 1 u c z E u e 0 N v b H V t b j k s O H 0 m c X V v d D s s J n F 1 b 3 Q 7 U 2 V j d G l v b j E v U 0 J V W C 1 V U y 9 B d X R v U m V t b 3 Z l Z E N v b H V t b n M x L n t D b 2 x 1 b W 4 x M C w 5 f S Z x d W 9 0 O y w m c X V v d D t T Z W N 0 a W 9 u M S 9 T Q l V Y L V V T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0 J V W C 1 V U y 9 B d X R v U m V t b 3 Z l Z E N v b H V t b n M x L n t D b 2 x 1 b W 4 x L D B 9 J n F 1 b 3 Q 7 L C Z x d W 9 0 O 1 N l Y 3 R p b 2 4 x L 1 N C V V g t V V M v Q X V 0 b 1 J l b W 9 2 Z W R D b 2 x 1 b W 5 z M S 5 7 Q 2 9 s d W 1 u M i w x f S Z x d W 9 0 O y w m c X V v d D t T Z W N 0 a W 9 u M S 9 T Q l V Y L V V T L 0 F 1 d G 9 S Z W 1 v d m V k Q 2 9 s d W 1 u c z E u e 0 N v b H V t b j M s M n 0 m c X V v d D s s J n F 1 b 3 Q 7 U 2 V j d G l v b j E v U 0 J V W C 1 V U y 9 B d X R v U m V t b 3 Z l Z E N v b H V t b n M x L n t D b 2 x 1 b W 4 0 L D N 9 J n F 1 b 3 Q 7 L C Z x d W 9 0 O 1 N l Y 3 R p b 2 4 x L 1 N C V V g t V V M v Q X V 0 b 1 J l b W 9 2 Z W R D b 2 x 1 b W 5 z M S 5 7 Q 2 9 s d W 1 u N S w 0 f S Z x d W 9 0 O y w m c X V v d D t T Z W N 0 a W 9 u M S 9 T Q l V Y L V V T L 0 F 1 d G 9 S Z W 1 v d m V k Q 2 9 s d W 1 u c z E u e 0 N v b H V t b j Y s N X 0 m c X V v d D s s J n F 1 b 3 Q 7 U 2 V j d G l v b j E v U 0 J V W C 1 V U y 9 B d X R v U m V t b 3 Z l Z E N v b H V t b n M x L n t D b 2 x 1 b W 4 3 L D Z 9 J n F 1 b 3 Q 7 L C Z x d W 9 0 O 1 N l Y 3 R p b 2 4 x L 1 N C V V g t V V M v Q X V 0 b 1 J l b W 9 2 Z W R D b 2 x 1 b W 5 z M S 5 7 Q 2 9 s d W 1 u O C w 3 f S Z x d W 9 0 O y w m c X V v d D t T Z W N 0 a W 9 u M S 9 T Q l V Y L V V T L 0 F 1 d G 9 S Z W 1 v d m V k Q 2 9 s d W 1 u c z E u e 0 N v b H V t b j k s O H 0 m c X V v d D s s J n F 1 b 3 Q 7 U 2 V j d G l v b j E v U 0 J V W C 1 V U y 9 B d X R v U m V t b 3 Z l Z E N v b H V t b n M x L n t D b 2 x 1 b W 4 x M C w 5 f S Z x d W 9 0 O y w m c X V v d D t T Z W N 0 a W 9 u M S 9 T Q l V Y L V V T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J V W C 1 V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l V Y L V V T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V W C 1 V U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V V g t V V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i Z T I 0 M T I t N D d k N C 0 0 M D A 5 L W E 4 Z D I t Y z E 3 Z j E 3 O T V k Z T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M z o y N D o 0 N y 4 0 N j k 2 M T E w W i I g L z 4 8 R W 5 0 c n k g V H l w Z T 0 i R m l s b E N v b H V t b l R 5 c G V z I i B W Y W x 1 Z T 0 i c 0 J n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J V W C 1 V U y A o M i k v Q X V 0 b 1 J l b W 9 2 Z W R D b 2 x 1 b W 5 z M S 5 7 Q 2 9 s d W 1 u M S w w f S Z x d W 9 0 O y w m c X V v d D t T Z W N 0 a W 9 u M S 9 T Q l V Y L V V T I C g y K S 9 B d X R v U m V t b 3 Z l Z E N v b H V t b n M x L n t D b 2 x 1 b W 4 y L D F 9 J n F 1 b 3 Q 7 L C Z x d W 9 0 O 1 N l Y 3 R p b 2 4 x L 1 N C V V g t V V M g K D I p L 0 F 1 d G 9 S Z W 1 v d m V k Q 2 9 s d W 1 u c z E u e 0 N v b H V t b j M s M n 0 m c X V v d D s s J n F 1 b 3 Q 7 U 2 V j d G l v b j E v U 0 J V W C 1 V U y A o M i k v Q X V 0 b 1 J l b W 9 2 Z W R D b 2 x 1 b W 5 z M S 5 7 Q 2 9 s d W 1 u N C w z f S Z x d W 9 0 O y w m c X V v d D t T Z W N 0 a W 9 u M S 9 T Q l V Y L V V T I C g y K S 9 B d X R v U m V t b 3 Z l Z E N v b H V t b n M x L n t D b 2 x 1 b W 4 1 L D R 9 J n F 1 b 3 Q 7 L C Z x d W 9 0 O 1 N l Y 3 R p b 2 4 x L 1 N C V V g t V V M g K D I p L 0 F 1 d G 9 S Z W 1 v d m V k Q 2 9 s d W 1 u c z E u e 0 N v b H V t b j Y s N X 0 m c X V v d D s s J n F 1 b 3 Q 7 U 2 V j d G l v b j E v U 0 J V W C 1 V U y A o M i k v Q X V 0 b 1 J l b W 9 2 Z W R D b 2 x 1 b W 5 z M S 5 7 Q 2 9 s d W 1 u N y w 2 f S Z x d W 9 0 O y w m c X V v d D t T Z W N 0 a W 9 u M S 9 T Q l V Y L V V T I C g y K S 9 B d X R v U m V t b 3 Z l Z E N v b H V t b n M x L n t D b 2 x 1 b W 4 4 L D d 9 J n F 1 b 3 Q 7 L C Z x d W 9 0 O 1 N l Y 3 R p b 2 4 x L 1 N C V V g t V V M g K D I p L 0 F 1 d G 9 S Z W 1 v d m V k Q 2 9 s d W 1 u c z E u e 0 N v b H V t b j k s O H 0 m c X V v d D s s J n F 1 b 3 Q 7 U 2 V j d G l v b j E v U 0 J V W C 1 V U y A o M i k v Q X V 0 b 1 J l b W 9 2 Z W R D b 2 x 1 b W 5 z M S 5 7 Q 2 9 s d W 1 u M T A s O X 0 m c X V v d D s s J n F 1 b 3 Q 7 U 2 V j d G l v b j E v U 0 J V W C 1 V U y A o M i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Q l V Y L V V T I C g y K S 9 B d X R v U m V t b 3 Z l Z E N v b H V t b n M x L n t D b 2 x 1 b W 4 x L D B 9 J n F 1 b 3 Q 7 L C Z x d W 9 0 O 1 N l Y 3 R p b 2 4 x L 1 N C V V g t V V M g K D I p L 0 F 1 d G 9 S Z W 1 v d m V k Q 2 9 s d W 1 u c z E u e 0 N v b H V t b j I s M X 0 m c X V v d D s s J n F 1 b 3 Q 7 U 2 V j d G l v b j E v U 0 J V W C 1 V U y A o M i k v Q X V 0 b 1 J l b W 9 2 Z W R D b 2 x 1 b W 5 z M S 5 7 Q 2 9 s d W 1 u M y w y f S Z x d W 9 0 O y w m c X V v d D t T Z W N 0 a W 9 u M S 9 T Q l V Y L V V T I C g y K S 9 B d X R v U m V t b 3 Z l Z E N v b H V t b n M x L n t D b 2 x 1 b W 4 0 L D N 9 J n F 1 b 3 Q 7 L C Z x d W 9 0 O 1 N l Y 3 R p b 2 4 x L 1 N C V V g t V V M g K D I p L 0 F 1 d G 9 S Z W 1 v d m V k Q 2 9 s d W 1 u c z E u e 0 N v b H V t b j U s N H 0 m c X V v d D s s J n F 1 b 3 Q 7 U 2 V j d G l v b j E v U 0 J V W C 1 V U y A o M i k v Q X V 0 b 1 J l b W 9 2 Z W R D b 2 x 1 b W 5 z M S 5 7 Q 2 9 s d W 1 u N i w 1 f S Z x d W 9 0 O y w m c X V v d D t T Z W N 0 a W 9 u M S 9 T Q l V Y L V V T I C g y K S 9 B d X R v U m V t b 3 Z l Z E N v b H V t b n M x L n t D b 2 x 1 b W 4 3 L D Z 9 J n F 1 b 3 Q 7 L C Z x d W 9 0 O 1 N l Y 3 R p b 2 4 x L 1 N C V V g t V V M g K D I p L 0 F 1 d G 9 S Z W 1 v d m V k Q 2 9 s d W 1 u c z E u e 0 N v b H V t b j g s N 3 0 m c X V v d D s s J n F 1 b 3 Q 7 U 2 V j d G l v b j E v U 0 J V W C 1 V U y A o M i k v Q X V 0 b 1 J l b W 9 2 Z W R D b 2 x 1 b W 5 z M S 5 7 Q 2 9 s d W 1 u O S w 4 f S Z x d W 9 0 O y w m c X V v d D t T Z W N 0 a W 9 u M S 9 T Q l V Y L V V T I C g y K S 9 B d X R v U m V t b 3 Z l Z E N v b H V t b n M x L n t D b 2 x 1 b W 4 x M C w 5 f S Z x d W 9 0 O y w m c X V v d D t T Z W N 0 a W 9 u M S 9 T Q l V Y L V V T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V V g t V V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V V g t V V M l M j A l M j g y J T I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V W C 1 V U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l V Y L V V T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1 N D V i Z j Z m L W Z k M j M t N G M y M y 0 4 Z j N h L W Q z M D U z O D M 3 Y T h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J V W C 1 V U y A o M y k v Q X V 0 b 1 J l b W 9 2 Z W R D b 2 x 1 b W 5 z M S 5 7 Q 2 9 s d W 1 u M S w w f S Z x d W 9 0 O y w m c X V v d D t T Z W N 0 a W 9 u M S 9 T Q l V Y L V V T I C g z K S 9 B d X R v U m V t b 3 Z l Z E N v b H V t b n M x L n t D b 2 x 1 b W 4 y L D F 9 J n F 1 b 3 Q 7 L C Z x d W 9 0 O 1 N l Y 3 R p b 2 4 x L 1 N C V V g t V V M g K D M p L 0 F 1 d G 9 S Z W 1 v d m V k Q 2 9 s d W 1 u c z E u e 0 N v b H V t b j M s M n 0 m c X V v d D s s J n F 1 b 3 Q 7 U 2 V j d G l v b j E v U 0 J V W C 1 V U y A o M y k v Q X V 0 b 1 J l b W 9 2 Z W R D b 2 x 1 b W 5 z M S 5 7 Q 2 9 s d W 1 u N C w z f S Z x d W 9 0 O y w m c X V v d D t T Z W N 0 a W 9 u M S 9 T Q l V Y L V V T I C g z K S 9 B d X R v U m V t b 3 Z l Z E N v b H V t b n M x L n t D b 2 x 1 b W 4 1 L D R 9 J n F 1 b 3 Q 7 L C Z x d W 9 0 O 1 N l Y 3 R p b 2 4 x L 1 N C V V g t V V M g K D M p L 0 F 1 d G 9 S Z W 1 v d m V k Q 2 9 s d W 1 u c z E u e 0 N v b H V t b j Y s N X 0 m c X V v d D s s J n F 1 b 3 Q 7 U 2 V j d G l v b j E v U 0 J V W C 1 V U y A o M y k v Q X V 0 b 1 J l b W 9 2 Z W R D b 2 x 1 b W 5 z M S 5 7 Q 2 9 s d W 1 u N y w 2 f S Z x d W 9 0 O y w m c X V v d D t T Z W N 0 a W 9 u M S 9 T Q l V Y L V V T I C g z K S 9 B d X R v U m V t b 3 Z l Z E N v b H V t b n M x L n t D b 2 x 1 b W 4 4 L D d 9 J n F 1 b 3 Q 7 L C Z x d W 9 0 O 1 N l Y 3 R p b 2 4 x L 1 N C V V g t V V M g K D M p L 0 F 1 d G 9 S Z W 1 v d m V k Q 2 9 s d W 1 u c z E u e 0 N v b H V t b j k s O H 0 m c X V v d D s s J n F 1 b 3 Q 7 U 2 V j d G l v b j E v U 0 J V W C 1 V U y A o M y k v Q X V 0 b 1 J l b W 9 2 Z W R D b 2 x 1 b W 5 z M S 5 7 Q 2 9 s d W 1 u M T A s O X 0 m c X V v d D s s J n F 1 b 3 Q 7 U 2 V j d G l v b j E v U 0 J V W C 1 V U y A o M y k v Q X V 0 b 1 J l b W 9 2 Z W R D b 2 x 1 b W 5 z M S 5 7 Q 2 9 s d W 1 u M T E s M T B 9 J n F 1 b 3 Q 7 L C Z x d W 9 0 O 1 N l Y 3 R p b 2 4 x L 1 N C V V g t V V M g K D M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0 J V W C 1 V U y A o M y k v Q X V 0 b 1 J l b W 9 2 Z W R D b 2 x 1 b W 5 z M S 5 7 Q 2 9 s d W 1 u M S w w f S Z x d W 9 0 O y w m c X V v d D t T Z W N 0 a W 9 u M S 9 T Q l V Y L V V T I C g z K S 9 B d X R v U m V t b 3 Z l Z E N v b H V t b n M x L n t D b 2 x 1 b W 4 y L D F 9 J n F 1 b 3 Q 7 L C Z x d W 9 0 O 1 N l Y 3 R p b 2 4 x L 1 N C V V g t V V M g K D M p L 0 F 1 d G 9 S Z W 1 v d m V k Q 2 9 s d W 1 u c z E u e 0 N v b H V t b j M s M n 0 m c X V v d D s s J n F 1 b 3 Q 7 U 2 V j d G l v b j E v U 0 J V W C 1 V U y A o M y k v Q X V 0 b 1 J l b W 9 2 Z W R D b 2 x 1 b W 5 z M S 5 7 Q 2 9 s d W 1 u N C w z f S Z x d W 9 0 O y w m c X V v d D t T Z W N 0 a W 9 u M S 9 T Q l V Y L V V T I C g z K S 9 B d X R v U m V t b 3 Z l Z E N v b H V t b n M x L n t D b 2 x 1 b W 4 1 L D R 9 J n F 1 b 3 Q 7 L C Z x d W 9 0 O 1 N l Y 3 R p b 2 4 x L 1 N C V V g t V V M g K D M p L 0 F 1 d G 9 S Z W 1 v d m V k Q 2 9 s d W 1 u c z E u e 0 N v b H V t b j Y s N X 0 m c X V v d D s s J n F 1 b 3 Q 7 U 2 V j d G l v b j E v U 0 J V W C 1 V U y A o M y k v Q X V 0 b 1 J l b W 9 2 Z W R D b 2 x 1 b W 5 z M S 5 7 Q 2 9 s d W 1 u N y w 2 f S Z x d W 9 0 O y w m c X V v d D t T Z W N 0 a W 9 u M S 9 T Q l V Y L V V T I C g z K S 9 B d X R v U m V t b 3 Z l Z E N v b H V t b n M x L n t D b 2 x 1 b W 4 4 L D d 9 J n F 1 b 3 Q 7 L C Z x d W 9 0 O 1 N l Y 3 R p b 2 4 x L 1 N C V V g t V V M g K D M p L 0 F 1 d G 9 S Z W 1 v d m V k Q 2 9 s d W 1 u c z E u e 0 N v b H V t b j k s O H 0 m c X V v d D s s J n F 1 b 3 Q 7 U 2 V j d G l v b j E v U 0 J V W C 1 V U y A o M y k v Q X V 0 b 1 J l b W 9 2 Z W R D b 2 x 1 b W 5 z M S 5 7 Q 2 9 s d W 1 u M T A s O X 0 m c X V v d D s s J n F 1 b 3 Q 7 U 2 V j d G l v b j E v U 0 J V W C 1 V U y A o M y k v Q X V 0 b 1 J l b W 9 2 Z W R D b 2 x 1 b W 5 z M S 5 7 Q 2 9 s d W 1 u M T E s M T B 9 J n F 1 b 3 Q 7 L C Z x d W 9 0 O 1 N l Y 3 R p b 2 4 x L 1 N C V V g t V V M g K D M p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B Q U F B Q U F B Q U F B Q U F B Q S I g L z 4 8 R W 5 0 c n k g V H l w Z T 0 i R m l s b E x h c 3 R V c G R h d G V k I i B W Y W x 1 Z T 0 i Z D I w M j U t M D U t M D J U M D M 6 M j Y 6 M z E u M D A 3 N T A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J V W C 1 V U y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V W C 1 V U y U y M C U y O D M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l V Y L V V T J T I w J T I 4 M y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m m m f p e Z V w b U 7 Z z P T G x x + h c i 1 1 1 5 L y L G + D V Y C w 6 M J t B K I 5 c C l k 0 W s A 8 H A I k i w Q s L F e f 0 g j g X 1 W t e n l w G N A 1 B 5 s H S 0 m J s 1 O O 4 p m 6 9 O m f S F K 7 B I U c p f f + 8 m q 6 3 o A 8 v C K N K V Z S W a 5 < / D a t a M a s h u p > 
</file>

<file path=customXml/itemProps1.xml><?xml version="1.0" encoding="utf-8"?>
<ds:datastoreItem xmlns:ds="http://schemas.openxmlformats.org/officeDocument/2006/customXml" ds:itemID="{92A6F1B1-5B93-1346-8D86-2015AA902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</vt:lpstr>
      <vt:lpstr>BS</vt:lpstr>
      <vt:lpstr>CFS</vt:lpstr>
      <vt:lpstr>Historical data</vt:lpstr>
      <vt:lpstr>3-Statements</vt:lpstr>
      <vt:lpstr>Captial Budgeting analysis</vt:lpstr>
      <vt:lpstr>Ratio Analysis</vt:lpstr>
      <vt:lpstr>Stock </vt:lpstr>
      <vt:lpstr>DCF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Ngan Tuyet Phan</cp:lastModifiedBy>
  <dcterms:created xsi:type="dcterms:W3CDTF">2025-05-02T00:32:47Z</dcterms:created>
  <dcterms:modified xsi:type="dcterms:W3CDTF">2025-06-10T03:56:46Z</dcterms:modified>
  <cp:category/>
</cp:coreProperties>
</file>