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nganphan/Downloads/"/>
    </mc:Choice>
  </mc:AlternateContent>
  <xr:revisionPtr revIDLastSave="0" documentId="13_ncr:1_{0C3CF421-EAA9-684B-B032-197C1C79F812}" xr6:coauthVersionLast="47" xr6:coauthVersionMax="47" xr10:uidLastSave="{00000000-0000-0000-0000-000000000000}"/>
  <bookViews>
    <workbookView xWindow="9640" yWindow="500" windowWidth="19160" windowHeight="16500" activeTab="4" xr2:uid="{00000000-000D-0000-FFFF-FFFF00000000}"/>
  </bookViews>
  <sheets>
    <sheet name="IS" sheetId="2" r:id="rId1"/>
    <sheet name="BS" sheetId="3" r:id="rId2"/>
    <sheet name="CFS" sheetId="4" r:id="rId3"/>
    <sheet name="Project Goal" sheetId="7" r:id="rId4"/>
    <sheet name="Opex" sheetId="5" r:id="rId5"/>
    <sheet name="Scenario Table" sheetId="6" r:id="rId6"/>
    <sheet name="Chart data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B38" i="5"/>
  <c r="A3" i="9"/>
  <c r="A4" i="9" s="1"/>
  <c r="A5" i="9" s="1"/>
  <c r="A6" i="9" s="1"/>
  <c r="A7" i="9" s="1"/>
  <c r="B39" i="5"/>
  <c r="B37" i="5"/>
  <c r="D12" i="5"/>
  <c r="B36" i="5"/>
  <c r="B35" i="5"/>
  <c r="B34" i="5"/>
  <c r="B33" i="5"/>
  <c r="B32" i="5"/>
  <c r="H25" i="5" s="1"/>
  <c r="H2" i="9" s="1"/>
  <c r="B31" i="5"/>
  <c r="G23" i="5"/>
  <c r="F23" i="5"/>
  <c r="E23" i="5"/>
  <c r="D23" i="5"/>
  <c r="C23" i="5"/>
  <c r="B23" i="5"/>
  <c r="G22" i="5"/>
  <c r="F22" i="5"/>
  <c r="E22" i="5"/>
  <c r="D22" i="5"/>
  <c r="C22" i="5"/>
  <c r="B22" i="5"/>
  <c r="G20" i="5"/>
  <c r="F20" i="5"/>
  <c r="E20" i="5"/>
  <c r="D20" i="5"/>
  <c r="C20" i="5"/>
  <c r="B20" i="5"/>
  <c r="G18" i="5"/>
  <c r="F18" i="5"/>
  <c r="E18" i="5"/>
  <c r="D18" i="5"/>
  <c r="C18" i="5"/>
  <c r="B18" i="5"/>
  <c r="D24" i="5" l="1"/>
  <c r="C19" i="5"/>
  <c r="I25" i="5"/>
  <c r="I26" i="5" s="1"/>
  <c r="H26" i="5"/>
  <c r="F25" i="5"/>
  <c r="E25" i="5"/>
  <c r="D25" i="5"/>
  <c r="D27" i="5" s="1"/>
  <c r="C25" i="5"/>
  <c r="B25" i="5"/>
  <c r="B27" i="5" s="1"/>
  <c r="G16" i="5"/>
  <c r="F16" i="5"/>
  <c r="E16" i="5"/>
  <c r="D16" i="5"/>
  <c r="C16" i="5"/>
  <c r="B16" i="5"/>
  <c r="G14" i="5"/>
  <c r="F14" i="5"/>
  <c r="E14" i="5"/>
  <c r="D14" i="5"/>
  <c r="C14" i="5"/>
  <c r="B14" i="5"/>
  <c r="G7" i="5"/>
  <c r="F7" i="5"/>
  <c r="E7" i="5"/>
  <c r="D7" i="5"/>
  <c r="C7" i="5"/>
  <c r="B7" i="5"/>
  <c r="B8" i="5" s="1"/>
  <c r="G5" i="5"/>
  <c r="H5" i="5" s="1"/>
  <c r="F5" i="5"/>
  <c r="F21" i="5" s="1"/>
  <c r="E5" i="5"/>
  <c r="E13" i="5" s="1"/>
  <c r="D5" i="5"/>
  <c r="D19" i="5" s="1"/>
  <c r="C5" i="5"/>
  <c r="C24" i="5" s="1"/>
  <c r="B5" i="5"/>
  <c r="H18" i="5" l="1"/>
  <c r="H23" i="5"/>
  <c r="H24" i="5" s="1"/>
  <c r="G8" i="5"/>
  <c r="F24" i="5"/>
  <c r="G24" i="5"/>
  <c r="E24" i="5"/>
  <c r="G19" i="5"/>
  <c r="F19" i="5"/>
  <c r="B9" i="5"/>
  <c r="B10" i="5" s="1"/>
  <c r="B19" i="5"/>
  <c r="B21" i="5"/>
  <c r="E8" i="5"/>
  <c r="F15" i="5"/>
  <c r="E19" i="5"/>
  <c r="F8" i="5"/>
  <c r="G15" i="5"/>
  <c r="H3" i="9"/>
  <c r="B2" i="9"/>
  <c r="F13" i="5"/>
  <c r="G13" i="5"/>
  <c r="H12" i="5"/>
  <c r="D2" i="9" s="1"/>
  <c r="H14" i="5"/>
  <c r="C8" i="5"/>
  <c r="D8" i="5"/>
  <c r="H6" i="5"/>
  <c r="H7" i="5"/>
  <c r="J25" i="5"/>
  <c r="H4" i="9" s="1"/>
  <c r="G17" i="5"/>
  <c r="E26" i="5"/>
  <c r="F26" i="5"/>
  <c r="G26" i="5"/>
  <c r="G9" i="5"/>
  <c r="G10" i="5" s="1"/>
  <c r="E17" i="5"/>
  <c r="G27" i="5"/>
  <c r="C27" i="5"/>
  <c r="C26" i="5"/>
  <c r="D26" i="5"/>
  <c r="F17" i="5"/>
  <c r="F27" i="5"/>
  <c r="I5" i="5"/>
  <c r="H16" i="5"/>
  <c r="C9" i="5"/>
  <c r="C10" i="5" s="1"/>
  <c r="D9" i="5"/>
  <c r="D10" i="5" s="1"/>
  <c r="C15" i="5"/>
  <c r="E15" i="5"/>
  <c r="D15" i="5"/>
  <c r="D17" i="5"/>
  <c r="B15" i="5"/>
  <c r="C21" i="5"/>
  <c r="D13" i="5"/>
  <c r="C13" i="5"/>
  <c r="C17" i="5"/>
  <c r="B17" i="5"/>
  <c r="F6" i="5"/>
  <c r="F9" i="5"/>
  <c r="F10" i="5" s="1"/>
  <c r="E27" i="5"/>
  <c r="E9" i="5"/>
  <c r="E10" i="5" s="1"/>
  <c r="E21" i="5"/>
  <c r="B13" i="5"/>
  <c r="G6" i="5"/>
  <c r="G21" i="5"/>
  <c r="E6" i="5"/>
  <c r="D21" i="5"/>
  <c r="D6" i="5"/>
  <c r="C6" i="5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I18" i="5" l="1"/>
  <c r="I23" i="5"/>
  <c r="I24" i="5" s="1"/>
  <c r="H20" i="5"/>
  <c r="H15" i="5"/>
  <c r="E2" i="9"/>
  <c r="I16" i="5"/>
  <c r="B3" i="9"/>
  <c r="H17" i="5"/>
  <c r="F2" i="9"/>
  <c r="H8" i="5"/>
  <c r="C2" i="9"/>
  <c r="H19" i="5"/>
  <c r="G2" i="9"/>
  <c r="I7" i="5"/>
  <c r="H9" i="5"/>
  <c r="H10" i="5" s="1"/>
  <c r="H13" i="5"/>
  <c r="H27" i="5"/>
  <c r="K25" i="5"/>
  <c r="H5" i="9" s="1"/>
  <c r="J26" i="5"/>
  <c r="I12" i="5"/>
  <c r="I14" i="5"/>
  <c r="I6" i="5"/>
  <c r="J5" i="5"/>
  <c r="J23" i="5" s="1"/>
  <c r="J24" i="5" s="1"/>
  <c r="B4" i="9" l="1"/>
  <c r="J18" i="5"/>
  <c r="H21" i="5"/>
  <c r="J2" i="9"/>
  <c r="D3" i="9"/>
  <c r="I27" i="5"/>
  <c r="I17" i="5"/>
  <c r="F3" i="9"/>
  <c r="I19" i="5"/>
  <c r="G3" i="9"/>
  <c r="I15" i="5"/>
  <c r="E3" i="9"/>
  <c r="I8" i="5"/>
  <c r="C3" i="9"/>
  <c r="I2" i="9"/>
  <c r="H22" i="5"/>
  <c r="I9" i="5"/>
  <c r="I10" i="5" s="1"/>
  <c r="I20" i="5"/>
  <c r="J7" i="5"/>
  <c r="I13" i="5"/>
  <c r="L25" i="5"/>
  <c r="H6" i="9" s="1"/>
  <c r="K26" i="5"/>
  <c r="K5" i="5"/>
  <c r="K23" i="5" s="1"/>
  <c r="K24" i="5" s="1"/>
  <c r="J12" i="5"/>
  <c r="D4" i="9" s="1"/>
  <c r="J16" i="5"/>
  <c r="J14" i="5"/>
  <c r="J6" i="5"/>
  <c r="B5" i="9" l="1"/>
  <c r="K18" i="5"/>
  <c r="I3" i="9"/>
  <c r="I21" i="5"/>
  <c r="I22" i="5"/>
  <c r="J19" i="5"/>
  <c r="G4" i="9"/>
  <c r="J15" i="5"/>
  <c r="E4" i="9"/>
  <c r="J17" i="5"/>
  <c r="F4" i="9"/>
  <c r="J8" i="5"/>
  <c r="C4" i="9"/>
  <c r="J3" i="9"/>
  <c r="J9" i="5"/>
  <c r="J10" i="5" s="1"/>
  <c r="J20" i="5"/>
  <c r="K12" i="5"/>
  <c r="K7" i="5"/>
  <c r="L26" i="5"/>
  <c r="M25" i="5"/>
  <c r="K16" i="5"/>
  <c r="K14" i="5"/>
  <c r="K6" i="5"/>
  <c r="J13" i="5"/>
  <c r="J27" i="5"/>
  <c r="L5" i="5"/>
  <c r="L23" i="5" s="1"/>
  <c r="L24" i="5" s="1"/>
  <c r="I4" i="9" l="1"/>
  <c r="B6" i="9"/>
  <c r="L18" i="5"/>
  <c r="M26" i="5"/>
  <c r="H7" i="9"/>
  <c r="K8" i="5"/>
  <c r="C5" i="9"/>
  <c r="K27" i="5"/>
  <c r="D5" i="9"/>
  <c r="K15" i="5"/>
  <c r="E5" i="9"/>
  <c r="K19" i="5"/>
  <c r="G5" i="9"/>
  <c r="K17" i="5"/>
  <c r="F5" i="9"/>
  <c r="J4" i="9"/>
  <c r="J21" i="5"/>
  <c r="J22" i="5"/>
  <c r="K13" i="5"/>
  <c r="K20" i="5"/>
  <c r="L7" i="5"/>
  <c r="L16" i="5"/>
  <c r="M5" i="5"/>
  <c r="M23" i="5" s="1"/>
  <c r="M24" i="5" s="1"/>
  <c r="L6" i="5"/>
  <c r="L14" i="5"/>
  <c r="L12" i="5"/>
  <c r="D6" i="9" s="1"/>
  <c r="K9" i="5"/>
  <c r="K10" i="5" s="1"/>
  <c r="I5" i="9" l="1"/>
  <c r="B7" i="9"/>
  <c r="M18" i="5"/>
  <c r="L8" i="5"/>
  <c r="C6" i="9"/>
  <c r="L15" i="5"/>
  <c r="E6" i="9"/>
  <c r="L17" i="5"/>
  <c r="F6" i="9"/>
  <c r="L19" i="5"/>
  <c r="G6" i="9"/>
  <c r="K22" i="5"/>
  <c r="J5" i="9"/>
  <c r="K21" i="5"/>
  <c r="L9" i="5"/>
  <c r="L10" i="5" s="1"/>
  <c r="L20" i="5"/>
  <c r="M7" i="5"/>
  <c r="M9" i="5" s="1"/>
  <c r="M10" i="5" s="1"/>
  <c r="M16" i="5"/>
  <c r="M6" i="5"/>
  <c r="M12" i="5"/>
  <c r="D7" i="9" s="1"/>
  <c r="M14" i="5"/>
  <c r="L13" i="5"/>
  <c r="L27" i="5"/>
  <c r="I6" i="9" l="1"/>
  <c r="M8" i="5"/>
  <c r="C7" i="9"/>
  <c r="M19" i="5"/>
  <c r="G7" i="9"/>
  <c r="M15" i="5"/>
  <c r="E7" i="9"/>
  <c r="M17" i="5"/>
  <c r="F7" i="9"/>
  <c r="L22" i="5"/>
  <c r="L21" i="5"/>
  <c r="J6" i="9"/>
  <c r="M20" i="5"/>
  <c r="M27" i="5"/>
  <c r="M13" i="5"/>
  <c r="I7" i="9" l="1"/>
  <c r="M21" i="5"/>
  <c r="M22" i="5"/>
  <c r="J7" i="9"/>
</calcChain>
</file>

<file path=xl/sharedStrings.xml><?xml version="1.0" encoding="utf-8"?>
<sst xmlns="http://schemas.openxmlformats.org/spreadsheetml/2006/main" count="257" uniqueCount="200">
  <si>
    <t>Netflix, Inc.</t>
  </si>
  <si>
    <t xml:space="preserve">NFLX   64110L106   2857817   NASDAQ    Common stock    </t>
  </si>
  <si>
    <t>Source: FactSet Fundamentals</t>
  </si>
  <si>
    <t>MAR '25</t>
  </si>
  <si>
    <t>DEC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</si>
  <si>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</si>
  <si>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</si>
  <si>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</si>
  <si>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</si>
  <si>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</si>
  <si>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</si>
  <si>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</si>
  <si>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</si>
  <si>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</si>
  <si>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LTM</t>
  </si>
  <si>
    <t>Sales</t>
  </si>
  <si>
    <t>Cost of Goods Sold (COGS) incl. D&amp;A</t>
  </si>
  <si>
    <t>COGS excluding D&amp;A</t>
  </si>
  <si>
    <t>Depreciation &amp; Amortization Expense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</si>
  <si>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</si>
  <si>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</si>
  <si>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</si>
  <si>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</si>
  <si>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</si>
  <si>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</si>
  <si>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</si>
  <si>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</si>
  <si>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</si>
  <si>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</si>
  <si>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</si>
  <si>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</si>
  <si>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</si>
  <si>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</si>
  <si>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</si>
  <si>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</si>
  <si>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</si>
  <si>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</si>
  <si>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</si>
  <si>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</si>
  <si>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</si>
  <si>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</si>
  <si>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</si>
  <si>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</si>
  <si>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</si>
  <si>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</si>
  <si>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</si>
  <si>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</si>
  <si>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</si>
  <si>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</si>
  <si>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Netflix, Inc. (NFLX)</t>
  </si>
  <si>
    <t>$1156.49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</si>
  <si>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</si>
  <si>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</si>
  <si>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</si>
  <si>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</si>
  <si>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</si>
  <si>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</si>
  <si>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</si>
  <si>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Other Receivables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</si>
  <si>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</si>
  <si>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</si>
  <si>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</si>
  <si>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</si>
  <si>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</si>
  <si>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</si>
  <si>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</si>
  <si>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</si>
  <si>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Machinery &amp; Equipment</t>
  </si>
  <si>
    <t>Construction in Progress</t>
  </si>
  <si>
    <t>Computer Software and Equipment</t>
  </si>
  <si>
    <t>Transportation Equipment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</si>
  <si>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</si>
  <si>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</si>
  <si>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</si>
  <si>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</si>
  <si>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Other Long-Term Investments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</si>
  <si>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</si>
  <si>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</si>
  <si>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</si>
  <si>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</si>
  <si>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</si>
  <si>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</si>
  <si>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</si>
  <si>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</si>
  <si>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</si>
  <si>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Other Current Liabilities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</si>
  <si>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</si>
  <si>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</si>
  <si>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</si>
  <si>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</si>
  <si>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</si>
  <si>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</si>
  <si>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</si>
  <si>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</si>
  <si>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</si>
  <si>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</si>
  <si>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</si>
  <si>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</si>
  <si>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</si>
  <si>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</si>
  <si>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</si>
  <si>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</si>
  <si>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</si>
  <si>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</si>
  <si>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</si>
  <si>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Total Shareholders' Equity</t>
  </si>
  <si>
    <t>Total Equity</t>
  </si>
  <si>
    <t>Total Liabilities &amp; Shareholders' Equity</t>
  </si>
  <si>
    <t>Book Value per Share</t>
  </si>
  <si>
    <t>Tangible Book Value per Share</t>
  </si>
  <si>
    <t>Operating Activities</t>
  </si>
  <si>
    <t>Net Income / Starting Line</t>
  </si>
  <si>
    <t>Depreciation, Depletion &amp; Amortization</t>
  </si>
  <si>
    <t>Deferred Taxes &amp; Investment Tax Credit</t>
  </si>
  <si>
    <t>Deferred Taxes</t>
  </si>
  <si>
    <t>Other Funds</t>
  </si>
  <si>
    <t>Funds from Operations</t>
  </si>
  <si>
    <t>Changes in Working Capital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</si>
  <si>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</si>
  <si>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</si>
  <si>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</si>
  <si>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</si>
  <si>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</si>
  <si>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</si>
  <si>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Capital Expenditures (Other Assets)</t>
  </si>
  <si>
    <t>Purchase/Sale of Investments</t>
  </si>
  <si>
    <t>Purchase of Investments</t>
  </si>
  <si>
    <t>Sale/Maturity of Investments</t>
  </si>
  <si>
    <t>Other Uses</t>
  </si>
  <si>
    <t>Net Investing Cash Flow</t>
  </si>
  <si>
    <t>Financing Activities</t>
  </si>
  <si>
    <t>Change in Capital Stock</t>
  </si>
  <si>
    <t>Repurchase of Common &amp; Preferred Stk.</t>
  </si>
  <si>
    <t>Sale of Common &amp; Preferred Stock</t>
  </si>
  <si>
    <t>Proceeds from Sale of Stock</t>
  </si>
  <si>
    <t>Issuance/Reduction of Debt, Net</t>
  </si>
  <si>
    <t>Change in Long-Term Debt</t>
  </si>
  <si>
    <t>Issuance of Long-Term Debt</t>
  </si>
  <si>
    <t>Reduction in Long-Term Debt</t>
  </si>
  <si>
    <t>Other Sources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</si>
  <si>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</si>
  <si>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</si>
  <si>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</si>
  <si>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</si>
  <si>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</si>
  <si>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</si>
  <si>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</si>
  <si>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Year</t>
  </si>
  <si>
    <t>Revenue</t>
  </si>
  <si>
    <t xml:space="preserve">  COGS</t>
  </si>
  <si>
    <t xml:space="preserve">     Revenue Growth</t>
  </si>
  <si>
    <t xml:space="preserve">  SG$A</t>
  </si>
  <si>
    <t xml:space="preserve">     % of Revenue</t>
  </si>
  <si>
    <t>Gross Profit</t>
  </si>
  <si>
    <t>Capex</t>
  </si>
  <si>
    <t>FCF</t>
  </si>
  <si>
    <t xml:space="preserve">   EBIT Margin</t>
  </si>
  <si>
    <t xml:space="preserve">  Gross Profit Margin</t>
  </si>
  <si>
    <t>Subcribers Global</t>
  </si>
  <si>
    <t xml:space="preserve">   Amort per sub</t>
  </si>
  <si>
    <t>Revenue Growth</t>
  </si>
  <si>
    <t>Scenario</t>
  </si>
  <si>
    <t>Base</t>
  </si>
  <si>
    <t>Bull</t>
  </si>
  <si>
    <t>Bear</t>
  </si>
  <si>
    <t>Subscriber growth</t>
  </si>
  <si>
    <t>SG&amp;A%</t>
  </si>
  <si>
    <t>Selected Revenue Growth</t>
  </si>
  <si>
    <t>Selected Subcriber Growth</t>
  </si>
  <si>
    <t>Selected D&amp;A %</t>
  </si>
  <si>
    <t>Selected SG&amp;A%</t>
  </si>
  <si>
    <t xml:space="preserve">      COGS %</t>
  </si>
  <si>
    <t>COGS</t>
  </si>
  <si>
    <t>Selected COGS %</t>
  </si>
  <si>
    <t>Netflix Operating Expense Forecast</t>
  </si>
  <si>
    <t xml:space="preserve">Content Amortization </t>
  </si>
  <si>
    <t xml:space="preserve">Content Amortization % </t>
  </si>
  <si>
    <t>🎯 Project Goal</t>
  </si>
  <si>
    <r>
      <t>To </t>
    </r>
    <r>
      <rPr>
        <b/>
        <sz val="10"/>
        <color rgb="FF000000"/>
        <rFont val="Arial"/>
        <family val="2"/>
      </rPr>
      <t>forecast Netflix's key operating expenses</t>
    </r>
    <r>
      <rPr>
        <sz val="10"/>
        <color rgb="FF000000"/>
        <rFont val="Arial"/>
        <family val="2"/>
      </rPr>
      <t>—specifically </t>
    </r>
    <r>
      <rPr>
        <b/>
        <sz val="10"/>
        <color rgb="FF000000"/>
        <rFont val="Arial"/>
        <family val="2"/>
      </rPr>
      <t>content amortization</t>
    </r>
    <r>
      <rPr>
        <sz val="10"/>
        <color rgb="FF000000"/>
        <rFont val="Arial"/>
        <family val="2"/>
      </rPr>
      <t>, </t>
    </r>
    <r>
      <rPr>
        <b/>
        <sz val="10"/>
        <color rgb="FF000000"/>
        <rFont val="Arial"/>
        <family val="2"/>
      </rPr>
      <t>technology &amp; development (T&amp;D)</t>
    </r>
    <r>
      <rPr>
        <sz val="10"/>
        <color rgb="FF000000"/>
        <rFont val="Arial"/>
        <family val="2"/>
      </rPr>
      <t>, and </t>
    </r>
    <r>
      <rPr>
        <b/>
        <sz val="10"/>
        <color rgb="FF000000"/>
        <rFont val="Arial"/>
        <family val="2"/>
      </rPr>
      <t>SG&amp;A expenses</t>
    </r>
    <r>
      <rPr>
        <sz val="10"/>
        <color rgb="FF000000"/>
        <rFont val="Arial"/>
        <family val="2"/>
      </rPr>
      <t>—from 2025 to 2029. The forecast should:</t>
    </r>
  </si>
  <si>
    <r>
      <t>Be </t>
    </r>
    <r>
      <rPr>
        <b/>
        <sz val="10"/>
        <color rgb="FF000000"/>
        <rFont val="Arial"/>
        <family val="2"/>
      </rPr>
      <t>driven by subscriber growth</t>
    </r>
    <r>
      <rPr>
        <sz val="10"/>
        <color rgb="FF000000"/>
        <rFont val="Arial"/>
        <family val="2"/>
      </rPr>
      <t> (global paid and free trial users),</t>
    </r>
  </si>
  <si>
    <r>
      <t>Be linked to </t>
    </r>
    <r>
      <rPr>
        <b/>
        <sz val="10"/>
        <color rgb="FF000000"/>
        <rFont val="Arial"/>
        <family val="2"/>
      </rPr>
      <t>historical performance trends and revenue growth</t>
    </r>
    <r>
      <rPr>
        <sz val="10"/>
        <color rgb="FF000000"/>
        <rFont val="Arial"/>
        <family val="2"/>
      </rPr>
      <t>, and</t>
    </r>
  </si>
  <si>
    <r>
      <t>Help analyze </t>
    </r>
    <r>
      <rPr>
        <b/>
        <sz val="10"/>
        <color rgb="FF000000"/>
        <rFont val="Arial"/>
        <family val="2"/>
      </rPr>
      <t>margin pressures</t>
    </r>
    <r>
      <rPr>
        <sz val="10"/>
        <color rgb="FF000000"/>
        <rFont val="Arial"/>
        <family val="2"/>
      </rPr>
      <t> as Netflix expands internationally and invests in technology and original content.</t>
    </r>
  </si>
  <si>
    <t>✅ Why This Project Is Important</t>
  </si>
  <si>
    <r>
      <t>Investor Analysis</t>
    </r>
    <r>
      <rPr>
        <sz val="10"/>
        <color rgb="FF000000"/>
        <rFont val="Arial"/>
        <family val="2"/>
      </rPr>
      <t>: Operating expenses are critical to </t>
    </r>
    <r>
      <rPr>
        <b/>
        <sz val="10"/>
        <color rgb="FF000000"/>
        <rFont val="Arial"/>
        <family val="2"/>
      </rPr>
      <t>Netflix’s profitability</t>
    </r>
    <r>
      <rPr>
        <sz val="10"/>
        <color rgb="FF000000"/>
        <rFont val="Arial"/>
        <family val="2"/>
      </rPr>
      <t>. By modeling how costs grow with revenue and user base, we can evaluate the sustainability of Netflix's operating margins.</t>
    </r>
  </si>
  <si>
    <r>
      <t>Strategic Planning</t>
    </r>
    <r>
      <rPr>
        <sz val="10"/>
        <color rgb="FF000000"/>
        <rFont val="Arial"/>
        <family val="2"/>
      </rPr>
      <t>: The model helps forecast how </t>
    </r>
    <r>
      <rPr>
        <b/>
        <sz val="10"/>
        <color rgb="FF000000"/>
        <rFont val="Arial"/>
        <family val="2"/>
      </rPr>
      <t>global expansion, content strategy</t>
    </r>
    <r>
      <rPr>
        <sz val="10"/>
        <color rgb="FF000000"/>
        <rFont val="Arial"/>
        <family val="2"/>
      </rPr>
      <t>, and </t>
    </r>
    <r>
      <rPr>
        <b/>
        <sz val="10"/>
        <color rgb="FF000000"/>
        <rFont val="Arial"/>
        <family val="2"/>
      </rPr>
      <t>tech development</t>
    </r>
    <r>
      <rPr>
        <sz val="10"/>
        <color rgb="FF000000"/>
        <rFont val="Arial"/>
        <family val="2"/>
      </rPr>
      <t>affect future cost structures.</t>
    </r>
  </si>
  <si>
    <r>
      <t>Valuation</t>
    </r>
    <r>
      <rPr>
        <sz val="10"/>
        <color rgb="FF000000"/>
        <rFont val="Arial"/>
        <family val="2"/>
      </rPr>
      <t>: Expense forecasts feed directly into </t>
    </r>
    <r>
      <rPr>
        <b/>
        <sz val="10"/>
        <color rgb="FF000000"/>
        <rFont val="Arial"/>
        <family val="2"/>
      </rPr>
      <t>Free Cash Flow (FCF)</t>
    </r>
    <r>
      <rPr>
        <sz val="10"/>
        <color rgb="FF000000"/>
        <rFont val="Arial"/>
        <family val="2"/>
      </rPr>
      <t> and </t>
    </r>
    <r>
      <rPr>
        <b/>
        <sz val="10"/>
        <color rgb="FF000000"/>
        <rFont val="Arial"/>
        <family val="2"/>
      </rPr>
      <t>DCF valuations</t>
    </r>
    <r>
      <rPr>
        <sz val="10"/>
        <color rgb="FF000000"/>
        <rFont val="Arial"/>
        <family val="2"/>
      </rPr>
      <t>.</t>
    </r>
  </si>
  <si>
    <r>
      <t>Benchmarking</t>
    </r>
    <r>
      <rPr>
        <sz val="10"/>
        <color rgb="FF000000"/>
        <rFont val="Arial"/>
        <family val="2"/>
      </rPr>
      <t>: Netflix’s model can be used to compare with peers like Disney+, Amazon Prime Video, and HBO Max.</t>
    </r>
  </si>
  <si>
    <t>Selected Capex %</t>
  </si>
  <si>
    <t xml:space="preserve">Tax Rate </t>
  </si>
  <si>
    <t>Tax Rate</t>
  </si>
  <si>
    <t xml:space="preserve">  T&amp;D</t>
  </si>
  <si>
    <t>Selected T&amp;D%</t>
  </si>
  <si>
    <t>T&amp;D%</t>
  </si>
  <si>
    <t xml:space="preserve"> Subcriber Growth%</t>
  </si>
  <si>
    <t>Content Amortization</t>
  </si>
  <si>
    <t>T&amp;D</t>
  </si>
  <si>
    <t>SG&amp;A</t>
  </si>
  <si>
    <t>Subcribers</t>
  </si>
  <si>
    <t xml:space="preserve">All figures in millions </t>
  </si>
  <si>
    <t>Selected FCF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</si>
</sst>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%"/>
    <numFmt numFmtId="166" formatCode="0.0"/>
  </numFmts>
  <fonts count="1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435DD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b/>
      <sz val="13.5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FF0000"/>
      <name val="-webkit-standard"/>
    </font>
    <font>
      <b/>
      <sz val="20"/>
      <color rgb="FFFF0000"/>
      <name val="Arial"/>
      <family val="2"/>
    </font>
    <font>
      <b/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2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3" fontId="0" fillId="3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0" fontId="0" fillId="3" borderId="0" xfId="0" applyFill="1" applyAlignment="1">
      <alignment horizontal="left"/>
    </xf>
    <xf numFmtId="3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3" fillId="0" borderId="0" xfId="0" applyFont="1" applyAlignment="1">
      <alignment horizontal="left" indent="6"/>
    </xf>
    <xf numFmtId="164" fontId="3" fillId="0" borderId="0" xfId="0" applyNumberFormat="1" applyFont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165" fontId="0" fillId="0" borderId="0" xfId="1" applyNumberFormat="1" applyFont="1"/>
    <xf numFmtId="9" fontId="0" fillId="0" borderId="0" xfId="0" applyNumberFormat="1"/>
    <xf numFmtId="3" fontId="0" fillId="5" borderId="0" xfId="0" applyNumberFormat="1" applyFill="1"/>
    <xf numFmtId="3" fontId="0" fillId="5" borderId="3" xfId="0" applyNumberFormat="1" applyFill="1" applyBorder="1"/>
    <xf numFmtId="0" fontId="6" fillId="5" borderId="0" xfId="0" applyFont="1" applyFill="1"/>
    <xf numFmtId="10" fontId="6" fillId="5" borderId="0" xfId="0" applyNumberFormat="1" applyFont="1" applyFill="1"/>
    <xf numFmtId="10" fontId="6" fillId="5" borderId="3" xfId="0" applyNumberFormat="1" applyFont="1" applyFill="1" applyBorder="1"/>
    <xf numFmtId="10" fontId="6" fillId="5" borderId="0" xfId="1" applyNumberFormat="1" applyFont="1" applyFill="1" applyBorder="1"/>
    <xf numFmtId="10" fontId="6" fillId="5" borderId="3" xfId="1" applyNumberFormat="1" applyFont="1" applyFill="1" applyBorder="1"/>
    <xf numFmtId="0" fontId="0" fillId="5" borderId="0" xfId="0" applyFill="1"/>
    <xf numFmtId="0" fontId="0" fillId="5" borderId="3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4" borderId="4" xfId="0" applyFill="1" applyBorder="1"/>
    <xf numFmtId="10" fontId="0" fillId="4" borderId="5" xfId="0" applyNumberFormat="1" applyFill="1" applyBorder="1"/>
    <xf numFmtId="0" fontId="0" fillId="4" borderId="6" xfId="0" applyFill="1" applyBorder="1"/>
    <xf numFmtId="10" fontId="0" fillId="4" borderId="7" xfId="0" applyNumberFormat="1" applyFill="1" applyBorder="1"/>
    <xf numFmtId="10" fontId="0" fillId="4" borderId="7" xfId="1" applyNumberFormat="1" applyFont="1" applyFill="1" applyBorder="1"/>
    <xf numFmtId="0" fontId="0" fillId="4" borderId="8" xfId="0" applyFill="1" applyBorder="1"/>
    <xf numFmtId="10" fontId="0" fillId="4" borderId="9" xfId="1" applyNumberFormat="1" applyFont="1" applyFill="1" applyBorder="1"/>
    <xf numFmtId="0" fontId="0" fillId="4" borderId="10" xfId="0" applyFill="1" applyBorder="1"/>
    <xf numFmtId="10" fontId="0" fillId="4" borderId="11" xfId="1" applyNumberFormat="1" applyFont="1" applyFill="1" applyBorder="1"/>
    <xf numFmtId="0" fontId="7" fillId="6" borderId="4" xfId="0" applyFont="1" applyFill="1" applyBorder="1"/>
    <xf numFmtId="0" fontId="7" fillId="6" borderId="12" xfId="0" applyFont="1" applyFill="1" applyBorder="1"/>
    <xf numFmtId="0" fontId="7" fillId="6" borderId="13" xfId="0" applyFont="1" applyFill="1" applyBorder="1"/>
    <xf numFmtId="0" fontId="7" fillId="6" borderId="5" xfId="0" applyFont="1" applyFill="1" applyBorder="1"/>
    <xf numFmtId="0" fontId="4" fillId="5" borderId="14" xfId="0" applyFont="1" applyFill="1" applyBorder="1"/>
    <xf numFmtId="0" fontId="8" fillId="5" borderId="14" xfId="0" applyFont="1" applyFill="1" applyBorder="1"/>
    <xf numFmtId="0" fontId="4" fillId="5" borderId="6" xfId="0" applyFont="1" applyFill="1" applyBorder="1"/>
    <xf numFmtId="0" fontId="4" fillId="5" borderId="15" xfId="0" applyFont="1" applyFill="1" applyBorder="1"/>
    <xf numFmtId="2" fontId="0" fillId="5" borderId="16" xfId="0" applyNumberFormat="1" applyFill="1" applyBorder="1"/>
    <xf numFmtId="2" fontId="0" fillId="5" borderId="17" xfId="0" applyNumberFormat="1" applyFill="1" applyBorder="1"/>
    <xf numFmtId="17" fontId="0" fillId="0" borderId="0" xfId="0" applyNumberFormat="1"/>
    <xf numFmtId="3" fontId="0" fillId="8" borderId="0" xfId="0" applyNumberFormat="1" applyFill="1"/>
    <xf numFmtId="3" fontId="0" fillId="8" borderId="7" xfId="0" applyNumberFormat="1" applyFill="1" applyBorder="1"/>
    <xf numFmtId="10" fontId="6" fillId="8" borderId="0" xfId="0" applyNumberFormat="1" applyFont="1" applyFill="1"/>
    <xf numFmtId="10" fontId="6" fillId="8" borderId="7" xfId="0" applyNumberFormat="1" applyFont="1" applyFill="1" applyBorder="1"/>
    <xf numFmtId="10" fontId="6" fillId="8" borderId="0" xfId="1" applyNumberFormat="1" applyFont="1" applyFill="1" applyBorder="1"/>
    <xf numFmtId="10" fontId="6" fillId="8" borderId="7" xfId="1" applyNumberFormat="1" applyFont="1" applyFill="1" applyBorder="1"/>
    <xf numFmtId="0" fontId="0" fillId="8" borderId="0" xfId="0" applyFill="1"/>
    <xf numFmtId="0" fontId="0" fillId="8" borderId="7" xfId="0" applyFill="1" applyBorder="1"/>
    <xf numFmtId="4" fontId="0" fillId="8" borderId="0" xfId="0" applyNumberFormat="1" applyFill="1"/>
    <xf numFmtId="10" fontId="6" fillId="8" borderId="18" xfId="1" applyNumberFormat="1" applyFont="1" applyFill="1" applyBorder="1"/>
    <xf numFmtId="166" fontId="0" fillId="8" borderId="0" xfId="0" applyNumberFormat="1" applyFill="1"/>
    <xf numFmtId="166" fontId="0" fillId="8" borderId="7" xfId="0" applyNumberFormat="1" applyFill="1" applyBorder="1"/>
    <xf numFmtId="2" fontId="0" fillId="8" borderId="16" xfId="0" applyNumberFormat="1" applyFill="1" applyBorder="1"/>
    <xf numFmtId="2" fontId="0" fillId="8" borderId="11" xfId="0" applyNumberFormat="1" applyFill="1" applyBorder="1"/>
    <xf numFmtId="0" fontId="12" fillId="6" borderId="0" xfId="0" applyFont="1" applyFill="1"/>
    <xf numFmtId="0" fontId="13" fillId="6" borderId="0" xfId="0" applyFont="1" applyFill="1"/>
    <xf numFmtId="9" fontId="6" fillId="8" borderId="0" xfId="1" applyFont="1" applyFill="1" applyBorder="1"/>
    <xf numFmtId="0" fontId="14" fillId="7" borderId="0" xfId="0" applyFont="1" applyFill="1"/>
  </cellXfs>
  <cellStyles count="2">
    <cellStyle name="Normal" xfId="0" builtinId="0"/>
    <cellStyle name="Percent" xfId="1" builtinId="5"/>
  </cellStyles>
  <dxfs count="19"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</dxfs>
  <tableStyles count="0" defaultTableStyle="TableStyleMedium2" defaultPivotStyle="PivotStyleLight16"/>
  <colors>
    <mruColors>
      <color rgb="FF0435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OpEx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 data'!$D$1</c:f>
              <c:strCache>
                <c:ptCount val="1"/>
                <c:pt idx="0">
                  <c:v>Content Amortization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 data'!$A$2:$A$7</c:f>
              <c:numCache>
                <c:formatCode>General</c:formatCode>
                <c:ptCount val="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</c:numCache>
            </c:numRef>
          </c:cat>
          <c:val>
            <c:numRef>
              <c:f>'Chart data'!$D$2:$D$7</c:f>
              <c:numCache>
                <c:formatCode>#,##0</c:formatCode>
                <c:ptCount val="6"/>
                <c:pt idx="0">
                  <c:v>18719.254314000002</c:v>
                </c:pt>
                <c:pt idx="1">
                  <c:v>20029.602115980004</c:v>
                </c:pt>
                <c:pt idx="2">
                  <c:v>21431.674264098605</c:v>
                </c:pt>
                <c:pt idx="3">
                  <c:v>22931.891462585507</c:v>
                </c:pt>
                <c:pt idx="4">
                  <c:v>24537.123864966496</c:v>
                </c:pt>
                <c:pt idx="5">
                  <c:v>26254.722535514149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4-B04A-A929-FDEF914BC0AC}"/>
            </c:ext>
          </c:extLst>
        </c:ser>
        <c:ser>
          <c:idx val="1"/>
          <c:order val="1"/>
          <c:tx>
            <c:strRef>
              <c:f>'Chart data'!$E$1</c:f>
              <c:strCache>
                <c:ptCount val="1"/>
                <c:pt idx="0">
                  <c:v>T&amp;D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 data'!$A$2:$A$7</c:f>
              <c:numCache>
                <c:formatCode>General</c:formatCode>
                <c:ptCount val="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</c:numCache>
            </c:numRef>
          </c:cat>
          <c:val>
            <c:numRef>
              <c:f>'Chart data'!$E$2:$E$7</c:f>
              <c:numCache>
                <c:formatCode>#,##0</c:formatCode>
                <c:ptCount val="6"/>
                <c:pt idx="0">
                  <c:v>3327.8674336000004</c:v>
                </c:pt>
                <c:pt idx="1">
                  <c:v>3560.8181539520006</c:v>
                </c:pt>
                <c:pt idx="2">
                  <c:v>3810.0754247286409</c:v>
                </c:pt>
                <c:pt idx="3">
                  <c:v>4076.7807044596457</c:v>
                </c:pt>
                <c:pt idx="4">
                  <c:v>4362.155353771821</c:v>
                </c:pt>
                <c:pt idx="5">
                  <c:v>4667.506228535849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4-B04A-A929-FDEF914BC0AC}"/>
            </c:ext>
          </c:extLst>
        </c:ser>
        <c:ser>
          <c:idx val="2"/>
          <c:order val="2"/>
          <c:tx>
            <c:strRef>
              <c:f>'Chart data'!$F$1</c:f>
              <c:strCache>
                <c:ptCount val="1"/>
                <c:pt idx="0">
                  <c:v>SG&amp;A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 data'!$A$2:$A$7</c:f>
              <c:numCache>
                <c:formatCode>General</c:formatCode>
                <c:ptCount val="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</c:numCache>
            </c:numRef>
          </c:cat>
          <c:val>
            <c:numRef>
              <c:f>'Chart data'!$F$2:$F$7</c:f>
              <c:numCache>
                <c:formatCode>#,##0</c:formatCode>
                <c:ptCount val="6"/>
                <c:pt idx="0">
                  <c:v>8943.6437278000012</c:v>
                </c:pt>
                <c:pt idx="1">
                  <c:v>9569.6987887460018</c:v>
                </c:pt>
                <c:pt idx="2">
                  <c:v>10239.577703958223</c:v>
                </c:pt>
                <c:pt idx="3">
                  <c:v>10956.348143235298</c:v>
                </c:pt>
                <c:pt idx="4">
                  <c:v>11723.292513261769</c:v>
                </c:pt>
                <c:pt idx="5">
                  <c:v>12543.922989190094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4-B04A-A929-FDEF914BC0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13815040"/>
        <c:axId val="667383327"/>
      </c:barChart>
      <c:catAx>
        <c:axId val="91381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27"/>
        <c:crosses val="autoZero"/>
        <c:auto val="1"/>
        <c:lblAlgn val="ctr"/>
        <c:lblOffset val="100"/>
        <c:noMultiLvlLbl val="0"/>
      </c:catAx>
      <c:valAx>
        <c:axId val="66738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1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Forecast 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6CD-DB49-BDAC-7D1A4A960E9D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6CD-DB49-BDAC-7D1A4A960E9D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CD-DB49-BDAC-7D1A4A960E9D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6CD-DB49-BDAC-7D1A4A960E9D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CD-DB49-BDAC-7D1A4A960E9D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6CD-DB49-BDAC-7D1A4A960E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 data'!$A$2:$A$7</c:f>
              <c:numCache>
                <c:formatCode>General</c:formatCode>
                <c:ptCount val="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</c:numCache>
            </c:numRef>
          </c:cat>
          <c:val>
            <c:numRef>
              <c:f>'Chart data'!$J$2:$J$7</c:f>
              <c:numCache>
                <c:formatCode>#,##0</c:formatCode>
                <c:ptCount val="6"/>
                <c:pt idx="0">
                  <c:v>3327.8674336000004</c:v>
                </c:pt>
                <c:pt idx="1">
                  <c:v>3560.8181539520006</c:v>
                </c:pt>
                <c:pt idx="2">
                  <c:v>3810.0754247286409</c:v>
                </c:pt>
                <c:pt idx="3">
                  <c:v>4076.7807044596457</c:v>
                </c:pt>
                <c:pt idx="4">
                  <c:v>4362.155353771821</c:v>
                </c:pt>
                <c:pt idx="5">
                  <c:v>4667.506228535849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D-DB49-BDAC-7D1A4A960E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03873567"/>
        <c:axId val="704187487"/>
      </c:barChart>
      <c:catAx>
        <c:axId val="7038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87487"/>
        <c:crosses val="autoZero"/>
        <c:auto val="1"/>
        <c:lblAlgn val="ctr"/>
        <c:lblOffset val="100"/>
        <c:noMultiLvlLbl val="0"/>
      </c:catAx>
      <c:valAx>
        <c:axId val="70418748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70387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12699</xdr:rowOff>
    </xdr:from>
    <xdr:to>
      <xdr:col>7</xdr:col>
      <xdr:colOff>587374</xdr:colOff>
      <xdr:row>55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787B71-5C42-044A-A20D-2582AEB60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571499</xdr:colOff>
      <xdr:row>27</xdr:row>
      <xdr:rowOff>13606</xdr:rowOff>
    </xdr:from>
    <xdr:to>
      <xdr:col>14</xdr:col>
      <xdr:colOff>285750</xdr:colOff>
      <xdr:row>56</xdr:row>
      <xdr:rowOff>45357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DF7F72-91CC-B048-96B1-C04B39CD3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C5159-21A2-7145-80DC-FFBDD8FB7376}" name="Table1" displayName="Table1" ref="A1:J4" totalsRowShown="0">
  <autoFilter ref="A1:J4" xr:uid="{57AC5159-21A2-7145-80DC-FFBDD8FB7376}"/>
  <tableColumns count="10">
    <tableColumn id="1" xr3:uid="{8F641B07-FBAB-9246-A896-A9050A61E280}" name="Scenario" dataDxfId="18"/>
    <tableColumn id="2" xr3:uid="{B7685A6B-F159-5C48-B73F-FFA344B19549}" name="Revenue Growth" dataDxfId="17"/>
    <tableColumn id="3" xr3:uid="{8B31415E-44BE-294B-A8D4-C7D963828544}" name="Subscriber growth" dataDxfId="16"/>
    <tableColumn id="4" xr3:uid="{23FAAD33-0492-064B-9E25-BEC45159E51C}" name="Content Amortization % " dataDxfId="15"/>
    <tableColumn id="5" xr3:uid="{93B4D7D0-1124-A842-87F8-BC759C8D4AE8}" name="T&amp;D%" dataDxfId="14"/>
    <tableColumn id="6" xr3:uid="{99267E2A-1C4E-E448-B338-900C36886BF0}" name="SG&amp;A%" dataDxfId="13"/>
    <tableColumn id="7" xr3:uid="{5EB4B70C-17FE-CE41-BA00-C675F67EF562}" name="COGS" dataDxfId="12"/>
    <tableColumn id="8" xr3:uid="{B0DCBF66-32BF-6241-B0BB-0436719C4D90}" name="Capex" dataDxfId="11"/>
    <tableColumn id="9" xr3:uid="{D6ED9F80-633F-AC4D-81AD-30A2675DF8A6}" name="Tax Rate" dataDxfId="10"/>
    <tableColumn id="10" xr3:uid="{0031DC7E-47EA-8541-A72D-E61B2B7DC11E}" name="FCF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2E8BC5-1384-A847-9DB4-C38025A6B407}" name="Table2" displayName="Table2" ref="A1:J7" totalsRowShown="0">
  <autoFilter ref="A1:J7" xr:uid="{452E8BC5-1384-A847-9DB4-C38025A6B407}"/>
  <tableColumns count="10">
    <tableColumn id="1" xr3:uid="{D853DA56-4090-C245-8A79-A1C4CFC7660E}" name="Year">
      <calculatedColumnFormula>A1+1</calculatedColumnFormula>
    </tableColumn>
    <tableColumn id="2" xr3:uid="{C5C7D817-A0D2-6445-84AF-EDF9258046BD}" name="Revenue" dataDxfId="8"/>
    <tableColumn id="3" xr3:uid="{45687CB8-02B0-9046-86C1-4CAE3D13D570}" name="COGS" dataDxfId="7"/>
    <tableColumn id="4" xr3:uid="{DA33FF8D-76F2-2C43-B126-1770DFF9931F}" name="Content Amortization" dataDxfId="6"/>
    <tableColumn id="5" xr3:uid="{6328CB4C-0823-4249-93A4-3DD2A2B6BDC5}" name="T&amp;D" dataDxfId="5"/>
    <tableColumn id="6" xr3:uid="{8064DE55-7F86-C54A-9D29-84693F7636FE}" name="SG&amp;A" dataDxfId="4"/>
    <tableColumn id="7" xr3:uid="{43322C2F-98C5-BC47-BF67-7E23A2C9F749}" name="Capex" dataDxfId="3"/>
    <tableColumn id="10" xr3:uid="{1AD9AADF-8435-6F4A-968F-4F930F3FAE11}" name="Subcribers" dataDxfId="2">
      <calculatedColumnFormula>Opex!H25</calculatedColumnFormula>
    </tableColumn>
    <tableColumn id="8" xr3:uid="{E149A159-FC82-5548-99D1-781A8B6D2376}" name="EBIT" dataDxfId="1"/>
    <tableColumn id="9" xr3:uid="{C2805D25-5ECD-9449-8394-286FBAEA5FDB}" name="FCF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6F35-0437-4C32-8AE3-4A84D6552ACC}">
  <sheetPr>
    <outlinePr summaryBelow="0" summaryRight="0"/>
  </sheetPr>
  <dimension ref="A1:L46"/>
  <sheetViews>
    <sheetView topLeftCell="A5" workbookViewId="0">
      <selection activeCell="C13" sqref="C13"/>
    </sheetView>
  </sheetViews>
  <sheetFormatPr baseColWidth="10" defaultColWidth="9.1640625" defaultRowHeight="15" customHeight="1" outlineLevelRow="2"/>
  <cols>
    <col min="1" max="1" width="53.1640625" customWidth="1"/>
    <col min="2" max="2" width="8.5" customWidth="1"/>
    <col min="3" max="12" width="8" customWidth="1"/>
  </cols>
  <sheetData>
    <row r="1" spans="1:12" ht="15" customHeight="1">
      <c r="A1" s="23" t="s">
        <v>49</v>
      </c>
    </row>
    <row r="2" spans="1:12" ht="15" customHeight="1">
      <c r="A2" s="25" t="s">
        <v>50</v>
      </c>
    </row>
    <row r="3" spans="1:12" ht="1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5" spans="1:12" ht="15" customHeight="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>
      <c r="A9" s="1"/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" customHeight="1">
      <c r="A10" s="2" t="s">
        <v>15</v>
      </c>
      <c r="B10" s="3">
        <v>39873.279999999999</v>
      </c>
      <c r="C10" s="3">
        <v>38876.955999999998</v>
      </c>
      <c r="D10" s="3">
        <v>33723.296999999999</v>
      </c>
      <c r="E10" s="3">
        <v>31615.55</v>
      </c>
      <c r="F10" s="3">
        <v>29697.844000000001</v>
      </c>
      <c r="G10" s="3">
        <v>24996.056</v>
      </c>
      <c r="H10" s="3">
        <v>20156.447</v>
      </c>
      <c r="I10" s="3">
        <v>15794.341</v>
      </c>
      <c r="J10" s="3">
        <v>11692.713</v>
      </c>
      <c r="K10" s="3">
        <v>8830.6689999999999</v>
      </c>
      <c r="L10" s="3">
        <v>6779.5110000000004</v>
      </c>
    </row>
    <row r="11" spans="1:12" ht="15" customHeight="1" outlineLevel="1">
      <c r="A11" s="4" t="s">
        <v>16</v>
      </c>
      <c r="B11" s="5">
        <v>21323.633999999998</v>
      </c>
      <c r="C11" s="5">
        <v>21040.093000000001</v>
      </c>
      <c r="D11" s="5">
        <v>19715.367999999999</v>
      </c>
      <c r="E11" s="5">
        <v>19168.285</v>
      </c>
      <c r="F11" s="5">
        <v>17332.683000000001</v>
      </c>
      <c r="G11" s="5">
        <v>15276.319</v>
      </c>
      <c r="H11" s="5">
        <v>12440.213</v>
      </c>
      <c r="I11" s="5">
        <v>9967.5380000000005</v>
      </c>
      <c r="J11" s="5">
        <v>7659.6660000000002</v>
      </c>
      <c r="K11" s="5">
        <v>6029.9009999999998</v>
      </c>
      <c r="L11" s="5">
        <v>4591.4759999999997</v>
      </c>
    </row>
    <row r="12" spans="1:12" ht="15" customHeight="1" outlineLevel="2">
      <c r="A12" s="7" t="s">
        <v>17</v>
      </c>
      <c r="B12" s="8">
        <v>5548.0630000000001</v>
      </c>
      <c r="C12" s="8">
        <v>5409.6620000000003</v>
      </c>
      <c r="D12" s="8">
        <v>5160.9840000000004</v>
      </c>
      <c r="E12" s="8">
        <v>4805.4709999999995</v>
      </c>
      <c r="F12" s="8">
        <v>4893.9040000000005</v>
      </c>
      <c r="G12" s="8">
        <v>4353.6970000000001</v>
      </c>
      <c r="H12" s="8">
        <v>3120.3870000000002</v>
      </c>
      <c r="I12" s="8">
        <v>2311.0810000000001</v>
      </c>
      <c r="J12" s="8">
        <v>1329.2809999999999</v>
      </c>
      <c r="K12" s="8">
        <v>1104.923</v>
      </c>
      <c r="L12" s="8">
        <v>1044.431</v>
      </c>
    </row>
    <row r="13" spans="1:12" ht="15" customHeight="1" outlineLevel="2">
      <c r="A13" s="6" t="s">
        <v>18</v>
      </c>
      <c r="B13" s="9">
        <v>15775.571</v>
      </c>
      <c r="C13" s="9">
        <v>15630.431</v>
      </c>
      <c r="D13" s="9">
        <v>14554.384</v>
      </c>
      <c r="E13" s="9">
        <v>14362.814</v>
      </c>
      <c r="F13" s="9">
        <v>12438.779</v>
      </c>
      <c r="G13" s="9">
        <v>10922.621999999999</v>
      </c>
      <c r="H13" s="9">
        <v>9319.8259999999991</v>
      </c>
      <c r="I13" s="9">
        <v>7656.4570000000003</v>
      </c>
      <c r="J13" s="9">
        <v>6330.3850000000002</v>
      </c>
      <c r="K13" s="9">
        <v>4924.9780000000001</v>
      </c>
      <c r="L13" s="9">
        <v>3547.0450000000001</v>
      </c>
    </row>
    <row r="14" spans="1:12" ht="15" customHeight="1">
      <c r="A14" s="2" t="s">
        <v>19</v>
      </c>
      <c r="B14" s="3">
        <v>18549.646000000001</v>
      </c>
      <c r="C14" s="3">
        <v>17836.863000000001</v>
      </c>
      <c r="D14" s="3">
        <v>14007.929</v>
      </c>
      <c r="E14" s="3">
        <v>12447.264999999999</v>
      </c>
      <c r="F14" s="3">
        <v>12365.161</v>
      </c>
      <c r="G14" s="3">
        <v>9719.7369999999992</v>
      </c>
      <c r="H14" s="3">
        <v>7716.2340000000004</v>
      </c>
      <c r="I14" s="3">
        <v>5826.8029999999999</v>
      </c>
      <c r="J14" s="3">
        <v>4033.047</v>
      </c>
      <c r="K14" s="3">
        <v>2800.768</v>
      </c>
      <c r="L14" s="3">
        <v>2188.0349999999999</v>
      </c>
    </row>
    <row r="15" spans="1:12" ht="15" customHeight="1" outlineLevel="1">
      <c r="A15" s="4" t="s">
        <v>20</v>
      </c>
      <c r="B15" s="5">
        <v>7716.71</v>
      </c>
      <c r="C15" s="5">
        <v>7544.8879999999999</v>
      </c>
      <c r="D15" s="5">
        <v>7053.9260000000004</v>
      </c>
      <c r="E15" s="5">
        <v>6814.4340000000002</v>
      </c>
      <c r="F15" s="5">
        <v>6170.652</v>
      </c>
      <c r="G15" s="5">
        <v>5134.4480000000003</v>
      </c>
      <c r="H15" s="5">
        <v>5111.9799999999996</v>
      </c>
      <c r="I15" s="5">
        <v>4221.5770000000002</v>
      </c>
      <c r="J15" s="5">
        <v>3194.3679999999999</v>
      </c>
      <c r="K15" s="5">
        <v>2420.9749999999999</v>
      </c>
      <c r="L15" s="5">
        <v>1882.2090000000001</v>
      </c>
    </row>
    <row r="16" spans="1:12" ht="15" customHeight="1" outlineLevel="2">
      <c r="A16" s="7" t="s">
        <v>21</v>
      </c>
      <c r="B16" s="8">
        <v>3045.645</v>
      </c>
      <c r="C16" s="8">
        <v>2925.2950000000001</v>
      </c>
      <c r="D16" s="8">
        <v>2675.7579999999998</v>
      </c>
      <c r="E16" s="8">
        <v>2711.0410000000002</v>
      </c>
      <c r="F16" s="8">
        <v>2273.8850000000002</v>
      </c>
      <c r="G16" s="8">
        <v>1829.6</v>
      </c>
      <c r="H16" s="8">
        <v>1545.1489999999999</v>
      </c>
      <c r="I16" s="8">
        <v>1221.8140000000001</v>
      </c>
      <c r="J16" s="8">
        <v>1052.778</v>
      </c>
      <c r="K16" s="8">
        <v>852.09799999999996</v>
      </c>
      <c r="L16" s="8">
        <v>650.78800000000001</v>
      </c>
    </row>
    <row r="17" spans="1:12" ht="15" customHeight="1" outlineLevel="2">
      <c r="A17" s="6" t="s">
        <v>22</v>
      </c>
      <c r="B17" s="9">
        <v>4671.0649999999996</v>
      </c>
      <c r="C17" s="9">
        <v>4619.5929999999998</v>
      </c>
      <c r="D17" s="9">
        <v>4378.1679999999997</v>
      </c>
      <c r="E17" s="9">
        <v>4103.393</v>
      </c>
      <c r="F17" s="9">
        <v>3896.7669999999998</v>
      </c>
      <c r="G17" s="9">
        <v>3304.848</v>
      </c>
      <c r="H17" s="9">
        <v>3566.8310000000001</v>
      </c>
      <c r="I17" s="9">
        <v>2999.7629999999999</v>
      </c>
      <c r="J17" s="9">
        <v>2141.59</v>
      </c>
      <c r="K17" s="9">
        <v>1568.877</v>
      </c>
      <c r="L17" s="9">
        <v>1231.421</v>
      </c>
    </row>
    <row r="18" spans="1:12" ht="15" customHeight="1">
      <c r="A18" s="2" t="s">
        <v>23</v>
      </c>
      <c r="B18" s="3">
        <v>10832.936</v>
      </c>
      <c r="C18" s="3">
        <v>10291.975</v>
      </c>
      <c r="D18" s="3">
        <v>6954.0029999999997</v>
      </c>
      <c r="E18" s="3">
        <v>5632.8310000000001</v>
      </c>
      <c r="F18" s="3">
        <v>6194.509</v>
      </c>
      <c r="G18" s="3">
        <v>4585.2889999999998</v>
      </c>
      <c r="H18" s="3">
        <v>2604.2539999999999</v>
      </c>
      <c r="I18" s="3">
        <v>1605.2260000000001</v>
      </c>
      <c r="J18" s="3">
        <v>838.67899999999997</v>
      </c>
      <c r="K18" s="3">
        <v>379.79300000000001</v>
      </c>
      <c r="L18" s="3">
        <v>305.82600000000002</v>
      </c>
    </row>
    <row r="19" spans="1:12" ht="15" customHeight="1" outlineLevel="1">
      <c r="A19" s="4" t="s">
        <v>24</v>
      </c>
      <c r="B19" s="5">
        <v>461.459</v>
      </c>
      <c r="C19" s="5">
        <v>392.41500000000002</v>
      </c>
      <c r="D19" s="5">
        <v>-48.771999999999998</v>
      </c>
      <c r="E19" s="5">
        <v>337.31</v>
      </c>
      <c r="F19" s="5">
        <v>411.214</v>
      </c>
      <c r="G19" s="5">
        <v>-618.44100000000003</v>
      </c>
      <c r="H19" s="5">
        <v>84</v>
      </c>
      <c r="I19" s="5">
        <v>41.725000000000001</v>
      </c>
      <c r="J19" s="5">
        <v>-115.154</v>
      </c>
      <c r="K19" s="5">
        <v>30.827999999999999</v>
      </c>
      <c r="L19" s="5">
        <v>-31.225000000000001</v>
      </c>
    </row>
    <row r="20" spans="1:12" ht="15" customHeight="1" outlineLevel="2">
      <c r="A20" s="7" t="s">
        <v>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7.9249999999999998</v>
      </c>
      <c r="L20" s="8">
        <v>0</v>
      </c>
    </row>
    <row r="21" spans="1:12" ht="15" customHeight="1" outlineLevel="2">
      <c r="A21" s="6" t="s">
        <v>26</v>
      </c>
      <c r="B21" s="9">
        <v>461.459</v>
      </c>
      <c r="C21" s="9">
        <v>392.41500000000002</v>
      </c>
      <c r="D21" s="10">
        <v>-48.771999999999998</v>
      </c>
      <c r="E21" s="9">
        <v>337.31</v>
      </c>
      <c r="F21" s="9">
        <v>411.214</v>
      </c>
      <c r="G21" s="10">
        <v>-618.44100000000003</v>
      </c>
      <c r="H21" s="9">
        <v>84</v>
      </c>
      <c r="I21" s="9">
        <v>41.725000000000001</v>
      </c>
      <c r="J21" s="10">
        <v>-115.154</v>
      </c>
      <c r="K21" s="9">
        <v>22.902999999999999</v>
      </c>
      <c r="L21" s="10">
        <v>-31.225000000000001</v>
      </c>
    </row>
    <row r="22" spans="1:12" ht="15" customHeight="1" outlineLevel="1">
      <c r="A22" s="11" t="s">
        <v>27</v>
      </c>
      <c r="B22" s="3">
        <v>729.59100000000001</v>
      </c>
      <c r="C22" s="3">
        <v>718.73299999999995</v>
      </c>
      <c r="D22" s="3">
        <v>699.82600000000002</v>
      </c>
      <c r="E22" s="3">
        <v>706.21199999999999</v>
      </c>
      <c r="F22" s="3">
        <v>765.62</v>
      </c>
      <c r="G22" s="3">
        <v>767.49900000000002</v>
      </c>
      <c r="H22" s="3">
        <v>626.02300000000002</v>
      </c>
      <c r="I22" s="3">
        <v>420.49299999999999</v>
      </c>
      <c r="J22" s="3">
        <v>238.20400000000001</v>
      </c>
      <c r="K22" s="3">
        <v>150.114</v>
      </c>
      <c r="L22" s="3">
        <v>132.71600000000001</v>
      </c>
    </row>
    <row r="23" spans="1:12" ht="15" customHeight="1" outlineLevel="2">
      <c r="A23" s="6" t="s">
        <v>28</v>
      </c>
      <c r="B23" s="9">
        <v>729.59100000000001</v>
      </c>
      <c r="C23" s="9">
        <v>718.73299999999995</v>
      </c>
      <c r="D23" s="9">
        <v>699.82600000000002</v>
      </c>
      <c r="E23" s="9">
        <v>706.21199999999999</v>
      </c>
      <c r="F23" s="9">
        <v>765.62</v>
      </c>
      <c r="G23" s="9">
        <v>767.49900000000002</v>
      </c>
      <c r="H23" s="9">
        <v>626.02300000000002</v>
      </c>
      <c r="I23" s="9">
        <v>420.49299999999999</v>
      </c>
      <c r="J23" s="9">
        <v>238.20400000000001</v>
      </c>
      <c r="K23" s="9">
        <v>150.114</v>
      </c>
      <c r="L23" s="9">
        <v>132.71600000000001</v>
      </c>
    </row>
    <row r="24" spans="1:12" ht="15" customHeight="1">
      <c r="A24" s="2" t="s">
        <v>29</v>
      </c>
      <c r="B24" s="3">
        <v>10564.804</v>
      </c>
      <c r="C24" s="3">
        <v>9965.6569999999992</v>
      </c>
      <c r="D24" s="3">
        <v>6205.4049999999997</v>
      </c>
      <c r="E24" s="3">
        <v>5263.9290000000001</v>
      </c>
      <c r="F24" s="3">
        <v>5840.1030000000001</v>
      </c>
      <c r="G24" s="3">
        <v>3199.3490000000002</v>
      </c>
      <c r="H24" s="3">
        <v>2062.2310000000002</v>
      </c>
      <c r="I24" s="3">
        <v>1226.4580000000001</v>
      </c>
      <c r="J24" s="3">
        <v>485.32100000000003</v>
      </c>
      <c r="K24" s="3">
        <v>260.50700000000001</v>
      </c>
      <c r="L24" s="3">
        <v>141.88499999999999</v>
      </c>
    </row>
    <row r="25" spans="1:12" ht="15" customHeight="1" outlineLevel="1">
      <c r="A25" s="4" t="s">
        <v>30</v>
      </c>
      <c r="B25" s="5">
        <v>1295.0309999999999</v>
      </c>
      <c r="C25" s="5">
        <v>1254.0260000000001</v>
      </c>
      <c r="D25" s="5">
        <v>797.41499999999996</v>
      </c>
      <c r="E25" s="5">
        <v>772.005</v>
      </c>
      <c r="F25" s="5">
        <v>723.875</v>
      </c>
      <c r="G25" s="5">
        <v>437.95400000000001</v>
      </c>
      <c r="H25" s="5">
        <v>195.315</v>
      </c>
      <c r="I25" s="5">
        <v>15.215999999999999</v>
      </c>
      <c r="J25" s="5">
        <v>-73.608000000000004</v>
      </c>
      <c r="K25" s="5">
        <v>73.828999999999994</v>
      </c>
      <c r="L25" s="5">
        <v>19.244</v>
      </c>
    </row>
    <row r="26" spans="1:12" ht="15" customHeight="1" outlineLevel="2">
      <c r="A26" s="7" t="s">
        <v>31</v>
      </c>
      <c r="B26" s="12"/>
      <c r="C26" s="8">
        <v>1308.481</v>
      </c>
      <c r="D26" s="8">
        <v>1035.854</v>
      </c>
      <c r="E26" s="8">
        <v>229.70500000000001</v>
      </c>
      <c r="F26" s="8">
        <v>167.167</v>
      </c>
      <c r="G26" s="8">
        <v>90.042000000000002</v>
      </c>
      <c r="H26" s="8">
        <v>66.725999999999999</v>
      </c>
      <c r="I26" s="13">
        <v>-32.409999999999997</v>
      </c>
      <c r="J26" s="8">
        <v>46.643999999999998</v>
      </c>
      <c r="K26" s="8">
        <v>60.104999999999997</v>
      </c>
      <c r="L26" s="8">
        <v>50.981000000000002</v>
      </c>
    </row>
    <row r="27" spans="1:12" ht="15" customHeight="1" outlineLevel="2">
      <c r="A27" s="6" t="s">
        <v>32</v>
      </c>
      <c r="B27" s="14"/>
      <c r="C27" s="9">
        <v>536.91499999999996</v>
      </c>
      <c r="D27" s="9">
        <v>304.53899999999999</v>
      </c>
      <c r="E27" s="9">
        <v>676.827</v>
      </c>
      <c r="F27" s="9">
        <v>357.18900000000002</v>
      </c>
      <c r="G27" s="9">
        <v>277.846</v>
      </c>
      <c r="H27" s="9">
        <v>223.328</v>
      </c>
      <c r="I27" s="9">
        <v>133.14599999999999</v>
      </c>
      <c r="J27" s="9">
        <v>88.436000000000007</v>
      </c>
      <c r="K27" s="9">
        <v>60.570999999999998</v>
      </c>
      <c r="L27" s="9">
        <v>26.917999999999999</v>
      </c>
    </row>
    <row r="28" spans="1:12" ht="15" customHeight="1" outlineLevel="2">
      <c r="A28" s="7" t="s">
        <v>33</v>
      </c>
      <c r="B28" s="12"/>
      <c r="C28" s="13">
        <v>-562.21</v>
      </c>
      <c r="D28" s="13">
        <v>-468.23500000000001</v>
      </c>
      <c r="E28" s="13">
        <v>-83.125</v>
      </c>
      <c r="F28" s="8">
        <v>186.23699999999999</v>
      </c>
      <c r="G28" s="8">
        <v>106.92</v>
      </c>
      <c r="H28" s="13">
        <v>-82.51</v>
      </c>
      <c r="I28" s="13">
        <v>-89.787000000000006</v>
      </c>
      <c r="J28" s="13">
        <v>-206.65799999999999</v>
      </c>
      <c r="K28" s="13">
        <v>-38.463000000000001</v>
      </c>
      <c r="L28" s="13">
        <v>-55.304000000000002</v>
      </c>
    </row>
    <row r="29" spans="1:12" ht="15" customHeight="1" outlineLevel="2">
      <c r="A29" s="6" t="s">
        <v>34</v>
      </c>
      <c r="B29" s="14"/>
      <c r="C29" s="10">
        <v>-29.16</v>
      </c>
      <c r="D29" s="10">
        <v>-74.742999999999995</v>
      </c>
      <c r="E29" s="10">
        <v>-51.402000000000001</v>
      </c>
      <c r="F29" s="9">
        <v>13.282</v>
      </c>
      <c r="G29" s="10">
        <v>-36.853999999999999</v>
      </c>
      <c r="H29" s="10">
        <v>-12.228999999999999</v>
      </c>
      <c r="I29" s="9">
        <v>4.2670000000000003</v>
      </c>
      <c r="J29" s="10">
        <v>-2.0299999999999998</v>
      </c>
      <c r="K29" s="10">
        <v>-8.3840000000000003</v>
      </c>
      <c r="L29" s="10">
        <v>-3.351</v>
      </c>
    </row>
    <row r="30" spans="1:12" ht="15" customHeight="1">
      <c r="A30" s="12" t="s">
        <v>35</v>
      </c>
      <c r="B30" s="8">
        <v>9269.7729999999992</v>
      </c>
      <c r="C30" s="8">
        <v>8711.6309999999994</v>
      </c>
      <c r="D30" s="8">
        <v>5407.99</v>
      </c>
      <c r="E30" s="8">
        <v>4491.924</v>
      </c>
      <c r="F30" s="8">
        <v>5116.2280000000001</v>
      </c>
      <c r="G30" s="8">
        <v>2761.395</v>
      </c>
      <c r="H30" s="8">
        <v>1866.9159999999999</v>
      </c>
      <c r="I30" s="8">
        <v>1211.242</v>
      </c>
      <c r="J30" s="8">
        <v>558.92899999999997</v>
      </c>
      <c r="K30" s="8">
        <v>186.678</v>
      </c>
      <c r="L30" s="8">
        <v>122.64100000000001</v>
      </c>
    </row>
    <row r="31" spans="1:12" ht="15" customHeight="1">
      <c r="A31" s="15" t="s">
        <v>36</v>
      </c>
      <c r="B31" s="5">
        <v>9269.7729999999992</v>
      </c>
      <c r="C31" s="5">
        <v>8711.6309999999994</v>
      </c>
      <c r="D31" s="5">
        <v>5407.99</v>
      </c>
      <c r="E31" s="5">
        <v>4491.924</v>
      </c>
      <c r="F31" s="5">
        <v>5116.2280000000001</v>
      </c>
      <c r="G31" s="5">
        <v>2761.395</v>
      </c>
      <c r="H31" s="5">
        <v>1866.9159999999999</v>
      </c>
      <c r="I31" s="5">
        <v>1211.242</v>
      </c>
      <c r="J31" s="5">
        <v>558.92899999999997</v>
      </c>
      <c r="K31" s="5">
        <v>186.678</v>
      </c>
      <c r="L31" s="5">
        <v>122.64100000000001</v>
      </c>
    </row>
    <row r="32" spans="1:12" ht="15" customHeight="1" outlineLevel="1">
      <c r="A32" s="17" t="s">
        <v>37</v>
      </c>
      <c r="B32" s="8">
        <v>9269.7729999999992</v>
      </c>
      <c r="C32" s="8">
        <v>8711.6309999999994</v>
      </c>
      <c r="D32" s="8">
        <v>5407.99</v>
      </c>
      <c r="E32" s="8">
        <v>4491.924</v>
      </c>
      <c r="F32" s="8">
        <v>5116.2280000000001</v>
      </c>
      <c r="G32" s="8">
        <v>2761.395</v>
      </c>
      <c r="H32" s="8">
        <v>1866.9159999999999</v>
      </c>
      <c r="I32" s="8">
        <v>1211.242</v>
      </c>
      <c r="J32" s="8">
        <v>558.92899999999997</v>
      </c>
      <c r="K32" s="8">
        <v>186.678</v>
      </c>
      <c r="L32" s="8">
        <v>122.64100000000001</v>
      </c>
    </row>
    <row r="33" spans="1:12" ht="15" customHeight="1">
      <c r="A33" s="15" t="s">
        <v>38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ht="15" customHeight="1" outlineLevel="1">
      <c r="A34" s="17" t="s">
        <v>39</v>
      </c>
      <c r="B34" s="18">
        <v>21.21414</v>
      </c>
      <c r="C34" s="18">
        <v>19.832471000000002</v>
      </c>
      <c r="D34" s="18">
        <v>12.031177</v>
      </c>
      <c r="E34" s="18">
        <v>9.9535199999999993</v>
      </c>
      <c r="F34" s="18">
        <v>11.235270999999999</v>
      </c>
      <c r="G34" s="18">
        <v>6.0795820000000003</v>
      </c>
      <c r="H34" s="18">
        <v>4.1324940000000003</v>
      </c>
      <c r="I34" s="18">
        <v>2.6842280000000001</v>
      </c>
      <c r="J34" s="18">
        <v>1.2509209999999999</v>
      </c>
      <c r="K34" s="18">
        <v>0.42557200000000001</v>
      </c>
      <c r="L34" s="18">
        <v>0.28099299999999999</v>
      </c>
    </row>
    <row r="35" spans="1:12" ht="15" customHeight="1" outlineLevel="1">
      <c r="A35" s="4" t="s">
        <v>40</v>
      </c>
      <c r="B35" s="19">
        <v>21.6403</v>
      </c>
      <c r="C35" s="19">
        <v>20.282299999999999</v>
      </c>
      <c r="D35" s="19">
        <v>12.247199999999999</v>
      </c>
      <c r="E35" s="19">
        <v>10.101100000000001</v>
      </c>
      <c r="F35" s="19">
        <v>11.545</v>
      </c>
      <c r="G35" s="19">
        <v>6.2628000000000004</v>
      </c>
      <c r="H35" s="19">
        <v>4.2643000000000004</v>
      </c>
      <c r="I35" s="19">
        <v>2.78</v>
      </c>
      <c r="J35" s="19">
        <v>1.29</v>
      </c>
      <c r="K35" s="19">
        <v>0.44</v>
      </c>
      <c r="L35" s="19">
        <v>0.28999999999999998</v>
      </c>
    </row>
    <row r="36" spans="1:12" ht="15" customHeight="1" outlineLevel="2">
      <c r="A36" s="7" t="s">
        <v>41</v>
      </c>
      <c r="B36" s="18">
        <v>427.27</v>
      </c>
      <c r="C36" s="18">
        <v>429.51900000000001</v>
      </c>
      <c r="D36" s="18">
        <v>441.57100000000003</v>
      </c>
      <c r="E36" s="18">
        <v>444.69799999999998</v>
      </c>
      <c r="F36" s="18">
        <v>443.15499999999997</v>
      </c>
      <c r="G36" s="18">
        <v>440.92200000000003</v>
      </c>
      <c r="H36" s="18">
        <v>437.79899999999998</v>
      </c>
      <c r="I36" s="18">
        <v>435.37400000000002</v>
      </c>
      <c r="J36" s="18">
        <v>431.88499999999999</v>
      </c>
      <c r="K36" s="18">
        <v>428.822</v>
      </c>
      <c r="L36" s="18">
        <v>425.88900000000001</v>
      </c>
    </row>
    <row r="37" spans="1:12" ht="15" customHeight="1" outlineLevel="2">
      <c r="A37" s="6" t="s">
        <v>42</v>
      </c>
      <c r="B37" s="20">
        <v>425.68320999999997</v>
      </c>
      <c r="C37" s="20">
        <v>427.75709999999998</v>
      </c>
      <c r="D37" s="20">
        <v>432.75958400000002</v>
      </c>
      <c r="E37" s="20">
        <v>445.34677599999998</v>
      </c>
      <c r="F37" s="20">
        <v>443.96310699999998</v>
      </c>
      <c r="G37" s="20">
        <v>442.895261</v>
      </c>
      <c r="H37" s="20">
        <v>438.80664899999999</v>
      </c>
      <c r="I37" s="20">
        <v>436.59859699999998</v>
      </c>
      <c r="J37" s="20">
        <v>433.39268600000003</v>
      </c>
      <c r="K37" s="20">
        <v>430.05421200000001</v>
      </c>
      <c r="L37" s="20">
        <v>427.94044000000002</v>
      </c>
    </row>
    <row r="38" spans="1:12" ht="15" customHeight="1" outlineLevel="1">
      <c r="A38" s="11" t="s">
        <v>43</v>
      </c>
      <c r="B38" s="21">
        <v>21.162400000000002</v>
      </c>
      <c r="C38" s="21">
        <v>19.8325</v>
      </c>
      <c r="D38" s="21">
        <v>12.0312</v>
      </c>
      <c r="E38" s="21">
        <v>9.9535</v>
      </c>
      <c r="F38" s="21">
        <v>11.235300000000001</v>
      </c>
      <c r="G38" s="21">
        <v>6.0796000000000001</v>
      </c>
      <c r="H38" s="21">
        <v>4.1325000000000003</v>
      </c>
      <c r="I38" s="21">
        <v>2.68</v>
      </c>
      <c r="J38" s="21">
        <v>1.25</v>
      </c>
      <c r="K38" s="21">
        <v>0.43</v>
      </c>
      <c r="L38" s="21">
        <v>0.28000000000000003</v>
      </c>
    </row>
    <row r="39" spans="1:12" ht="15" customHeight="1" outlineLevel="2">
      <c r="A39" s="6" t="s">
        <v>44</v>
      </c>
      <c r="B39" s="20">
        <v>436.96199999999999</v>
      </c>
      <c r="C39" s="20">
        <v>439.26100000000002</v>
      </c>
      <c r="D39" s="20">
        <v>449.49799999999999</v>
      </c>
      <c r="E39" s="20">
        <v>451.29</v>
      </c>
      <c r="F39" s="20">
        <v>455.37200000000001</v>
      </c>
      <c r="G39" s="20">
        <v>454.20800000000003</v>
      </c>
      <c r="H39" s="20">
        <v>451.76499999999999</v>
      </c>
      <c r="I39" s="20">
        <v>451.24400000000003</v>
      </c>
      <c r="J39" s="20">
        <v>446.81400000000002</v>
      </c>
      <c r="K39" s="20">
        <v>438.65199999999999</v>
      </c>
      <c r="L39" s="20">
        <v>436.45600000000002</v>
      </c>
    </row>
    <row r="40" spans="1:12" ht="15" customHeight="1" outlineLevel="2">
      <c r="A40" s="7" t="s">
        <v>42</v>
      </c>
      <c r="B40" s="18">
        <v>425.68320999999997</v>
      </c>
      <c r="C40" s="18">
        <v>427.75709999999998</v>
      </c>
      <c r="D40" s="18">
        <v>432.75958400000002</v>
      </c>
      <c r="E40" s="18">
        <v>445.34677599999998</v>
      </c>
      <c r="F40" s="18">
        <v>443.96310699999998</v>
      </c>
      <c r="G40" s="18">
        <v>442.895261</v>
      </c>
      <c r="H40" s="18">
        <v>438.80664899999999</v>
      </c>
      <c r="I40" s="18">
        <v>436.59859699999998</v>
      </c>
      <c r="J40" s="18">
        <v>433.39268600000003</v>
      </c>
      <c r="K40" s="18">
        <v>430.05421200000001</v>
      </c>
      <c r="L40" s="18">
        <v>427.94044000000002</v>
      </c>
    </row>
    <row r="41" spans="1:12" ht="15" customHeight="1" outlineLevel="1">
      <c r="A41" s="16" t="s">
        <v>45</v>
      </c>
      <c r="B41" s="14"/>
      <c r="C41" s="20">
        <v>84.326999999999998</v>
      </c>
      <c r="D41" s="20">
        <v>87.91</v>
      </c>
      <c r="E41" s="20">
        <v>81.417000000000002</v>
      </c>
      <c r="F41" s="20">
        <v>74.738</v>
      </c>
      <c r="G41" s="20">
        <v>85.766000000000005</v>
      </c>
      <c r="H41" s="20">
        <v>68.52</v>
      </c>
      <c r="I41" s="20">
        <v>66.197000000000003</v>
      </c>
      <c r="J41" s="20">
        <v>66.442999999999998</v>
      </c>
      <c r="K41" s="20">
        <v>63.107999999999997</v>
      </c>
      <c r="L41" s="20">
        <v>60.531999999999996</v>
      </c>
    </row>
    <row r="42" spans="1:12" ht="15" customHeight="1">
      <c r="A42" s="2" t="s">
        <v>46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outlineLevel="1">
      <c r="A43" s="4" t="s">
        <v>46</v>
      </c>
      <c r="B43" s="5">
        <v>26608.507000000001</v>
      </c>
      <c r="C43" s="5">
        <v>25922.405999999999</v>
      </c>
      <c r="D43" s="5">
        <v>21508.386999999999</v>
      </c>
      <c r="E43" s="5">
        <v>19995.645</v>
      </c>
      <c r="F43" s="5">
        <v>18633.288</v>
      </c>
      <c r="G43" s="5">
        <v>15507.911</v>
      </c>
      <c r="H43" s="5">
        <v>11924.08</v>
      </c>
      <c r="I43" s="5">
        <v>9261.6830000000009</v>
      </c>
      <c r="J43" s="5">
        <v>7169.0640000000003</v>
      </c>
      <c r="K43" s="5">
        <v>5304.7709999999997</v>
      </c>
      <c r="L43" s="5">
        <v>3852.8710000000001</v>
      </c>
    </row>
    <row r="44" spans="1:12" ht="15" customHeight="1" outlineLevel="2">
      <c r="A44" s="7" t="s">
        <v>47</v>
      </c>
      <c r="B44" s="8">
        <v>10832.936</v>
      </c>
      <c r="C44" s="8">
        <v>10291.975</v>
      </c>
      <c r="D44" s="8">
        <v>6954.0029999999997</v>
      </c>
      <c r="E44" s="8">
        <v>5632.8310000000001</v>
      </c>
      <c r="F44" s="8">
        <v>6194.509</v>
      </c>
      <c r="G44" s="8">
        <v>4585.2889999999998</v>
      </c>
      <c r="H44" s="8">
        <v>2604.2539999999999</v>
      </c>
      <c r="I44" s="8">
        <v>1605.2260000000001</v>
      </c>
      <c r="J44" s="8">
        <v>838.67899999999997</v>
      </c>
      <c r="K44" s="8">
        <v>379.79300000000001</v>
      </c>
      <c r="L44" s="8">
        <v>305.82600000000002</v>
      </c>
    </row>
    <row r="45" spans="1:12" ht="15" customHeight="1" outlineLevel="2">
      <c r="A45" s="6" t="s">
        <v>18</v>
      </c>
      <c r="B45" s="9">
        <v>15775.571</v>
      </c>
      <c r="C45" s="9">
        <v>15630.431</v>
      </c>
      <c r="D45" s="9">
        <v>14554.384</v>
      </c>
      <c r="E45" s="9">
        <v>14362.814</v>
      </c>
      <c r="F45" s="9">
        <v>12438.779</v>
      </c>
      <c r="G45" s="9">
        <v>10922.621999999999</v>
      </c>
      <c r="H45" s="9">
        <v>9319.8259999999991</v>
      </c>
      <c r="I45" s="9">
        <v>7656.4570000000003</v>
      </c>
      <c r="J45" s="9">
        <v>6330.3850000000002</v>
      </c>
      <c r="K45" s="9">
        <v>4924.9780000000001</v>
      </c>
      <c r="L45" s="9">
        <v>3547.0450000000001</v>
      </c>
    </row>
    <row r="46" spans="1:12" ht="15" customHeight="1">
      <c r="A46" s="22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AB0F-C39D-734C-A099-7E307DA9477D}">
  <dimension ref="A1:K71"/>
  <sheetViews>
    <sheetView topLeftCell="A29" workbookViewId="0">
      <selection activeCell="A69" sqref="A69"/>
    </sheetView>
  </sheetViews>
  <sheetFormatPr baseColWidth="10" defaultRowHeight="13" outlineLevelRow="3"/>
  <cols>
    <col min="1" max="1" width="39.83203125" customWidth="1"/>
  </cols>
  <sheetData>
    <row r="1" spans="1:11" ht="15" customHeight="1">
      <c r="A1" s="23" t="s">
        <v>49</v>
      </c>
    </row>
    <row r="2" spans="1:11" ht="15" customHeight="1">
      <c r="A2" s="25" t="s">
        <v>50</v>
      </c>
    </row>
    <row r="3" spans="1:11" ht="1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5" customHeight="1"/>
    <row r="5" spans="1:11" ht="15" customHeight="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customHeigh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customHeight="1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>
      <c r="A8" s="1"/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</row>
    <row r="9" spans="1:11" ht="15" customHeight="1">
      <c r="A9" s="15" t="s">
        <v>51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5" customHeight="1" outlineLevel="1">
      <c r="A10" s="11" t="s">
        <v>52</v>
      </c>
      <c r="B10" s="3">
        <v>9586.2109999999993</v>
      </c>
      <c r="C10" s="3">
        <v>7139.3519999999999</v>
      </c>
      <c r="D10" s="3">
        <v>6058.4520000000002</v>
      </c>
      <c r="E10" s="3">
        <v>6027.8040000000001</v>
      </c>
      <c r="F10" s="3">
        <v>8205.5499999999993</v>
      </c>
      <c r="G10" s="3">
        <v>5018.4369999999999</v>
      </c>
      <c r="H10" s="3">
        <v>3794.4830000000002</v>
      </c>
      <c r="I10" s="3">
        <v>2822.7950000000001</v>
      </c>
      <c r="J10" s="3">
        <v>1733.7819999999999</v>
      </c>
      <c r="K10" s="3">
        <v>2310.7150000000001</v>
      </c>
    </row>
    <row r="11" spans="1:11" ht="15" customHeight="1" outlineLevel="2">
      <c r="A11" s="6" t="s">
        <v>53</v>
      </c>
      <c r="B11" s="9">
        <v>7542.9350000000004</v>
      </c>
      <c r="C11" s="9">
        <v>6913.7470000000003</v>
      </c>
      <c r="D11" s="9">
        <v>5147.1760000000004</v>
      </c>
      <c r="E11" s="9">
        <v>6027.8040000000001</v>
      </c>
      <c r="F11" s="9">
        <v>8205.5499999999993</v>
      </c>
      <c r="G11" s="9">
        <v>5018.4369999999999</v>
      </c>
      <c r="H11" s="9">
        <v>3794.4830000000002</v>
      </c>
      <c r="I11" s="9">
        <v>2822.7950000000001</v>
      </c>
      <c r="J11" s="9">
        <v>1467.576</v>
      </c>
      <c r="K11" s="9">
        <v>1809.33</v>
      </c>
    </row>
    <row r="12" spans="1:11" ht="15" customHeight="1" outlineLevel="2">
      <c r="A12" s="7" t="s">
        <v>54</v>
      </c>
      <c r="B12" s="8">
        <v>2043.2760000000001</v>
      </c>
      <c r="C12" s="8">
        <v>225.60499999999999</v>
      </c>
      <c r="D12" s="8">
        <v>911.27599999999995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266.20600000000002</v>
      </c>
      <c r="K12" s="8">
        <v>501.38499999999999</v>
      </c>
    </row>
    <row r="13" spans="1:11" ht="15" customHeight="1" outlineLevel="1">
      <c r="A13" s="4" t="s">
        <v>55</v>
      </c>
      <c r="B13" s="5">
        <v>1988.3040000000001</v>
      </c>
      <c r="C13" s="5">
        <v>1842.0540000000001</v>
      </c>
      <c r="D13" s="5">
        <v>988.89800000000002</v>
      </c>
      <c r="E13" s="5">
        <v>1718.203</v>
      </c>
      <c r="F13" s="5">
        <v>1352.9880000000001</v>
      </c>
      <c r="G13" s="5">
        <v>979.06799999999998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outlineLevel="2">
      <c r="A14" s="26" t="s">
        <v>56</v>
      </c>
      <c r="B14" s="3">
        <v>1335.3040000000001</v>
      </c>
      <c r="C14" s="3">
        <v>1287.0540000000001</v>
      </c>
      <c r="D14" s="3">
        <v>988.89800000000002</v>
      </c>
      <c r="E14" s="3">
        <v>804.32</v>
      </c>
      <c r="F14" s="3">
        <v>610.81899999999996</v>
      </c>
      <c r="G14" s="3">
        <v>454.399</v>
      </c>
      <c r="H14" s="2"/>
      <c r="I14" s="2"/>
      <c r="J14" s="2"/>
      <c r="K14" s="2"/>
    </row>
    <row r="15" spans="1:11" ht="15" customHeight="1" outlineLevel="3">
      <c r="A15" s="27" t="s">
        <v>57</v>
      </c>
      <c r="B15" s="9">
        <v>1335.3040000000001</v>
      </c>
      <c r="C15" s="9">
        <v>1287.0540000000001</v>
      </c>
      <c r="D15" s="9">
        <v>988.89800000000002</v>
      </c>
      <c r="E15" s="9">
        <v>804.32</v>
      </c>
      <c r="F15" s="9">
        <v>610.81899999999996</v>
      </c>
      <c r="G15" s="9">
        <v>454.399</v>
      </c>
      <c r="H15" s="14"/>
      <c r="I15" s="14"/>
      <c r="J15" s="14"/>
      <c r="K15" s="14"/>
    </row>
    <row r="16" spans="1:11" ht="15" customHeight="1" outlineLevel="2">
      <c r="A16" s="7" t="s">
        <v>58</v>
      </c>
      <c r="B16" s="8">
        <v>653</v>
      </c>
      <c r="C16" s="8">
        <v>555</v>
      </c>
      <c r="D16" s="8">
        <v>0</v>
      </c>
      <c r="E16" s="8">
        <v>913.88300000000004</v>
      </c>
      <c r="F16" s="8">
        <v>742.16899999999998</v>
      </c>
      <c r="G16" s="8">
        <v>524.66899999999998</v>
      </c>
      <c r="H16" s="12"/>
      <c r="I16" s="12"/>
      <c r="J16" s="12"/>
      <c r="K16" s="12"/>
    </row>
    <row r="17" spans="1:11" ht="15" customHeight="1" outlineLevel="1">
      <c r="A17" s="4" t="s">
        <v>59</v>
      </c>
      <c r="B17" s="5">
        <v>1525.864</v>
      </c>
      <c r="C17" s="5">
        <v>936.72699999999998</v>
      </c>
      <c r="D17" s="5">
        <v>2219.123</v>
      </c>
      <c r="E17" s="5">
        <v>323.81799999999998</v>
      </c>
      <c r="F17" s="5">
        <v>203.042</v>
      </c>
      <c r="G17" s="5">
        <v>180.999</v>
      </c>
      <c r="H17" s="5">
        <v>5899.652</v>
      </c>
      <c r="I17" s="5">
        <v>4847.1790000000001</v>
      </c>
      <c r="J17" s="5">
        <v>3986.509</v>
      </c>
      <c r="K17" s="5">
        <v>3121.125</v>
      </c>
    </row>
    <row r="18" spans="1:11" ht="15" customHeight="1" outlineLevel="2">
      <c r="A18" s="7" t="s">
        <v>60</v>
      </c>
      <c r="B18" s="8">
        <v>431.92399999999998</v>
      </c>
      <c r="C18" s="8">
        <v>408.93599999999998</v>
      </c>
      <c r="D18" s="8">
        <v>392.73500000000001</v>
      </c>
      <c r="E18" s="8">
        <v>323.81799999999998</v>
      </c>
      <c r="F18" s="8">
        <v>203.042</v>
      </c>
      <c r="G18" s="8">
        <v>180.999</v>
      </c>
      <c r="H18" s="12"/>
      <c r="I18" s="12"/>
      <c r="J18" s="12"/>
      <c r="K18" s="12"/>
    </row>
    <row r="19" spans="1:11" ht="15" customHeight="1" outlineLevel="2">
      <c r="A19" s="6" t="s">
        <v>61</v>
      </c>
      <c r="B19" s="9">
        <v>1093.94</v>
      </c>
      <c r="C19" s="9">
        <v>527.79100000000005</v>
      </c>
      <c r="D19" s="9">
        <v>1826.3879999999999</v>
      </c>
      <c r="E19" s="9">
        <v>0</v>
      </c>
      <c r="F19" s="9">
        <v>0</v>
      </c>
      <c r="G19" s="9">
        <v>0</v>
      </c>
      <c r="H19" s="9">
        <v>5899.652</v>
      </c>
      <c r="I19" s="9">
        <v>4847.1790000000001</v>
      </c>
      <c r="J19" s="9">
        <v>3986.509</v>
      </c>
      <c r="K19" s="9">
        <v>3121.125</v>
      </c>
    </row>
    <row r="20" spans="1:11" ht="15" customHeight="1" outlineLevel="1">
      <c r="A20" s="17" t="s">
        <v>62</v>
      </c>
      <c r="B20" s="8">
        <v>13100.379000000001</v>
      </c>
      <c r="C20" s="8">
        <v>9918.1329999999998</v>
      </c>
      <c r="D20" s="8">
        <v>9266.473</v>
      </c>
      <c r="E20" s="8">
        <v>8069.8249999999998</v>
      </c>
      <c r="F20" s="8">
        <v>9761.58</v>
      </c>
      <c r="G20" s="8">
        <v>6178.5039999999999</v>
      </c>
      <c r="H20" s="8">
        <v>9694.1350000000002</v>
      </c>
      <c r="I20" s="8">
        <v>7669.9740000000002</v>
      </c>
      <c r="J20" s="8">
        <v>5720.2910000000002</v>
      </c>
      <c r="K20" s="8">
        <v>5431.84</v>
      </c>
    </row>
    <row r="21" spans="1:11" ht="15" customHeight="1" outlineLevel="1">
      <c r="A21" s="4" t="s">
        <v>63</v>
      </c>
      <c r="B21" s="5">
        <v>3696.0659999999998</v>
      </c>
      <c r="C21" s="5">
        <v>3568.3429999999998</v>
      </c>
      <c r="D21" s="5">
        <v>3625.3789999999999</v>
      </c>
      <c r="E21" s="5">
        <v>3770.0259999999998</v>
      </c>
      <c r="F21" s="5">
        <v>2997.9090000000001</v>
      </c>
      <c r="G21" s="5">
        <v>2097.221</v>
      </c>
      <c r="H21" s="5">
        <v>418.28100000000001</v>
      </c>
      <c r="I21" s="5">
        <v>319.404</v>
      </c>
      <c r="J21" s="5">
        <v>250.39500000000001</v>
      </c>
      <c r="K21" s="5">
        <v>173.41200000000001</v>
      </c>
    </row>
    <row r="22" spans="1:11" ht="15" customHeight="1" outlineLevel="2">
      <c r="A22" s="26" t="s">
        <v>64</v>
      </c>
      <c r="B22" s="3">
        <v>4613.6030000000001</v>
      </c>
      <c r="C22" s="3">
        <v>4423.3860000000004</v>
      </c>
      <c r="D22" s="3">
        <v>4379.12</v>
      </c>
      <c r="E22" s="3">
        <v>4386.3320000000003</v>
      </c>
      <c r="F22" s="3">
        <v>3492.6990000000001</v>
      </c>
      <c r="G22" s="3">
        <v>2513.2260000000001</v>
      </c>
      <c r="H22" s="3">
        <v>786.8</v>
      </c>
      <c r="I22" s="3">
        <v>641.21799999999996</v>
      </c>
      <c r="J22" s="3">
        <v>544.60400000000004</v>
      </c>
      <c r="K22" s="3">
        <v>470.75799999999998</v>
      </c>
    </row>
    <row r="23" spans="1:11" ht="15" customHeight="1" outlineLevel="3">
      <c r="A23" s="27" t="s">
        <v>65</v>
      </c>
      <c r="B23" s="9">
        <v>475.68400000000003</v>
      </c>
      <c r="C23" s="9">
        <v>150.73599999999999</v>
      </c>
      <c r="D23" s="9">
        <v>52.106000000000002</v>
      </c>
      <c r="E23" s="9">
        <v>48.122999999999998</v>
      </c>
      <c r="F23" s="9">
        <v>42.716999999999999</v>
      </c>
      <c r="G23" s="9">
        <v>33.140999999999998</v>
      </c>
      <c r="H23" s="9">
        <v>73.468000000000004</v>
      </c>
      <c r="I23" s="9">
        <v>40.680999999999997</v>
      </c>
      <c r="J23" s="9">
        <v>40.680999999999997</v>
      </c>
      <c r="K23" s="9">
        <v>40.680999999999997</v>
      </c>
    </row>
    <row r="24" spans="1:11" ht="15" customHeight="1" outlineLevel="3">
      <c r="A24" s="28" t="s">
        <v>66</v>
      </c>
      <c r="B24" s="8">
        <v>85</v>
      </c>
      <c r="C24" s="8">
        <v>88.429000000000002</v>
      </c>
      <c r="D24" s="8">
        <v>85.004999999999995</v>
      </c>
      <c r="E24" s="8">
        <v>82.381</v>
      </c>
      <c r="F24" s="8">
        <v>50.7</v>
      </c>
      <c r="G24" s="8">
        <v>6.125</v>
      </c>
      <c r="H24" s="8">
        <v>6.125</v>
      </c>
      <c r="I24" s="12"/>
      <c r="J24" s="12"/>
      <c r="K24" s="12"/>
    </row>
    <row r="25" spans="1:11" ht="15" customHeight="1" outlineLevel="3">
      <c r="A25" s="27" t="s">
        <v>67</v>
      </c>
      <c r="B25" s="9">
        <v>15.135</v>
      </c>
      <c r="C25" s="9">
        <v>10.334</v>
      </c>
      <c r="D25" s="9">
        <v>26.821000000000002</v>
      </c>
      <c r="E25" s="9">
        <v>32.426000000000002</v>
      </c>
      <c r="F25" s="9">
        <v>34.633000000000003</v>
      </c>
      <c r="G25" s="9">
        <v>46.414999999999999</v>
      </c>
      <c r="H25" s="9">
        <v>55.107999999999997</v>
      </c>
      <c r="I25" s="9">
        <v>59.316000000000003</v>
      </c>
      <c r="J25" s="9">
        <v>70.152000000000001</v>
      </c>
      <c r="K25" s="9">
        <v>88.471000000000004</v>
      </c>
    </row>
    <row r="26" spans="1:11" ht="15" customHeight="1" outlineLevel="3">
      <c r="A26" s="28" t="s">
        <v>68</v>
      </c>
      <c r="B26" s="8">
        <v>228.3</v>
      </c>
      <c r="C26" s="8">
        <v>406.49200000000002</v>
      </c>
      <c r="D26" s="8">
        <v>235.55500000000001</v>
      </c>
      <c r="E26" s="8">
        <v>282.24799999999999</v>
      </c>
      <c r="F26" s="8">
        <v>298.55799999999999</v>
      </c>
      <c r="G26" s="8">
        <v>100.521</v>
      </c>
      <c r="H26" s="8">
        <v>19.547999999999998</v>
      </c>
      <c r="I26" s="8">
        <v>8.2669999999999995</v>
      </c>
      <c r="J26" s="8">
        <v>108.29600000000001</v>
      </c>
      <c r="K26" s="8">
        <v>8.8450000000000006</v>
      </c>
    </row>
    <row r="27" spans="1:11" ht="15" customHeight="1" outlineLevel="3">
      <c r="A27" s="27" t="s">
        <v>69</v>
      </c>
      <c r="B27" s="9">
        <v>446.41899999999998</v>
      </c>
      <c r="C27" s="9">
        <v>414.09199999999998</v>
      </c>
      <c r="D27" s="9">
        <v>442.68099999999998</v>
      </c>
      <c r="E27" s="9">
        <v>380.452</v>
      </c>
      <c r="F27" s="9">
        <v>283.01400000000001</v>
      </c>
      <c r="G27" s="9">
        <v>243.565</v>
      </c>
      <c r="H27" s="9">
        <v>224.29599999999999</v>
      </c>
      <c r="I27" s="9">
        <v>223.85</v>
      </c>
      <c r="J27" s="9">
        <v>185.345</v>
      </c>
      <c r="K27" s="9">
        <v>194.054</v>
      </c>
    </row>
    <row r="28" spans="1:11" ht="15" customHeight="1" outlineLevel="3">
      <c r="A28" s="28" t="s">
        <v>70</v>
      </c>
      <c r="B28" s="8">
        <v>99.174999999999997</v>
      </c>
      <c r="C28" s="8">
        <v>99.174999999999997</v>
      </c>
      <c r="D28" s="8">
        <v>115.578</v>
      </c>
      <c r="E28" s="8">
        <v>110.97799999999999</v>
      </c>
      <c r="F28" s="8">
        <v>110.629</v>
      </c>
      <c r="G28" s="8">
        <v>108.995</v>
      </c>
      <c r="H28" s="8">
        <v>62.56</v>
      </c>
      <c r="I28" s="8">
        <v>30.039000000000001</v>
      </c>
      <c r="J28" s="12"/>
      <c r="K28" s="12"/>
    </row>
    <row r="29" spans="1:11" ht="15" customHeight="1" outlineLevel="3">
      <c r="A29" s="27" t="s">
        <v>71</v>
      </c>
      <c r="B29" s="9">
        <v>1161.58</v>
      </c>
      <c r="C29" s="9">
        <v>1177.229</v>
      </c>
      <c r="D29" s="9">
        <v>1194.252</v>
      </c>
      <c r="E29" s="9">
        <v>1003.151</v>
      </c>
      <c r="F29" s="9">
        <v>634.72199999999998</v>
      </c>
      <c r="G29" s="9">
        <v>442.464</v>
      </c>
      <c r="H29" s="9">
        <v>345.69499999999999</v>
      </c>
      <c r="I29" s="9">
        <v>279.065</v>
      </c>
      <c r="J29" s="9">
        <v>140.13</v>
      </c>
      <c r="K29" s="9">
        <v>138.70699999999999</v>
      </c>
    </row>
    <row r="30" spans="1:11" ht="15" customHeight="1" outlineLevel="3">
      <c r="A30" s="28" t="s">
        <v>72</v>
      </c>
      <c r="B30" s="8">
        <v>2102.31</v>
      </c>
      <c r="C30" s="8">
        <v>2076.8989999999999</v>
      </c>
      <c r="D30" s="8">
        <v>2227.1219999999998</v>
      </c>
      <c r="E30" s="8">
        <v>2446.5729999999999</v>
      </c>
      <c r="F30" s="8">
        <v>2037.7260000000001</v>
      </c>
      <c r="G30" s="8">
        <v>1532</v>
      </c>
      <c r="H30" s="12"/>
      <c r="I30" s="12"/>
      <c r="J30" s="12"/>
      <c r="K30" s="12"/>
    </row>
    <row r="31" spans="1:11" ht="15" customHeight="1" outlineLevel="2">
      <c r="A31" s="6" t="s">
        <v>73</v>
      </c>
      <c r="B31" s="9">
        <v>917.53700000000003</v>
      </c>
      <c r="C31" s="9">
        <v>855.04300000000001</v>
      </c>
      <c r="D31" s="9">
        <v>753.74099999999999</v>
      </c>
      <c r="E31" s="9">
        <v>616.30600000000004</v>
      </c>
      <c r="F31" s="9">
        <v>494.79</v>
      </c>
      <c r="G31" s="9">
        <v>416.005</v>
      </c>
      <c r="H31" s="9">
        <v>368.51900000000001</v>
      </c>
      <c r="I31" s="9">
        <v>321.81400000000002</v>
      </c>
      <c r="J31" s="9">
        <v>294.209</v>
      </c>
      <c r="K31" s="9">
        <v>297.346</v>
      </c>
    </row>
    <row r="32" spans="1:11" ht="15" customHeight="1" outlineLevel="1">
      <c r="A32" s="11" t="s">
        <v>74</v>
      </c>
      <c r="B32" s="3">
        <v>406.80900000000003</v>
      </c>
      <c r="C32" s="3">
        <v>4.6539999999999999</v>
      </c>
      <c r="D32" s="3">
        <v>19.995999999999999</v>
      </c>
      <c r="E32" s="3">
        <v>24.117999999999999</v>
      </c>
      <c r="F32" s="3">
        <v>31.536999999999999</v>
      </c>
      <c r="G32" s="3">
        <v>16.260000000000002</v>
      </c>
      <c r="H32" s="3">
        <v>16.260000000000002</v>
      </c>
      <c r="I32" s="3">
        <v>4.4000000000000004</v>
      </c>
      <c r="J32" s="3">
        <v>4.9139999999999997</v>
      </c>
      <c r="K32" s="3">
        <v>6.0890000000000004</v>
      </c>
    </row>
    <row r="33" spans="1:11" ht="15" customHeight="1" outlineLevel="2">
      <c r="A33" s="6" t="s">
        <v>75</v>
      </c>
      <c r="B33" s="9">
        <v>406.80900000000003</v>
      </c>
      <c r="C33" s="9">
        <v>4.6539999999999999</v>
      </c>
      <c r="D33" s="9">
        <v>19.995999999999999</v>
      </c>
      <c r="E33" s="9">
        <v>24.117999999999999</v>
      </c>
      <c r="F33" s="9">
        <v>31.536999999999999</v>
      </c>
      <c r="G33" s="9">
        <v>16.260000000000002</v>
      </c>
      <c r="H33" s="9">
        <v>16.260000000000002</v>
      </c>
      <c r="I33" s="9">
        <v>4.4000000000000004</v>
      </c>
      <c r="J33" s="9">
        <v>4.9139999999999997</v>
      </c>
      <c r="K33" s="9">
        <v>6.0890000000000004</v>
      </c>
    </row>
    <row r="34" spans="1:11" ht="15" customHeight="1" outlineLevel="1">
      <c r="A34" s="17" t="s">
        <v>76</v>
      </c>
      <c r="B34" s="8">
        <v>2515.4780000000001</v>
      </c>
      <c r="C34" s="8">
        <v>1910.106</v>
      </c>
      <c r="D34" s="8">
        <v>261.541</v>
      </c>
      <c r="E34" s="8">
        <v>148.095</v>
      </c>
      <c r="F34" s="8">
        <v>589.09100000000001</v>
      </c>
      <c r="G34" s="8">
        <v>658.20600000000002</v>
      </c>
      <c r="H34" s="8">
        <v>564.42499999999995</v>
      </c>
      <c r="I34" s="8">
        <v>478.26600000000002</v>
      </c>
      <c r="J34" s="8">
        <v>227.24799999999999</v>
      </c>
      <c r="K34" s="8">
        <v>180.57300000000001</v>
      </c>
    </row>
    <row r="35" spans="1:11" ht="15" customHeight="1" outlineLevel="1">
      <c r="A35" s="4" t="s">
        <v>77</v>
      </c>
      <c r="B35" s="5">
        <v>35249.561999999998</v>
      </c>
      <c r="C35" s="5">
        <v>34366.311999999998</v>
      </c>
      <c r="D35" s="5">
        <v>35421.379000000001</v>
      </c>
      <c r="E35" s="5">
        <v>32572.598999999998</v>
      </c>
      <c r="F35" s="5">
        <v>25900.241999999998</v>
      </c>
      <c r="G35" s="5">
        <v>25025.521000000001</v>
      </c>
      <c r="H35" s="5">
        <v>15281.299000000001</v>
      </c>
      <c r="I35" s="5">
        <v>10540.698</v>
      </c>
      <c r="J35" s="5">
        <v>7383.7619999999997</v>
      </c>
      <c r="K35" s="5">
        <v>4410.9570000000003</v>
      </c>
    </row>
    <row r="36" spans="1:11" ht="15" customHeight="1" outlineLevel="2">
      <c r="A36" s="7" t="s">
        <v>78</v>
      </c>
      <c r="B36" s="8">
        <v>32452.462</v>
      </c>
      <c r="C36" s="8">
        <v>31658.056</v>
      </c>
      <c r="D36" s="8">
        <v>32736.713</v>
      </c>
      <c r="E36" s="8">
        <v>30919.539000000001</v>
      </c>
      <c r="F36" s="8">
        <v>25383.95</v>
      </c>
      <c r="G36" s="8">
        <v>24504.566999999999</v>
      </c>
      <c r="H36" s="8">
        <v>14960.954</v>
      </c>
      <c r="I36" s="8">
        <v>10371.055</v>
      </c>
      <c r="J36" s="8">
        <v>7274.5010000000002</v>
      </c>
      <c r="K36" s="8">
        <v>4312.817</v>
      </c>
    </row>
    <row r="37" spans="1:11" ht="15" customHeight="1" outlineLevel="2">
      <c r="A37" s="6" t="s">
        <v>79</v>
      </c>
      <c r="B37" s="9">
        <v>2797.1</v>
      </c>
      <c r="C37" s="9">
        <v>2708.2559999999999</v>
      </c>
      <c r="D37" s="9">
        <v>2684.6660000000002</v>
      </c>
      <c r="E37" s="9">
        <v>1653.06</v>
      </c>
      <c r="F37" s="9">
        <v>516.29200000000003</v>
      </c>
      <c r="G37" s="9">
        <v>520.95399999999995</v>
      </c>
      <c r="H37" s="9">
        <v>320.34500000000003</v>
      </c>
      <c r="I37" s="9">
        <v>169.643</v>
      </c>
      <c r="J37" s="9">
        <v>109.261</v>
      </c>
      <c r="K37" s="9">
        <v>98.14</v>
      </c>
    </row>
    <row r="38" spans="1:11" ht="15" customHeight="1" outlineLevel="1">
      <c r="A38" s="17" t="s">
        <v>80</v>
      </c>
      <c r="B38" s="8">
        <v>54968.294000000002</v>
      </c>
      <c r="C38" s="8">
        <v>49767.548000000003</v>
      </c>
      <c r="D38" s="8">
        <v>48594.767999999996</v>
      </c>
      <c r="E38" s="8">
        <v>44584.663</v>
      </c>
      <c r="F38" s="8">
        <v>39280.358999999997</v>
      </c>
      <c r="G38" s="8">
        <v>33975.712</v>
      </c>
      <c r="H38" s="8">
        <v>25974.400000000001</v>
      </c>
      <c r="I38" s="8">
        <v>19012.741999999998</v>
      </c>
      <c r="J38" s="8">
        <v>13586.61</v>
      </c>
      <c r="K38" s="8">
        <v>10202.870999999999</v>
      </c>
    </row>
    <row r="39" spans="1:11" ht="15" customHeight="1">
      <c r="A39" s="15" t="s">
        <v>81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15" customHeight="1" outlineLevel="1">
      <c r="A40" s="11" t="s">
        <v>82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" customHeight="1" outlineLevel="2">
      <c r="A41" s="6" t="s">
        <v>83</v>
      </c>
      <c r="B41" s="9">
        <v>2212.9349999999999</v>
      </c>
      <c r="C41" s="9">
        <v>783.15599999999995</v>
      </c>
      <c r="D41" s="9">
        <v>355.98500000000001</v>
      </c>
      <c r="E41" s="9">
        <v>1015.0119999999999</v>
      </c>
      <c r="F41" s="9">
        <v>756.1</v>
      </c>
      <c r="G41" s="9">
        <v>190.62200000000001</v>
      </c>
      <c r="H41" s="9">
        <v>0</v>
      </c>
      <c r="I41" s="9">
        <v>0</v>
      </c>
      <c r="J41" s="9">
        <v>0</v>
      </c>
      <c r="K41" s="9">
        <v>0</v>
      </c>
    </row>
    <row r="42" spans="1:11" ht="15" customHeight="1" outlineLevel="2">
      <c r="A42" s="7" t="s">
        <v>84</v>
      </c>
      <c r="B42" s="8">
        <v>899.90899999999999</v>
      </c>
      <c r="C42" s="8">
        <v>747.41200000000003</v>
      </c>
      <c r="D42" s="8">
        <v>671.51300000000003</v>
      </c>
      <c r="E42" s="8">
        <v>837.48299999999995</v>
      </c>
      <c r="F42" s="8">
        <v>656.18299999999999</v>
      </c>
      <c r="G42" s="8">
        <v>674.34699999999998</v>
      </c>
      <c r="H42" s="8">
        <v>562.98500000000001</v>
      </c>
      <c r="I42" s="8">
        <v>359.55500000000001</v>
      </c>
      <c r="J42" s="8">
        <v>312.84199999999998</v>
      </c>
      <c r="K42" s="8">
        <v>253.49100000000001</v>
      </c>
    </row>
    <row r="43" spans="1:11" ht="15" customHeight="1" outlineLevel="2">
      <c r="A43" s="29" t="s">
        <v>85</v>
      </c>
      <c r="B43" s="5">
        <v>7642.5559999999996</v>
      </c>
      <c r="C43" s="5">
        <v>7330.0870000000004</v>
      </c>
      <c r="D43" s="5">
        <v>6903.4759999999997</v>
      </c>
      <c r="E43" s="5">
        <v>6636.4709999999995</v>
      </c>
      <c r="F43" s="5">
        <v>6393.5020000000004</v>
      </c>
      <c r="G43" s="5">
        <v>5990.7269999999999</v>
      </c>
      <c r="H43" s="5">
        <v>5924.335</v>
      </c>
      <c r="I43" s="5">
        <v>5106.7569999999996</v>
      </c>
      <c r="J43" s="5">
        <v>4273.8149999999996</v>
      </c>
      <c r="K43" s="5">
        <v>3276.1329999999998</v>
      </c>
    </row>
    <row r="44" spans="1:11" ht="15" customHeight="1" outlineLevel="3">
      <c r="A44" s="28" t="s">
        <v>86</v>
      </c>
      <c r="B44" s="8">
        <v>7642.5559999999996</v>
      </c>
      <c r="C44" s="8">
        <v>7330.0870000000004</v>
      </c>
      <c r="D44" s="8">
        <v>6903.4759999999997</v>
      </c>
      <c r="E44" s="8">
        <v>6636.4709999999995</v>
      </c>
      <c r="F44" s="8">
        <v>6393.5020000000004</v>
      </c>
      <c r="G44" s="8">
        <v>5990.7269999999999</v>
      </c>
      <c r="H44" s="8">
        <v>5924.335</v>
      </c>
      <c r="I44" s="8">
        <v>5106.7569999999996</v>
      </c>
      <c r="J44" s="8">
        <v>4273.8149999999996</v>
      </c>
      <c r="K44" s="8">
        <v>3276.1329999999998</v>
      </c>
    </row>
    <row r="45" spans="1:11" ht="15" customHeight="1" outlineLevel="2">
      <c r="A45" s="6" t="s">
        <v>87</v>
      </c>
      <c r="B45" s="9">
        <v>10755.4</v>
      </c>
      <c r="C45" s="9">
        <v>8860.6550000000007</v>
      </c>
      <c r="D45" s="9">
        <v>7930.9740000000002</v>
      </c>
      <c r="E45" s="9">
        <v>8488.9660000000003</v>
      </c>
      <c r="F45" s="9">
        <v>7805.7849999999999</v>
      </c>
      <c r="G45" s="9">
        <v>6855.6959999999999</v>
      </c>
      <c r="H45" s="9">
        <v>6487.32</v>
      </c>
      <c r="I45" s="9">
        <v>5466.3119999999999</v>
      </c>
      <c r="J45" s="9">
        <v>4586.6570000000002</v>
      </c>
      <c r="K45" s="9">
        <v>3529.6239999999998</v>
      </c>
    </row>
    <row r="46" spans="1:11" ht="15" customHeight="1" outlineLevel="1">
      <c r="A46" s="11" t="s">
        <v>88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" customHeight="1" outlineLevel="2">
      <c r="A47" s="29" t="s">
        <v>89</v>
      </c>
      <c r="B47" s="5">
        <v>15782.039000000001</v>
      </c>
      <c r="C47" s="5">
        <v>16190.218000000001</v>
      </c>
      <c r="D47" s="5">
        <v>16575.579000000002</v>
      </c>
      <c r="E47" s="5">
        <v>17101.558000000001</v>
      </c>
      <c r="F47" s="5">
        <v>17754.725999999999</v>
      </c>
      <c r="G47" s="5">
        <v>16181.871999999999</v>
      </c>
      <c r="H47" s="5">
        <v>10388.058000000001</v>
      </c>
      <c r="I47" s="5">
        <v>6528.9319999999998</v>
      </c>
      <c r="J47" s="5">
        <v>3393.511</v>
      </c>
      <c r="K47" s="5">
        <v>2400.3620000000001</v>
      </c>
    </row>
    <row r="48" spans="1:11" ht="15" customHeight="1" outlineLevel="3">
      <c r="A48" s="28" t="s">
        <v>90</v>
      </c>
      <c r="B48" s="8">
        <v>13798.351000000001</v>
      </c>
      <c r="C48" s="8">
        <v>14143.416999999999</v>
      </c>
      <c r="D48" s="8">
        <v>14353.075999999999</v>
      </c>
      <c r="E48" s="8">
        <v>14693.072</v>
      </c>
      <c r="F48" s="8">
        <v>15809.094999999999</v>
      </c>
      <c r="G48" s="8">
        <v>14759.26</v>
      </c>
      <c r="H48" s="8">
        <v>10360.058000000001</v>
      </c>
      <c r="I48" s="8">
        <v>6499.4319999999998</v>
      </c>
      <c r="J48" s="8">
        <v>3364.3110000000001</v>
      </c>
      <c r="K48" s="8">
        <v>2371.3620000000001</v>
      </c>
    </row>
    <row r="49" spans="1:11" ht="15" customHeight="1" outlineLevel="3">
      <c r="A49" s="27" t="s">
        <v>91</v>
      </c>
      <c r="B49" s="9">
        <v>1983.6880000000001</v>
      </c>
      <c r="C49" s="9">
        <v>2046.8009999999999</v>
      </c>
      <c r="D49" s="9">
        <v>2222.5030000000002</v>
      </c>
      <c r="E49" s="9">
        <v>2408.4859999999999</v>
      </c>
      <c r="F49" s="9">
        <v>1945.6310000000001</v>
      </c>
      <c r="G49" s="9">
        <v>1422.6120000000001</v>
      </c>
      <c r="H49" s="9">
        <v>28</v>
      </c>
      <c r="I49" s="9">
        <v>29.5</v>
      </c>
      <c r="J49" s="9">
        <v>29.2</v>
      </c>
      <c r="K49" s="9">
        <v>29</v>
      </c>
    </row>
    <row r="50" spans="1:11" ht="15" customHeight="1" outlineLevel="2">
      <c r="A50" s="7" t="s">
        <v>92</v>
      </c>
      <c r="B50" s="8">
        <v>432.28</v>
      </c>
      <c r="C50" s="8">
        <v>327.10500000000002</v>
      </c>
      <c r="D50" s="8">
        <v>226.977</v>
      </c>
      <c r="E50" s="8">
        <v>202.55699999999999</v>
      </c>
      <c r="F50" s="8">
        <v>140.124</v>
      </c>
      <c r="G50" s="8">
        <v>66.768000000000001</v>
      </c>
      <c r="H50" s="8">
        <v>47.533999999999999</v>
      </c>
      <c r="I50" s="8">
        <v>42.902000000000001</v>
      </c>
      <c r="J50" s="8">
        <v>19.739000000000001</v>
      </c>
      <c r="K50" s="8">
        <v>17.117000000000001</v>
      </c>
    </row>
    <row r="51" spans="1:11" ht="15" customHeight="1" outlineLevel="2">
      <c r="A51" s="6" t="s">
        <v>93</v>
      </c>
      <c r="B51" s="9">
        <v>1337.92</v>
      </c>
      <c r="C51" s="9">
        <v>1035.556</v>
      </c>
      <c r="D51" s="14"/>
      <c r="E51" s="14"/>
      <c r="F51" s="14"/>
      <c r="G51" s="14"/>
      <c r="H51" s="14"/>
      <c r="I51" s="14"/>
      <c r="J51" s="14"/>
      <c r="K51" s="14"/>
    </row>
    <row r="52" spans="1:11" ht="15" customHeight="1" outlineLevel="2">
      <c r="A52" s="26" t="s">
        <v>94</v>
      </c>
      <c r="B52" s="3">
        <v>1917.088</v>
      </c>
      <c r="C52" s="3">
        <v>2765.701</v>
      </c>
      <c r="D52" s="3">
        <v>3083.837</v>
      </c>
      <c r="E52" s="3">
        <v>2942.3339999999998</v>
      </c>
      <c r="F52" s="3">
        <v>2514.4839999999999</v>
      </c>
      <c r="G52" s="3">
        <v>3289.2190000000001</v>
      </c>
      <c r="H52" s="3">
        <v>3812.723</v>
      </c>
      <c r="I52" s="3">
        <v>3392.64</v>
      </c>
      <c r="J52" s="3">
        <v>2906.9029999999998</v>
      </c>
      <c r="K52" s="3">
        <v>2032.3420000000001</v>
      </c>
    </row>
    <row r="53" spans="1:11" ht="15" customHeight="1" outlineLevel="3">
      <c r="A53" s="27" t="s">
        <v>95</v>
      </c>
      <c r="B53" s="9">
        <v>1917.088</v>
      </c>
      <c r="C53" s="9">
        <v>2765.701</v>
      </c>
      <c r="D53" s="9">
        <v>3083.837</v>
      </c>
      <c r="E53" s="9">
        <v>2942.3339999999998</v>
      </c>
      <c r="F53" s="9">
        <v>2514.4839999999999</v>
      </c>
      <c r="G53" s="9">
        <v>3289.2190000000001</v>
      </c>
      <c r="H53" s="9">
        <v>3812.723</v>
      </c>
      <c r="I53" s="9">
        <v>3392.64</v>
      </c>
      <c r="J53" s="9">
        <v>2906.9029999999998</v>
      </c>
      <c r="K53" s="9">
        <v>2032.3420000000001</v>
      </c>
    </row>
    <row r="54" spans="1:11" ht="15" customHeight="1" outlineLevel="2">
      <c r="A54" s="7" t="s">
        <v>96</v>
      </c>
      <c r="B54" s="8">
        <v>30224.726999999999</v>
      </c>
      <c r="C54" s="8">
        <v>29179.235000000001</v>
      </c>
      <c r="D54" s="8">
        <v>27817.366999999998</v>
      </c>
      <c r="E54" s="8">
        <v>28735.415000000001</v>
      </c>
      <c r="F54" s="8">
        <v>28215.118999999999</v>
      </c>
      <c r="G54" s="8">
        <v>26393.555</v>
      </c>
      <c r="H54" s="8">
        <v>20735.634999999998</v>
      </c>
      <c r="I54" s="8">
        <v>15430.786</v>
      </c>
      <c r="J54" s="8">
        <v>10906.81</v>
      </c>
      <c r="K54" s="8">
        <v>7979.4449999999997</v>
      </c>
    </row>
    <row r="55" spans="1:11" ht="15" customHeight="1" outlineLevel="1">
      <c r="A55" s="4" t="s">
        <v>97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ht="15" customHeight="1" outlineLevel="2">
      <c r="A56" s="26" t="s">
        <v>98</v>
      </c>
      <c r="B56" s="3">
        <v>24743.566999999999</v>
      </c>
      <c r="C56" s="3">
        <v>20588.312999999998</v>
      </c>
      <c r="D56" s="3">
        <v>20777.401000000002</v>
      </c>
      <c r="E56" s="3">
        <v>15849.248</v>
      </c>
      <c r="F56" s="3">
        <v>11065.24</v>
      </c>
      <c r="G56" s="3">
        <v>7582.1570000000002</v>
      </c>
      <c r="H56" s="3">
        <v>5238.7650000000003</v>
      </c>
      <c r="I56" s="3">
        <v>3581.9560000000001</v>
      </c>
      <c r="J56" s="3">
        <v>2679.8</v>
      </c>
      <c r="K56" s="3">
        <v>2223.4259999999999</v>
      </c>
    </row>
    <row r="57" spans="1:11" ht="15" customHeight="1" outlineLevel="3">
      <c r="A57" s="27" t="s">
        <v>99</v>
      </c>
      <c r="B57" s="9">
        <v>6252.1260000000002</v>
      </c>
      <c r="C57" s="9">
        <v>5145.1719999999996</v>
      </c>
      <c r="D57" s="9">
        <v>4637.6009999999997</v>
      </c>
      <c r="E57" s="9">
        <v>4024.5610000000001</v>
      </c>
      <c r="F57" s="9">
        <v>3447.6979999999999</v>
      </c>
      <c r="G57" s="9">
        <v>2793.9290000000001</v>
      </c>
      <c r="H57" s="9">
        <v>2315.9879999999998</v>
      </c>
      <c r="I57" s="9">
        <v>1871.396</v>
      </c>
      <c r="J57" s="9">
        <v>1599.7619999999999</v>
      </c>
      <c r="K57" s="9">
        <v>1324.809</v>
      </c>
    </row>
    <row r="58" spans="1:11" ht="15" customHeight="1" outlineLevel="3">
      <c r="A58" s="28" t="s">
        <v>100</v>
      </c>
      <c r="B58" s="8">
        <v>31300.917000000001</v>
      </c>
      <c r="C58" s="8">
        <v>22589.286</v>
      </c>
      <c r="D58" s="8">
        <v>17181.295999999998</v>
      </c>
      <c r="E58" s="8">
        <v>12689.371999999999</v>
      </c>
      <c r="F58" s="8">
        <v>7573.1440000000002</v>
      </c>
      <c r="G58" s="8">
        <v>4811.7489999999998</v>
      </c>
      <c r="H58" s="8">
        <v>2942.3589999999999</v>
      </c>
      <c r="I58" s="8">
        <v>1731.117</v>
      </c>
      <c r="J58" s="8">
        <v>1128.6030000000001</v>
      </c>
      <c r="K58" s="8">
        <v>941.92499999999995</v>
      </c>
    </row>
    <row r="59" spans="1:11" ht="15" customHeight="1" outlineLevel="3">
      <c r="A59" s="27" t="s">
        <v>101</v>
      </c>
      <c r="B59" s="10">
        <v>-376.83300000000003</v>
      </c>
      <c r="C59" s="10">
        <v>-103.922</v>
      </c>
      <c r="D59" s="10">
        <v>-217.30600000000001</v>
      </c>
      <c r="E59" s="10">
        <v>-40.494999999999997</v>
      </c>
      <c r="F59" s="9">
        <v>44.398000000000003</v>
      </c>
      <c r="G59" s="10">
        <v>-23.521000000000001</v>
      </c>
      <c r="H59" s="10">
        <v>-19.582000000000001</v>
      </c>
      <c r="I59" s="10">
        <v>-20.556999999999999</v>
      </c>
      <c r="J59" s="10">
        <v>-47.966000000000001</v>
      </c>
      <c r="K59" s="10">
        <v>-42.502000000000002</v>
      </c>
    </row>
    <row r="60" spans="1:11" ht="15" customHeight="1" outlineLevel="3">
      <c r="A60" s="28" t="s">
        <v>102</v>
      </c>
      <c r="B60" s="8">
        <v>3.26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13">
        <v>-0.59899999999999998</v>
      </c>
      <c r="K60" s="13">
        <v>-0.80600000000000005</v>
      </c>
    </row>
    <row r="61" spans="1:11" ht="15" customHeight="1" outlineLevel="3">
      <c r="A61" s="27" t="s">
        <v>103</v>
      </c>
      <c r="B61" s="9">
        <v>735.73500000000001</v>
      </c>
      <c r="C61" s="10">
        <v>-120.023</v>
      </c>
      <c r="D61" s="14"/>
      <c r="E61" s="14"/>
      <c r="F61" s="14"/>
      <c r="G61" s="14"/>
      <c r="H61" s="14"/>
      <c r="I61" s="14"/>
      <c r="J61" s="14"/>
      <c r="K61" s="14"/>
    </row>
    <row r="62" spans="1:11" ht="15" customHeight="1" outlineLevel="3">
      <c r="A62" s="28" t="s">
        <v>104</v>
      </c>
      <c r="B62" s="13">
        <v>-13171.638000000001</v>
      </c>
      <c r="C62" s="13">
        <v>-6922.2</v>
      </c>
      <c r="D62" s="13">
        <v>-824.19</v>
      </c>
      <c r="E62" s="13">
        <v>-824.19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ht="15" customHeight="1" outlineLevel="2">
      <c r="A63" s="6" t="s">
        <v>105</v>
      </c>
      <c r="B63" s="9">
        <v>24743.566999999999</v>
      </c>
      <c r="C63" s="9">
        <v>20588.312999999998</v>
      </c>
      <c r="D63" s="9">
        <v>20777.401000000002</v>
      </c>
      <c r="E63" s="9">
        <v>15849.248</v>
      </c>
      <c r="F63" s="9">
        <v>11065.24</v>
      </c>
      <c r="G63" s="9">
        <v>7582.1570000000002</v>
      </c>
      <c r="H63" s="9">
        <v>5238.7650000000003</v>
      </c>
      <c r="I63" s="9">
        <v>3581.9560000000001</v>
      </c>
      <c r="J63" s="9">
        <v>2679.8</v>
      </c>
      <c r="K63" s="9">
        <v>2223.4259999999999</v>
      </c>
    </row>
    <row r="64" spans="1:11" ht="15" customHeight="1" outlineLevel="2">
      <c r="A64" s="7" t="s">
        <v>106</v>
      </c>
      <c r="B64" s="8">
        <v>24743.566999999999</v>
      </c>
      <c r="C64" s="8">
        <v>20588.312999999998</v>
      </c>
      <c r="D64" s="8">
        <v>20777.401000000002</v>
      </c>
      <c r="E64" s="8">
        <v>15849.248</v>
      </c>
      <c r="F64" s="8">
        <v>11065.24</v>
      </c>
      <c r="G64" s="8">
        <v>7582.1570000000002</v>
      </c>
      <c r="H64" s="8">
        <v>5238.7650000000003</v>
      </c>
      <c r="I64" s="8">
        <v>3581.9560000000001</v>
      </c>
      <c r="J64" s="8">
        <v>2679.8</v>
      </c>
      <c r="K64" s="8">
        <v>2223.4259999999999</v>
      </c>
    </row>
    <row r="65" spans="1:11" ht="15" customHeight="1" outlineLevel="1">
      <c r="A65" s="16" t="s">
        <v>107</v>
      </c>
      <c r="B65" s="9">
        <v>54968.294000000002</v>
      </c>
      <c r="C65" s="9">
        <v>49767.548000000003</v>
      </c>
      <c r="D65" s="9">
        <v>48594.767999999996</v>
      </c>
      <c r="E65" s="9">
        <v>44584.663</v>
      </c>
      <c r="F65" s="9">
        <v>39280.358999999997</v>
      </c>
      <c r="G65" s="9">
        <v>33975.712</v>
      </c>
      <c r="H65" s="9">
        <v>25974.400000000001</v>
      </c>
      <c r="I65" s="9">
        <v>19012.741999999998</v>
      </c>
      <c r="J65" s="9">
        <v>13586.61</v>
      </c>
      <c r="K65" s="9">
        <v>10202.870999999999</v>
      </c>
    </row>
    <row r="66" spans="1:11" ht="15" customHeight="1">
      <c r="A66" s="2" t="s">
        <v>38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" customHeight="1" outlineLevel="1">
      <c r="A67" s="16" t="s">
        <v>108</v>
      </c>
      <c r="B67" s="20">
        <v>57.844900000000003</v>
      </c>
      <c r="C67" s="20">
        <v>47.574480000000001</v>
      </c>
      <c r="D67" s="20">
        <v>46.654429999999998</v>
      </c>
      <c r="E67" s="20">
        <v>35.699469999999998</v>
      </c>
      <c r="F67" s="20">
        <v>24.983879999999999</v>
      </c>
      <c r="G67" s="20">
        <v>17.279039999999998</v>
      </c>
      <c r="H67" s="20">
        <v>11.999040000000001</v>
      </c>
      <c r="I67" s="20">
        <v>8.26492</v>
      </c>
      <c r="J67" s="20">
        <v>6.2313099999999997</v>
      </c>
      <c r="K67" s="20">
        <v>5.19564</v>
      </c>
    </row>
    <row r="68" spans="1:11" ht="15" customHeight="1" outlineLevel="1">
      <c r="A68" s="17" t="s">
        <v>109</v>
      </c>
      <c r="B68" s="18">
        <v>57.844901</v>
      </c>
      <c r="C68" s="18">
        <v>47.574482000000003</v>
      </c>
      <c r="D68" s="18">
        <v>46.654432</v>
      </c>
      <c r="E68" s="18">
        <v>35.699471000000003</v>
      </c>
      <c r="F68" s="18">
        <v>24.983875000000001</v>
      </c>
      <c r="G68" s="18">
        <v>17.279039000000001</v>
      </c>
      <c r="H68" s="18">
        <v>11.999041999999999</v>
      </c>
      <c r="I68" s="18">
        <v>8.26492</v>
      </c>
      <c r="J68" s="18">
        <v>6.2313070000000002</v>
      </c>
      <c r="K68" s="18">
        <v>5.1956439999999997</v>
      </c>
    </row>
    <row r="69" spans="1:11" ht="15" customHeight="1">
      <c r="A69" s="22" t="s">
        <v>48</v>
      </c>
    </row>
    <row r="70" spans="1:11" ht="15" customHeight="1"/>
    <row r="71" spans="1:11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2CD5-1673-E349-9F9B-F4A3F04DF43D}">
  <dimension ref="A1:L51"/>
  <sheetViews>
    <sheetView topLeftCell="A12" workbookViewId="0">
      <selection activeCell="B24" sqref="B24"/>
    </sheetView>
  </sheetViews>
  <sheetFormatPr baseColWidth="10" defaultRowHeight="13" outlineLevelRow="3"/>
  <cols>
    <col min="1" max="1" width="49.6640625" customWidth="1"/>
  </cols>
  <sheetData>
    <row r="1" spans="1:12" ht="15" customHeight="1">
      <c r="A1" s="23" t="s">
        <v>49</v>
      </c>
    </row>
    <row r="2" spans="1:12" ht="15" customHeight="1">
      <c r="A2" s="25" t="s">
        <v>50</v>
      </c>
    </row>
    <row r="3" spans="1:12" ht="1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15" customHeight="1"/>
    <row r="5" spans="1:12" ht="15" customHeight="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>
      <c r="A9" s="1"/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" customHeight="1">
      <c r="A10" s="2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customHeight="1" outlineLevel="1">
      <c r="A11" s="16" t="s">
        <v>111</v>
      </c>
      <c r="B11" s="9">
        <v>9269.7729999999992</v>
      </c>
      <c r="C11" s="9">
        <v>8711.6309999999994</v>
      </c>
      <c r="D11" s="9">
        <v>5407.99</v>
      </c>
      <c r="E11" s="9">
        <v>4491.924</v>
      </c>
      <c r="F11" s="9">
        <v>5116.2280000000001</v>
      </c>
      <c r="G11" s="9">
        <v>2761.395</v>
      </c>
      <c r="H11" s="9">
        <v>1866.9159999999999</v>
      </c>
      <c r="I11" s="9">
        <v>1211.242</v>
      </c>
      <c r="J11" s="9">
        <v>558.92899999999997</v>
      </c>
      <c r="K11" s="9">
        <v>186.678</v>
      </c>
      <c r="L11" s="9">
        <v>122.64100000000001</v>
      </c>
    </row>
    <row r="12" spans="1:12" ht="15" customHeight="1" outlineLevel="1">
      <c r="A12" s="17" t="s">
        <v>112</v>
      </c>
      <c r="B12" s="8">
        <v>15775.571</v>
      </c>
      <c r="C12" s="8">
        <v>15630.431</v>
      </c>
      <c r="D12" s="8">
        <v>14554.384</v>
      </c>
      <c r="E12" s="8">
        <v>14362.814</v>
      </c>
      <c r="F12" s="8">
        <v>12438.779</v>
      </c>
      <c r="G12" s="8">
        <v>10922.621999999999</v>
      </c>
      <c r="H12" s="8">
        <v>9319.8259999999991</v>
      </c>
      <c r="I12" s="8">
        <v>7656.4570000000003</v>
      </c>
      <c r="J12" s="8">
        <v>6330.3850000000002</v>
      </c>
      <c r="K12" s="8">
        <v>4924.9780000000001</v>
      </c>
      <c r="L12" s="8">
        <v>3547.0450000000001</v>
      </c>
    </row>
    <row r="13" spans="1:12" ht="15" customHeight="1" outlineLevel="1">
      <c r="A13" s="4" t="s">
        <v>113</v>
      </c>
      <c r="B13" s="5">
        <v>-647.54899999999998</v>
      </c>
      <c r="C13" s="5">
        <v>-590.69799999999998</v>
      </c>
      <c r="D13" s="5">
        <v>-459.35899999999998</v>
      </c>
      <c r="E13" s="5">
        <v>-166.55</v>
      </c>
      <c r="F13" s="5">
        <v>199.548</v>
      </c>
      <c r="G13" s="5">
        <v>70.066000000000003</v>
      </c>
      <c r="H13" s="5">
        <v>-94.442999999999998</v>
      </c>
      <c r="I13" s="5">
        <v>-85.52</v>
      </c>
      <c r="J13" s="5">
        <v>-208.68799999999999</v>
      </c>
      <c r="K13" s="5">
        <v>-46.847000000000001</v>
      </c>
      <c r="L13" s="5">
        <v>-58.655000000000001</v>
      </c>
    </row>
    <row r="14" spans="1:12" ht="15" customHeight="1" outlineLevel="2">
      <c r="A14" s="7" t="s">
        <v>114</v>
      </c>
      <c r="B14" s="13">
        <v>-647.54899999999998</v>
      </c>
      <c r="C14" s="13">
        <v>-590.69799999999998</v>
      </c>
      <c r="D14" s="13">
        <v>-459.35899999999998</v>
      </c>
      <c r="E14" s="13">
        <v>-166.55</v>
      </c>
      <c r="F14" s="8">
        <v>199.548</v>
      </c>
      <c r="G14" s="8">
        <v>70.066000000000003</v>
      </c>
      <c r="H14" s="13">
        <v>-94.442999999999998</v>
      </c>
      <c r="I14" s="13">
        <v>-85.52</v>
      </c>
      <c r="J14" s="13">
        <v>-208.68799999999999</v>
      </c>
      <c r="K14" s="13">
        <v>-46.847000000000001</v>
      </c>
      <c r="L14" s="13">
        <v>-58.655000000000001</v>
      </c>
    </row>
    <row r="15" spans="1:12" ht="15" customHeight="1" outlineLevel="1">
      <c r="A15" s="16" t="s">
        <v>115</v>
      </c>
      <c r="B15" s="10">
        <v>-16226.897999999999</v>
      </c>
      <c r="C15" s="10">
        <v>-16356.924999999999</v>
      </c>
      <c r="D15" s="10">
        <v>-12112.566000000001</v>
      </c>
      <c r="E15" s="10">
        <v>-15903.843999999999</v>
      </c>
      <c r="F15" s="10">
        <v>-17119.968000000001</v>
      </c>
      <c r="G15" s="10">
        <v>-11295.133</v>
      </c>
      <c r="H15" s="10">
        <v>-14022.664000000001</v>
      </c>
      <c r="I15" s="10">
        <v>-11756.424999999999</v>
      </c>
      <c r="J15" s="10">
        <v>-8525.5509999999995</v>
      </c>
      <c r="K15" s="10">
        <v>-6731.1729999999998</v>
      </c>
      <c r="L15" s="10">
        <v>-4533.357</v>
      </c>
    </row>
    <row r="16" spans="1:12" ht="15" customHeight="1" outlineLevel="1">
      <c r="A16" s="17" t="s">
        <v>116</v>
      </c>
      <c r="B16" s="8">
        <v>8170.8969999999999</v>
      </c>
      <c r="C16" s="8">
        <v>7394.4390000000003</v>
      </c>
      <c r="D16" s="8">
        <v>7390.4489999999996</v>
      </c>
      <c r="E16" s="8">
        <v>2784.3440000000001</v>
      </c>
      <c r="F16" s="8">
        <v>634.58699999999999</v>
      </c>
      <c r="G16" s="8">
        <v>2458.9499999999998</v>
      </c>
      <c r="H16" s="13">
        <v>-2930.3649999999998</v>
      </c>
      <c r="I16" s="13">
        <v>-2974.2460000000001</v>
      </c>
      <c r="J16" s="13">
        <v>-1844.925</v>
      </c>
      <c r="K16" s="13">
        <v>-1666.364</v>
      </c>
      <c r="L16" s="13">
        <v>-922.32600000000002</v>
      </c>
    </row>
    <row r="17" spans="1:12" ht="15" customHeight="1" outlineLevel="1">
      <c r="A17" s="4" t="s">
        <v>117</v>
      </c>
      <c r="B17" s="5">
        <v>-232.85599999999999</v>
      </c>
      <c r="C17" s="5">
        <v>-33.075000000000003</v>
      </c>
      <c r="D17" s="5">
        <v>-116.148</v>
      </c>
      <c r="E17" s="5">
        <v>-758.08699999999999</v>
      </c>
      <c r="F17" s="5">
        <v>-241.977</v>
      </c>
      <c r="G17" s="5">
        <v>-31.873000000000001</v>
      </c>
      <c r="H17" s="5">
        <v>43.042999999999999</v>
      </c>
      <c r="I17" s="5">
        <v>293.767</v>
      </c>
      <c r="J17" s="5">
        <v>58.976999999999997</v>
      </c>
      <c r="K17" s="5">
        <v>192.38</v>
      </c>
      <c r="L17" s="5">
        <v>172.887</v>
      </c>
    </row>
    <row r="18" spans="1:12" ht="15" customHeight="1" outlineLevel="2">
      <c r="A18" s="7" t="s">
        <v>84</v>
      </c>
      <c r="B18" s="13">
        <v>-9.8079999999999998</v>
      </c>
      <c r="C18" s="8">
        <v>121.35299999999999</v>
      </c>
      <c r="D18" s="8">
        <v>93.501999999999995</v>
      </c>
      <c r="E18" s="13">
        <v>-158.54300000000001</v>
      </c>
      <c r="F18" s="8">
        <v>145.11500000000001</v>
      </c>
      <c r="G18" s="13">
        <v>-41.604999999999997</v>
      </c>
      <c r="H18" s="8">
        <v>96.063000000000002</v>
      </c>
      <c r="I18" s="8">
        <v>199.19800000000001</v>
      </c>
      <c r="J18" s="8">
        <v>74.558999999999997</v>
      </c>
      <c r="K18" s="8">
        <v>32.247</v>
      </c>
      <c r="L18" s="8">
        <v>51.615000000000002</v>
      </c>
    </row>
    <row r="19" spans="1:12" ht="15" customHeight="1" outlineLevel="2">
      <c r="A19" s="6" t="s">
        <v>118</v>
      </c>
      <c r="B19" s="9">
        <v>246.53</v>
      </c>
      <c r="C19" s="9">
        <v>191.899</v>
      </c>
      <c r="D19" s="9">
        <v>103.565</v>
      </c>
      <c r="E19" s="10">
        <v>-55.512999999999998</v>
      </c>
      <c r="F19" s="9">
        <v>180.33799999999999</v>
      </c>
      <c r="G19" s="9">
        <v>198.18299999999999</v>
      </c>
      <c r="H19" s="9">
        <v>157.77799999999999</v>
      </c>
      <c r="I19" s="9">
        <v>150.422</v>
      </c>
      <c r="J19" s="9">
        <v>114.337</v>
      </c>
      <c r="K19" s="9">
        <v>68.706000000000003</v>
      </c>
      <c r="L19" s="9">
        <v>48.81</v>
      </c>
    </row>
    <row r="20" spans="1:12" ht="15" customHeight="1" outlineLevel="2">
      <c r="A20" s="7" t="s">
        <v>119</v>
      </c>
      <c r="B20" s="13">
        <v>-469.57799999999997</v>
      </c>
      <c r="C20" s="13">
        <v>-346.327</v>
      </c>
      <c r="D20" s="13">
        <v>-313.21499999999997</v>
      </c>
      <c r="E20" s="13">
        <v>-544.03099999999995</v>
      </c>
      <c r="F20" s="13">
        <v>-567.42999999999995</v>
      </c>
      <c r="G20" s="13">
        <v>-188.45099999999999</v>
      </c>
      <c r="H20" s="13">
        <v>-210.798</v>
      </c>
      <c r="I20" s="13">
        <v>-55.853000000000002</v>
      </c>
      <c r="J20" s="13">
        <v>-129.91900000000001</v>
      </c>
      <c r="K20" s="8">
        <v>91.427000000000007</v>
      </c>
      <c r="L20" s="8">
        <v>72.462000000000003</v>
      </c>
    </row>
    <row r="21" spans="1:12" ht="15" customHeight="1" outlineLevel="1">
      <c r="A21" s="16" t="s">
        <v>120</v>
      </c>
      <c r="B21" s="9">
        <v>7938.0410000000002</v>
      </c>
      <c r="C21" s="9">
        <v>7361.3639999999996</v>
      </c>
      <c r="D21" s="9">
        <v>7274.3010000000004</v>
      </c>
      <c r="E21" s="9">
        <v>2026.2570000000001</v>
      </c>
      <c r="F21" s="9">
        <v>392.61</v>
      </c>
      <c r="G21" s="9">
        <v>2427.0770000000002</v>
      </c>
      <c r="H21" s="10">
        <v>-2887.3220000000001</v>
      </c>
      <c r="I21" s="10">
        <v>-2680.4789999999998</v>
      </c>
      <c r="J21" s="10">
        <v>-1785.9480000000001</v>
      </c>
      <c r="K21" s="10">
        <v>-1473.9839999999999</v>
      </c>
      <c r="L21" s="10">
        <v>-749.43899999999996</v>
      </c>
    </row>
    <row r="22" spans="1:12" ht="15" customHeight="1">
      <c r="A22" s="2" t="s">
        <v>121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outlineLevel="1">
      <c r="A23" s="4" t="s">
        <v>122</v>
      </c>
      <c r="B23" s="30">
        <v>-492.101</v>
      </c>
      <c r="C23" s="30">
        <v>-439.53800000000001</v>
      </c>
      <c r="D23" s="30">
        <v>-348.55200000000002</v>
      </c>
      <c r="E23" s="30">
        <v>-407.72899999999998</v>
      </c>
      <c r="F23" s="30">
        <v>-551.50400000000002</v>
      </c>
      <c r="G23" s="30">
        <v>-505.35399999999998</v>
      </c>
      <c r="H23" s="30">
        <v>-387.06400000000002</v>
      </c>
      <c r="I23" s="30">
        <v>-339.12</v>
      </c>
      <c r="J23" s="30">
        <v>-233.71100000000001</v>
      </c>
      <c r="K23" s="30">
        <v>-185.77099999999999</v>
      </c>
      <c r="L23" s="30">
        <v>-171.11799999999999</v>
      </c>
    </row>
    <row r="24" spans="1:12" ht="15" customHeight="1" outlineLevel="2">
      <c r="A24" s="7" t="s">
        <v>123</v>
      </c>
      <c r="B24" s="31">
        <v>-492.101</v>
      </c>
      <c r="C24" s="31">
        <v>-439.53800000000001</v>
      </c>
      <c r="D24" s="31">
        <v>-348.55200000000002</v>
      </c>
      <c r="E24" s="31">
        <v>-407.72899999999998</v>
      </c>
      <c r="F24" s="31">
        <v>-524.58500000000004</v>
      </c>
      <c r="G24" s="31">
        <v>-497.923</v>
      </c>
      <c r="H24" s="31">
        <v>-253.035</v>
      </c>
      <c r="I24" s="31">
        <v>-173.946</v>
      </c>
      <c r="J24" s="31">
        <v>-173.30199999999999</v>
      </c>
      <c r="K24" s="31">
        <v>-107.65300000000001</v>
      </c>
      <c r="L24" s="31">
        <v>-91.248000000000005</v>
      </c>
    </row>
    <row r="25" spans="1:12" ht="15" customHeight="1" outlineLevel="2">
      <c r="A25" s="6" t="s">
        <v>124</v>
      </c>
      <c r="B25" s="32">
        <v>0</v>
      </c>
      <c r="C25" s="32">
        <v>0</v>
      </c>
      <c r="D25" s="32">
        <v>0</v>
      </c>
      <c r="E25" s="32">
        <v>0</v>
      </c>
      <c r="F25" s="33">
        <v>-26.919</v>
      </c>
      <c r="G25" s="33">
        <v>-7.431</v>
      </c>
      <c r="H25" s="33">
        <v>-134.029</v>
      </c>
      <c r="I25" s="33">
        <v>-165.17400000000001</v>
      </c>
      <c r="J25" s="33">
        <v>-60.408999999999999</v>
      </c>
      <c r="K25" s="33">
        <v>-78.117999999999995</v>
      </c>
      <c r="L25" s="33">
        <v>-79.87</v>
      </c>
    </row>
    <row r="26" spans="1:12" ht="15" customHeight="1" outlineLevel="1">
      <c r="A26" s="11" t="s">
        <v>125</v>
      </c>
      <c r="B26" s="34">
        <v>-1128.307</v>
      </c>
      <c r="C26" s="34">
        <v>-1742.2460000000001</v>
      </c>
      <c r="D26" s="34">
        <v>890.303</v>
      </c>
      <c r="E26" s="34">
        <v>-911.27599999999995</v>
      </c>
      <c r="F26" s="34">
        <v>0</v>
      </c>
      <c r="G26" s="34">
        <v>0</v>
      </c>
      <c r="H26" s="34">
        <v>0</v>
      </c>
      <c r="I26" s="34">
        <v>0</v>
      </c>
      <c r="J26" s="34">
        <v>268.04000000000002</v>
      </c>
      <c r="K26" s="34">
        <v>235.536</v>
      </c>
      <c r="L26" s="34">
        <v>-8.0739999999999998</v>
      </c>
    </row>
    <row r="27" spans="1:12" ht="15" customHeight="1" outlineLevel="2">
      <c r="A27" s="6" t="s">
        <v>126</v>
      </c>
      <c r="B27" s="32">
        <v>1898.261</v>
      </c>
      <c r="C27" s="32">
        <v>1742.2460000000001</v>
      </c>
      <c r="D27" s="32">
        <v>504.86200000000002</v>
      </c>
      <c r="E27" s="32">
        <v>911.27599999999995</v>
      </c>
      <c r="F27" s="32">
        <v>0</v>
      </c>
      <c r="G27" s="32">
        <v>0</v>
      </c>
      <c r="H27" s="32">
        <v>0</v>
      </c>
      <c r="I27" s="32">
        <v>0</v>
      </c>
      <c r="J27" s="32">
        <v>74.819000000000003</v>
      </c>
      <c r="K27" s="32">
        <v>187.19300000000001</v>
      </c>
      <c r="L27" s="32">
        <v>371.91500000000002</v>
      </c>
    </row>
    <row r="28" spans="1:12" ht="15" customHeight="1" outlineLevel="2">
      <c r="A28" s="7" t="s">
        <v>127</v>
      </c>
      <c r="B28" s="35">
        <v>769.95399999999995</v>
      </c>
      <c r="C28" s="35">
        <v>0</v>
      </c>
      <c r="D28" s="35">
        <v>1395.165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342.85899999999998</v>
      </c>
      <c r="K28" s="35">
        <v>422.72899999999998</v>
      </c>
      <c r="L28" s="35">
        <v>363.84100000000001</v>
      </c>
    </row>
    <row r="29" spans="1:12" ht="15" customHeight="1" outlineLevel="1">
      <c r="A29" s="4" t="s">
        <v>115</v>
      </c>
      <c r="B29" s="30">
        <v>0</v>
      </c>
      <c r="C29" s="30">
        <v>0</v>
      </c>
      <c r="D29" s="30">
        <v>0</v>
      </c>
      <c r="E29" s="30">
        <v>-757.38699999999994</v>
      </c>
      <c r="F29" s="30">
        <v>-788.34900000000005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</row>
    <row r="30" spans="1:12" ht="15" customHeight="1" outlineLevel="2">
      <c r="A30" s="7" t="s">
        <v>128</v>
      </c>
      <c r="B30" s="35">
        <v>0</v>
      </c>
      <c r="C30" s="35">
        <v>0</v>
      </c>
      <c r="D30" s="35">
        <v>0</v>
      </c>
      <c r="E30" s="31">
        <v>-757.38699999999994</v>
      </c>
      <c r="F30" s="31">
        <v>-788.34900000000005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</row>
    <row r="31" spans="1:12" ht="15" customHeight="1" outlineLevel="1">
      <c r="A31" s="16" t="s">
        <v>129</v>
      </c>
      <c r="B31" s="33">
        <v>-1620.4079999999999</v>
      </c>
      <c r="C31" s="33">
        <v>-2181.7840000000001</v>
      </c>
      <c r="D31" s="32">
        <v>541.75099999999998</v>
      </c>
      <c r="E31" s="33">
        <v>-2076.3919999999998</v>
      </c>
      <c r="F31" s="33">
        <v>-1339.8530000000001</v>
      </c>
      <c r="G31" s="33">
        <v>-505.35399999999998</v>
      </c>
      <c r="H31" s="33">
        <v>-387.06400000000002</v>
      </c>
      <c r="I31" s="33">
        <v>-339.12</v>
      </c>
      <c r="J31" s="32">
        <v>34.329000000000001</v>
      </c>
      <c r="K31" s="32">
        <v>49.765000000000001</v>
      </c>
      <c r="L31" s="33">
        <v>-179.19200000000001</v>
      </c>
    </row>
    <row r="32" spans="1:12" ht="15" customHeight="1">
      <c r="A32" s="2" t="s">
        <v>130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customHeight="1" outlineLevel="1">
      <c r="A33" s="4" t="s">
        <v>131</v>
      </c>
      <c r="B33" s="5">
        <v>-6884.5339999999997</v>
      </c>
      <c r="C33" s="5">
        <v>-5430.8590000000004</v>
      </c>
      <c r="D33" s="5">
        <v>-5875.357</v>
      </c>
      <c r="E33" s="5">
        <v>35.746000000000002</v>
      </c>
      <c r="F33" s="5">
        <v>-425.608</v>
      </c>
      <c r="G33" s="5">
        <v>235.40600000000001</v>
      </c>
      <c r="H33" s="5">
        <v>72.489999999999995</v>
      </c>
      <c r="I33" s="5">
        <v>124.502</v>
      </c>
      <c r="J33" s="5">
        <v>88.378</v>
      </c>
      <c r="K33" s="5">
        <v>36.978999999999999</v>
      </c>
      <c r="L33" s="5">
        <v>77.98</v>
      </c>
    </row>
    <row r="34" spans="1:12" ht="15" customHeight="1" outlineLevel="2">
      <c r="A34" s="7" t="s">
        <v>132</v>
      </c>
      <c r="B34" s="13">
        <v>-7800.1419999999998</v>
      </c>
      <c r="C34" s="13">
        <v>-6263.7460000000001</v>
      </c>
      <c r="D34" s="13">
        <v>-6045.3469999999998</v>
      </c>
      <c r="E34" s="8">
        <v>0</v>
      </c>
      <c r="F34" s="13">
        <v>-600.02200000000005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</row>
    <row r="35" spans="1:12" ht="15" customHeight="1" outlineLevel="2">
      <c r="A35" s="29" t="s">
        <v>133</v>
      </c>
      <c r="B35" s="5">
        <v>915.60799999999995</v>
      </c>
      <c r="C35" s="5">
        <v>832.88699999999994</v>
      </c>
      <c r="D35" s="5">
        <v>169.99</v>
      </c>
      <c r="E35" s="5">
        <v>35.746000000000002</v>
      </c>
      <c r="F35" s="5">
        <v>174.41399999999999</v>
      </c>
      <c r="G35" s="5">
        <v>235.40600000000001</v>
      </c>
      <c r="H35" s="5">
        <v>72.489999999999995</v>
      </c>
      <c r="I35" s="5">
        <v>124.502</v>
      </c>
      <c r="J35" s="5">
        <v>88.378</v>
      </c>
      <c r="K35" s="5">
        <v>36.978999999999999</v>
      </c>
      <c r="L35" s="5">
        <v>77.98</v>
      </c>
    </row>
    <row r="36" spans="1:12" ht="15" customHeight="1" outlineLevel="3">
      <c r="A36" s="28" t="s">
        <v>134</v>
      </c>
      <c r="B36" s="8">
        <v>915.60799999999995</v>
      </c>
      <c r="C36" s="8">
        <v>832.88699999999994</v>
      </c>
      <c r="D36" s="8">
        <v>169.99</v>
      </c>
      <c r="E36" s="8">
        <v>35.746000000000002</v>
      </c>
      <c r="F36" s="8">
        <v>174.41399999999999</v>
      </c>
      <c r="G36" s="8">
        <v>235.40600000000001</v>
      </c>
      <c r="H36" s="8">
        <v>72.489999999999995</v>
      </c>
      <c r="I36" s="8">
        <v>124.502</v>
      </c>
      <c r="J36" s="8">
        <v>88.378</v>
      </c>
      <c r="K36" s="8">
        <v>36.978999999999999</v>
      </c>
      <c r="L36" s="8">
        <v>77.98</v>
      </c>
    </row>
    <row r="37" spans="1:12" ht="15" customHeight="1" outlineLevel="1">
      <c r="A37" s="4" t="s">
        <v>135</v>
      </c>
      <c r="B37" s="5">
        <v>994.46</v>
      </c>
      <c r="C37" s="5">
        <v>1394.46</v>
      </c>
      <c r="D37" s="5">
        <v>0</v>
      </c>
      <c r="E37" s="5">
        <v>-700</v>
      </c>
      <c r="F37" s="5">
        <v>-500</v>
      </c>
      <c r="G37" s="5">
        <v>1001.905</v>
      </c>
      <c r="H37" s="5">
        <v>4433.1719999999996</v>
      </c>
      <c r="I37" s="5">
        <v>3925.9810000000002</v>
      </c>
      <c r="J37" s="5">
        <v>2988.357</v>
      </c>
      <c r="K37" s="5">
        <v>989.3</v>
      </c>
      <c r="L37" s="5">
        <v>1481.826</v>
      </c>
    </row>
    <row r="38" spans="1:12" ht="15" customHeight="1" outlineLevel="2">
      <c r="A38" s="26" t="s">
        <v>136</v>
      </c>
      <c r="B38" s="3">
        <v>994.46</v>
      </c>
      <c r="C38" s="3">
        <v>1394.46</v>
      </c>
      <c r="D38" s="3">
        <v>0</v>
      </c>
      <c r="E38" s="3">
        <v>-700</v>
      </c>
      <c r="F38" s="3">
        <v>-500</v>
      </c>
      <c r="G38" s="3">
        <v>1001.905</v>
      </c>
      <c r="H38" s="3">
        <v>4433.1719999999996</v>
      </c>
      <c r="I38" s="3">
        <v>3925.9810000000002</v>
      </c>
      <c r="J38" s="3">
        <v>2988.357</v>
      </c>
      <c r="K38" s="3">
        <v>989.3</v>
      </c>
      <c r="L38" s="3">
        <v>1481.826</v>
      </c>
    </row>
    <row r="39" spans="1:12" ht="15" customHeight="1" outlineLevel="3">
      <c r="A39" s="27" t="s">
        <v>137</v>
      </c>
      <c r="B39" s="9">
        <v>1794.46</v>
      </c>
      <c r="C39" s="9">
        <v>1794.46</v>
      </c>
      <c r="D39" s="9">
        <v>0</v>
      </c>
      <c r="E39" s="9">
        <v>0</v>
      </c>
      <c r="F39" s="9">
        <v>0</v>
      </c>
      <c r="G39" s="9">
        <v>1001.905</v>
      </c>
      <c r="H39" s="9">
        <v>4433.1719999999996</v>
      </c>
      <c r="I39" s="9">
        <v>3925.9810000000002</v>
      </c>
      <c r="J39" s="9">
        <v>2988.357</v>
      </c>
      <c r="K39" s="9">
        <v>989.3</v>
      </c>
      <c r="L39" s="9">
        <v>1482.3710000000001</v>
      </c>
    </row>
    <row r="40" spans="1:12" ht="15" customHeight="1" outlineLevel="3">
      <c r="A40" s="28" t="s">
        <v>138</v>
      </c>
      <c r="B40" s="13">
        <v>-800</v>
      </c>
      <c r="C40" s="13">
        <v>-400</v>
      </c>
      <c r="D40" s="8">
        <v>0</v>
      </c>
      <c r="E40" s="13">
        <v>-700</v>
      </c>
      <c r="F40" s="13">
        <v>-500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13">
        <v>-0.54500000000000004</v>
      </c>
    </row>
    <row r="41" spans="1:12" ht="15" customHeight="1" outlineLevel="1">
      <c r="A41" s="4" t="s">
        <v>115</v>
      </c>
      <c r="B41" s="5">
        <v>-79.724999999999994</v>
      </c>
      <c r="C41" s="5">
        <v>-38.027999999999999</v>
      </c>
      <c r="D41" s="5">
        <v>-75.445999999999998</v>
      </c>
      <c r="E41" s="5">
        <v>0</v>
      </c>
      <c r="F41" s="5">
        <v>-224.16800000000001</v>
      </c>
      <c r="G41" s="5">
        <v>0</v>
      </c>
      <c r="H41" s="5">
        <v>0</v>
      </c>
      <c r="I41" s="5">
        <v>-1.956</v>
      </c>
      <c r="J41" s="5">
        <v>0.255</v>
      </c>
      <c r="K41" s="5">
        <v>65.350999999999999</v>
      </c>
      <c r="L41" s="5">
        <v>80.471000000000004</v>
      </c>
    </row>
    <row r="42" spans="1:12" ht="15" customHeight="1" outlineLevel="2">
      <c r="A42" s="7" t="s">
        <v>128</v>
      </c>
      <c r="B42" s="13">
        <v>-79.724999999999994</v>
      </c>
      <c r="C42" s="13">
        <v>-38.027999999999999</v>
      </c>
      <c r="D42" s="13">
        <v>-75.445999999999998</v>
      </c>
      <c r="E42" s="8">
        <v>0</v>
      </c>
      <c r="F42" s="13">
        <v>-224.16800000000001</v>
      </c>
      <c r="G42" s="8">
        <v>0</v>
      </c>
      <c r="H42" s="8">
        <v>0</v>
      </c>
      <c r="I42" s="13">
        <v>-1.956</v>
      </c>
      <c r="J42" s="8">
        <v>0</v>
      </c>
      <c r="K42" s="8">
        <v>0</v>
      </c>
      <c r="L42" s="8">
        <v>0</v>
      </c>
    </row>
    <row r="43" spans="1:12" ht="15" customHeight="1" outlineLevel="2">
      <c r="A43" s="6" t="s">
        <v>139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0.255</v>
      </c>
      <c r="K43" s="9">
        <v>65.350999999999999</v>
      </c>
      <c r="L43" s="9">
        <v>80.471000000000004</v>
      </c>
    </row>
    <row r="44" spans="1:12" ht="15" customHeight="1" outlineLevel="1">
      <c r="A44" s="17" t="s">
        <v>140</v>
      </c>
      <c r="B44" s="13">
        <v>-5969.799</v>
      </c>
      <c r="C44" s="13">
        <v>-4074.4270000000001</v>
      </c>
      <c r="D44" s="13">
        <v>-5950.8029999999999</v>
      </c>
      <c r="E44" s="13">
        <v>-664.25400000000002</v>
      </c>
      <c r="F44" s="13">
        <v>-1149.7760000000001</v>
      </c>
      <c r="G44" s="8">
        <v>1237.3109999999999</v>
      </c>
      <c r="H44" s="8">
        <v>4505.6620000000003</v>
      </c>
      <c r="I44" s="8">
        <v>4048.527</v>
      </c>
      <c r="J44" s="8">
        <v>3076.99</v>
      </c>
      <c r="K44" s="8">
        <v>1091.6300000000001</v>
      </c>
      <c r="L44" s="8">
        <v>1640.277</v>
      </c>
    </row>
    <row r="45" spans="1:12" ht="15" customHeight="1">
      <c r="A45" s="15" t="s">
        <v>141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ht="15" customHeight="1" outlineLevel="1">
      <c r="A46" s="17" t="s">
        <v>142</v>
      </c>
      <c r="B46" s="13">
        <v>-170.39500000000001</v>
      </c>
      <c r="C46" s="13">
        <v>-416.33100000000002</v>
      </c>
      <c r="D46" s="8">
        <v>82.683999999999997</v>
      </c>
      <c r="E46" s="13">
        <v>-170.14</v>
      </c>
      <c r="F46" s="13">
        <v>-86.74</v>
      </c>
      <c r="G46" s="8">
        <v>36.049999999999997</v>
      </c>
      <c r="H46" s="8">
        <v>0.46899999999999997</v>
      </c>
      <c r="I46" s="13">
        <v>-39.682000000000002</v>
      </c>
      <c r="J46" s="8">
        <v>29.847999999999999</v>
      </c>
      <c r="K46" s="13">
        <v>-9.1649999999999991</v>
      </c>
      <c r="L46" s="13">
        <v>-15.923999999999999</v>
      </c>
    </row>
    <row r="47" spans="1:12" ht="15" customHeight="1" outlineLevel="1">
      <c r="A47" s="16" t="s">
        <v>143</v>
      </c>
      <c r="B47" s="9">
        <v>177.43899999999999</v>
      </c>
      <c r="C47" s="9">
        <v>688.822</v>
      </c>
      <c r="D47" s="9">
        <v>1947.933</v>
      </c>
      <c r="E47" s="10">
        <v>-884.529</v>
      </c>
      <c r="F47" s="10">
        <v>-2183.759</v>
      </c>
      <c r="G47" s="9">
        <v>3195.0839999999998</v>
      </c>
      <c r="H47" s="9">
        <v>1231.7449999999999</v>
      </c>
      <c r="I47" s="9">
        <v>989.24599999999998</v>
      </c>
      <c r="J47" s="9">
        <v>1355.2190000000001</v>
      </c>
      <c r="K47" s="10">
        <v>-341.75400000000002</v>
      </c>
      <c r="L47" s="9">
        <v>695.72199999999998</v>
      </c>
    </row>
    <row r="48" spans="1:12" ht="15" customHeight="1" outlineLevel="1">
      <c r="A48" s="11" t="s">
        <v>144</v>
      </c>
      <c r="B48" s="3">
        <v>7445.94</v>
      </c>
      <c r="C48" s="3">
        <v>6921.826</v>
      </c>
      <c r="D48" s="3">
        <v>6925.7489999999998</v>
      </c>
      <c r="E48" s="3">
        <v>1618.528</v>
      </c>
      <c r="F48" s="3">
        <v>-131.97499999999999</v>
      </c>
      <c r="G48" s="3">
        <v>1929.154</v>
      </c>
      <c r="H48" s="3">
        <v>-3140.357</v>
      </c>
      <c r="I48" s="3">
        <v>-2854.4250000000002</v>
      </c>
      <c r="J48" s="3">
        <v>-1959.25</v>
      </c>
      <c r="K48" s="3">
        <v>-1581.6369999999999</v>
      </c>
      <c r="L48" s="3">
        <v>-840.68700000000001</v>
      </c>
    </row>
    <row r="49" spans="1:12" ht="15" customHeight="1" outlineLevel="2">
      <c r="A49" s="6" t="s">
        <v>145</v>
      </c>
      <c r="B49" s="9">
        <v>17.040246</v>
      </c>
      <c r="C49" s="9">
        <v>15.757889</v>
      </c>
      <c r="D49" s="9">
        <v>15.407742000000001</v>
      </c>
      <c r="E49" s="9">
        <v>3.5864479999999999</v>
      </c>
      <c r="F49" s="10">
        <v>-0.28981800000000002</v>
      </c>
      <c r="G49" s="9">
        <v>4.2472919999999998</v>
      </c>
      <c r="H49" s="10">
        <v>-6.9513069999999999</v>
      </c>
      <c r="I49" s="10">
        <v>-6.3256800000000002</v>
      </c>
      <c r="J49" s="10">
        <v>-4.3849340000000003</v>
      </c>
      <c r="K49" s="10">
        <v>-3.6056759999999999</v>
      </c>
      <c r="L49" s="10">
        <v>-1.926167</v>
      </c>
    </row>
    <row r="50" spans="1:12" ht="15" customHeight="1" outlineLevel="2">
      <c r="A50" s="7" t="s">
        <v>146</v>
      </c>
      <c r="B50" s="18">
        <v>1.827313</v>
      </c>
      <c r="C50" s="18">
        <v>1.767927</v>
      </c>
      <c r="D50" s="18">
        <v>3.164587</v>
      </c>
      <c r="E50" s="18">
        <v>1.21624</v>
      </c>
      <c r="F50" s="36">
        <v>-4.8106999999999997E-2</v>
      </c>
      <c r="G50" s="18">
        <v>0.78547400000000001</v>
      </c>
      <c r="H50" s="36">
        <v>-2.1483159999999999</v>
      </c>
      <c r="I50" s="36">
        <v>-2.3633259999999998</v>
      </c>
      <c r="J50" s="36">
        <v>-2.2842959999999999</v>
      </c>
      <c r="K50" s="36">
        <v>-2.9125009999999998</v>
      </c>
      <c r="L50" s="36">
        <v>-1.684007</v>
      </c>
    </row>
    <row r="51" spans="1:12" ht="15" customHeight="1">
      <c r="A51" s="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34A8-F4F8-4644-8FF1-21C56C9ADFC1}">
  <dimension ref="A1:A21"/>
  <sheetViews>
    <sheetView workbookViewId="0">
      <selection activeCell="J38" sqref="J38"/>
    </sheetView>
  </sheetViews>
  <sheetFormatPr baseColWidth="10" defaultRowHeight="13"/>
  <sheetData>
    <row r="1" spans="1:1" ht="18">
      <c r="A1" s="51" t="s">
        <v>177</v>
      </c>
    </row>
    <row r="3" spans="1:1">
      <c r="A3" s="52" t="s">
        <v>178</v>
      </c>
    </row>
    <row r="5" spans="1:1">
      <c r="A5" s="52" t="s">
        <v>179</v>
      </c>
    </row>
    <row r="7" spans="1:1">
      <c r="A7" s="52" t="s">
        <v>180</v>
      </c>
    </row>
    <row r="9" spans="1:1">
      <c r="A9" s="52" t="s">
        <v>181</v>
      </c>
    </row>
    <row r="13" spans="1:1" ht="18">
      <c r="A13" s="51" t="s">
        <v>182</v>
      </c>
    </row>
    <row r="15" spans="1:1">
      <c r="A15" s="53" t="s">
        <v>183</v>
      </c>
    </row>
    <row r="17" spans="1:1">
      <c r="A17" s="53" t="s">
        <v>184</v>
      </c>
    </row>
    <row r="19" spans="1:1">
      <c r="A19" s="53" t="s">
        <v>185</v>
      </c>
    </row>
    <row r="21" spans="1:1">
      <c r="A21" s="5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2B1E-B2E3-8B4D-B2BE-39BC22F55B14}">
  <dimension ref="A1:M39"/>
  <sheetViews>
    <sheetView tabSelected="1" zoomScale="80" zoomScaleNormal="80" workbookViewId="0">
      <pane xSplit="1" topLeftCell="B1" activePane="topRight" state="frozen"/>
      <selection pane="topRight" activeCell="A2" sqref="A2"/>
    </sheetView>
  </sheetViews>
  <sheetFormatPr baseColWidth="10" defaultRowHeight="13"/>
  <cols>
    <col min="1" max="1" width="25.83203125" customWidth="1"/>
    <col min="2" max="2" width="16" customWidth="1"/>
    <col min="3" max="3" width="14.5" customWidth="1"/>
    <col min="4" max="4" width="15.83203125" customWidth="1"/>
    <col min="5" max="7" width="13.1640625" bestFit="1" customWidth="1"/>
    <col min="8" max="8" width="12.1640625" customWidth="1"/>
  </cols>
  <sheetData>
    <row r="1" spans="1:13" ht="25">
      <c r="A1" s="88"/>
      <c r="B1" s="88" t="s">
        <v>174</v>
      </c>
      <c r="C1" s="88"/>
      <c r="D1" s="89"/>
      <c r="E1" s="89"/>
      <c r="F1" s="89"/>
      <c r="G1" s="89"/>
      <c r="H1" s="89"/>
      <c r="I1" s="89"/>
    </row>
    <row r="2" spans="1:13" ht="18">
      <c r="A2" s="91" t="s">
        <v>164</v>
      </c>
      <c r="B2" t="s">
        <v>198</v>
      </c>
    </row>
    <row r="3" spans="1:13" ht="14" thickBot="1">
      <c r="B3" s="73"/>
    </row>
    <row r="4" spans="1:13" ht="18">
      <c r="A4" s="63" t="s">
        <v>147</v>
      </c>
      <c r="B4" s="64">
        <v>2019</v>
      </c>
      <c r="C4" s="64">
        <f>B4+1</f>
        <v>2020</v>
      </c>
      <c r="D4" s="64">
        <f t="shared" ref="D4:M4" si="0">C4+1</f>
        <v>2021</v>
      </c>
      <c r="E4" s="64">
        <f t="shared" si="0"/>
        <v>2022</v>
      </c>
      <c r="F4" s="64">
        <f t="shared" si="0"/>
        <v>2023</v>
      </c>
      <c r="G4" s="65">
        <f t="shared" si="0"/>
        <v>2024</v>
      </c>
      <c r="H4" s="64">
        <f t="shared" si="0"/>
        <v>2025</v>
      </c>
      <c r="I4" s="64">
        <f t="shared" si="0"/>
        <v>2026</v>
      </c>
      <c r="J4" s="64">
        <f t="shared" si="0"/>
        <v>2027</v>
      </c>
      <c r="K4" s="64">
        <f t="shared" si="0"/>
        <v>2028</v>
      </c>
      <c r="L4" s="64">
        <f t="shared" si="0"/>
        <v>2029</v>
      </c>
      <c r="M4" s="66">
        <f t="shared" si="0"/>
        <v>2030</v>
      </c>
    </row>
    <row r="5" spans="1:13">
      <c r="A5" s="67" t="s">
        <v>148</v>
      </c>
      <c r="B5" s="42">
        <f>IS!H10</f>
        <v>20156.447</v>
      </c>
      <c r="C5" s="42">
        <f>IS!G10</f>
        <v>24996.056</v>
      </c>
      <c r="D5" s="42">
        <f>IS!F10</f>
        <v>29697.844000000001</v>
      </c>
      <c r="E5" s="42">
        <f>IS!E10</f>
        <v>31615.55</v>
      </c>
      <c r="F5" s="42">
        <f>IS!D10</f>
        <v>33723.296999999999</v>
      </c>
      <c r="G5" s="43">
        <f>IS!C10</f>
        <v>38876.955999999998</v>
      </c>
      <c r="H5" s="74">
        <f>G5*(1+$B$31)</f>
        <v>41598.342920000003</v>
      </c>
      <c r="I5" s="74">
        <f t="shared" ref="I5:K5" si="1">H5*(1+$B$31)</f>
        <v>44510.226924400005</v>
      </c>
      <c r="J5" s="74">
        <f t="shared" si="1"/>
        <v>47625.942809108012</v>
      </c>
      <c r="K5" s="74">
        <f t="shared" si="1"/>
        <v>50959.758805745572</v>
      </c>
      <c r="L5" s="74">
        <f>K5*(1+$B$31)</f>
        <v>54526.941922147766</v>
      </c>
      <c r="M5" s="75">
        <f>L5*(1+$B$31)</f>
        <v>58343.82785669811</v>
      </c>
    </row>
    <row r="6" spans="1:13">
      <c r="A6" s="67" t="s">
        <v>150</v>
      </c>
      <c r="B6" s="44"/>
      <c r="C6" s="45">
        <f>(C5-B5)/B5</f>
        <v>0.24010228588401519</v>
      </c>
      <c r="D6" s="45">
        <f t="shared" ref="D6:G6" si="2">(D5-C5)/C5</f>
        <v>0.18810119484449869</v>
      </c>
      <c r="E6" s="45">
        <f t="shared" si="2"/>
        <v>6.45739131769969E-2</v>
      </c>
      <c r="F6" s="45">
        <f t="shared" si="2"/>
        <v>6.6668047843545325E-2</v>
      </c>
      <c r="G6" s="46">
        <f t="shared" si="2"/>
        <v>0.15282192011059892</v>
      </c>
      <c r="H6" s="76">
        <f>(H5-G5)/G5</f>
        <v>7.0000000000000118E-2</v>
      </c>
      <c r="I6" s="76">
        <f t="shared" ref="I6:M6" si="3">(I5-H5)/H5</f>
        <v>7.0000000000000062E-2</v>
      </c>
      <c r="J6" s="76">
        <f t="shared" si="3"/>
        <v>7.0000000000000132E-2</v>
      </c>
      <c r="K6" s="76">
        <f t="shared" si="3"/>
        <v>6.9999999999999993E-2</v>
      </c>
      <c r="L6" s="76">
        <f t="shared" si="3"/>
        <v>7.0000000000000062E-2</v>
      </c>
      <c r="M6" s="77">
        <f t="shared" si="3"/>
        <v>7.0000000000000007E-2</v>
      </c>
    </row>
    <row r="7" spans="1:13">
      <c r="A7" s="67" t="s">
        <v>149</v>
      </c>
      <c r="B7" s="42">
        <f>IS!H11</f>
        <v>12440.213</v>
      </c>
      <c r="C7" s="42">
        <f>IS!G11</f>
        <v>15276.319</v>
      </c>
      <c r="D7" s="42">
        <f>IS!F11</f>
        <v>17332.683000000001</v>
      </c>
      <c r="E7" s="42">
        <f>IS!E11</f>
        <v>19168.285</v>
      </c>
      <c r="F7" s="42">
        <f>IS!D11</f>
        <v>19715.367999999999</v>
      </c>
      <c r="G7" s="43">
        <f>IS!C11</f>
        <v>21040.093000000001</v>
      </c>
      <c r="H7" s="74">
        <f>H5*$B$36</f>
        <v>24127.038893600002</v>
      </c>
      <c r="I7" s="74">
        <f t="shared" ref="I7:M7" si="4">I5*$B$36</f>
        <v>25815.931616152</v>
      </c>
      <c r="J7" s="74">
        <f t="shared" si="4"/>
        <v>27623.046829282644</v>
      </c>
      <c r="K7" s="74">
        <f t="shared" si="4"/>
        <v>29556.660107332431</v>
      </c>
      <c r="L7" s="74">
        <f t="shared" si="4"/>
        <v>31625.6263148457</v>
      </c>
      <c r="M7" s="75">
        <f t="shared" si="4"/>
        <v>33839.420156884902</v>
      </c>
    </row>
    <row r="8" spans="1:13">
      <c r="A8" s="67" t="s">
        <v>171</v>
      </c>
      <c r="B8" s="47">
        <f>B7/B5</f>
        <v>0.61718282989060524</v>
      </c>
      <c r="C8" s="47">
        <f t="shared" ref="C8:G8" si="5">C7/C5</f>
        <v>0.61114917489383125</v>
      </c>
      <c r="D8" s="47">
        <f t="shared" si="5"/>
        <v>0.58363438773535214</v>
      </c>
      <c r="E8" s="47">
        <f t="shared" si="5"/>
        <v>0.60629294761596741</v>
      </c>
      <c r="F8" s="47">
        <f t="shared" si="5"/>
        <v>0.58462160446530476</v>
      </c>
      <c r="G8" s="48">
        <f t="shared" si="5"/>
        <v>0.5411970268454146</v>
      </c>
      <c r="H8" s="78">
        <f>(H7/H5)</f>
        <v>0.57999999999999996</v>
      </c>
      <c r="I8" s="78">
        <f t="shared" ref="I8:M8" si="6">(I7/I5)</f>
        <v>0.57999999999999996</v>
      </c>
      <c r="J8" s="78">
        <f t="shared" si="6"/>
        <v>0.57999999999999996</v>
      </c>
      <c r="K8" s="78">
        <f t="shared" si="6"/>
        <v>0.57999999999999996</v>
      </c>
      <c r="L8" s="78">
        <f t="shared" si="6"/>
        <v>0.57999999999999996</v>
      </c>
      <c r="M8" s="79">
        <f t="shared" si="6"/>
        <v>0.57999999999999996</v>
      </c>
    </row>
    <row r="9" spans="1:13">
      <c r="A9" s="68" t="s">
        <v>153</v>
      </c>
      <c r="B9" s="42">
        <f>B5-B7</f>
        <v>7716.2340000000004</v>
      </c>
      <c r="C9" s="42">
        <f t="shared" ref="C9:G9" si="7">C5-C7</f>
        <v>9719.737000000001</v>
      </c>
      <c r="D9" s="42">
        <f t="shared" si="7"/>
        <v>12365.161</v>
      </c>
      <c r="E9" s="42">
        <f t="shared" si="7"/>
        <v>12447.264999999999</v>
      </c>
      <c r="F9" s="42">
        <f t="shared" si="7"/>
        <v>14007.929</v>
      </c>
      <c r="G9" s="43">
        <f t="shared" si="7"/>
        <v>17836.862999999998</v>
      </c>
      <c r="H9" s="74">
        <f>H5-H7</f>
        <v>17471.304026400001</v>
      </c>
      <c r="I9" s="74">
        <f t="shared" ref="I9:L9" si="8">I5-I7</f>
        <v>18694.295308248005</v>
      </c>
      <c r="J9" s="74">
        <f t="shared" si="8"/>
        <v>20002.895979825367</v>
      </c>
      <c r="K9" s="74">
        <f>K5-K7</f>
        <v>21403.098698413141</v>
      </c>
      <c r="L9" s="74">
        <f t="shared" si="8"/>
        <v>22901.315607302065</v>
      </c>
      <c r="M9" s="75">
        <f>M5-M7</f>
        <v>24504.407699813208</v>
      </c>
    </row>
    <row r="10" spans="1:13">
      <c r="A10" s="67" t="s">
        <v>157</v>
      </c>
      <c r="B10" s="47">
        <f>(B9/B5)</f>
        <v>0.38281717010939481</v>
      </c>
      <c r="C10" s="47">
        <f t="shared" ref="C10:G10" si="9">(C9/C5)</f>
        <v>0.38885082510616881</v>
      </c>
      <c r="D10" s="47">
        <f t="shared" si="9"/>
        <v>0.41636561226464791</v>
      </c>
      <c r="E10" s="47">
        <f t="shared" si="9"/>
        <v>0.39370705238403253</v>
      </c>
      <c r="F10" s="47">
        <f t="shared" si="9"/>
        <v>0.41537839553469524</v>
      </c>
      <c r="G10" s="48">
        <f t="shared" si="9"/>
        <v>0.4588029731545854</v>
      </c>
      <c r="H10" s="78">
        <f>H9/H5</f>
        <v>0.42</v>
      </c>
      <c r="I10" s="78">
        <f t="shared" ref="I10:M10" si="10">I9/I5</f>
        <v>0.4200000000000001</v>
      </c>
      <c r="J10" s="78">
        <f t="shared" si="10"/>
        <v>0.42000000000000004</v>
      </c>
      <c r="K10" s="78">
        <f t="shared" si="10"/>
        <v>0.42000000000000004</v>
      </c>
      <c r="L10" s="78">
        <f t="shared" si="10"/>
        <v>0.4200000000000001</v>
      </c>
      <c r="M10" s="79">
        <f t="shared" si="10"/>
        <v>0.42000000000000004</v>
      </c>
    </row>
    <row r="11" spans="1:13">
      <c r="A11" s="69"/>
      <c r="B11" s="49"/>
      <c r="C11" s="49"/>
      <c r="D11" s="49"/>
      <c r="E11" s="49"/>
      <c r="F11" s="49"/>
      <c r="G11" s="50"/>
      <c r="H11" s="80"/>
      <c r="I11" s="80"/>
      <c r="J11" s="80"/>
      <c r="K11" s="80"/>
      <c r="L11" s="80"/>
      <c r="M11" s="81"/>
    </row>
    <row r="12" spans="1:13">
      <c r="A12" s="67" t="s">
        <v>175</v>
      </c>
      <c r="B12" s="42">
        <v>9220</v>
      </c>
      <c r="C12" s="42">
        <v>10810</v>
      </c>
      <c r="D12" s="42">
        <f>13600</f>
        <v>13600</v>
      </c>
      <c r="E12" s="42">
        <v>14360</v>
      </c>
      <c r="F12" s="42">
        <v>14550</v>
      </c>
      <c r="G12" s="43">
        <v>15300</v>
      </c>
      <c r="H12" s="74">
        <f>H5*$B$33</f>
        <v>18719.254314000002</v>
      </c>
      <c r="I12" s="74">
        <f t="shared" ref="I12:L12" si="11">I5*$B$33</f>
        <v>20029.602115980004</v>
      </c>
      <c r="J12" s="74">
        <f t="shared" si="11"/>
        <v>21431.674264098605</v>
      </c>
      <c r="K12" s="74">
        <f t="shared" si="11"/>
        <v>22931.891462585507</v>
      </c>
      <c r="L12" s="74">
        <f t="shared" si="11"/>
        <v>24537.123864966496</v>
      </c>
      <c r="M12" s="75">
        <f t="shared" ref="M12" si="12">M5*$B$33</f>
        <v>26254.722535514149</v>
      </c>
    </row>
    <row r="13" spans="1:13">
      <c r="A13" s="67" t="s">
        <v>152</v>
      </c>
      <c r="B13" s="47">
        <f t="shared" ref="B13:G13" si="13">(B12/B5)</f>
        <v>0.45742188591074606</v>
      </c>
      <c r="C13" s="47">
        <f t="shared" si="13"/>
        <v>0.4324682261873633</v>
      </c>
      <c r="D13" s="47">
        <f t="shared" si="13"/>
        <v>0.45794570137818758</v>
      </c>
      <c r="E13" s="47">
        <f t="shared" si="13"/>
        <v>0.45420686972075452</v>
      </c>
      <c r="F13" s="47">
        <f t="shared" si="13"/>
        <v>0.43145247631036787</v>
      </c>
      <c r="G13" s="48">
        <f t="shared" si="13"/>
        <v>0.39354933035395057</v>
      </c>
      <c r="H13" s="78">
        <f>H12/H5</f>
        <v>0.45</v>
      </c>
      <c r="I13" s="78">
        <f t="shared" ref="I13:M13" si="14">I12/I5</f>
        <v>0.45</v>
      </c>
      <c r="J13" s="78">
        <f t="shared" si="14"/>
        <v>0.45</v>
      </c>
      <c r="K13" s="78">
        <f t="shared" si="14"/>
        <v>0.45</v>
      </c>
      <c r="L13" s="78">
        <f t="shared" si="14"/>
        <v>0.45</v>
      </c>
      <c r="M13" s="79">
        <f t="shared" si="14"/>
        <v>0.45</v>
      </c>
    </row>
    <row r="14" spans="1:13">
      <c r="A14" s="67" t="s">
        <v>190</v>
      </c>
      <c r="B14" s="42">
        <f>IS!H16</f>
        <v>1545.1489999999999</v>
      </c>
      <c r="C14" s="42">
        <f>IS!G16</f>
        <v>1829.6</v>
      </c>
      <c r="D14" s="42">
        <f>IS!F16</f>
        <v>2273.8850000000002</v>
      </c>
      <c r="E14" s="42">
        <f>IS!E16</f>
        <v>2711.0410000000002</v>
      </c>
      <c r="F14" s="42">
        <f>IS!D16</f>
        <v>2675.7579999999998</v>
      </c>
      <c r="G14" s="43">
        <f>IS!C16</f>
        <v>2925.2950000000001</v>
      </c>
      <c r="H14" s="74">
        <f>H5*$B$34</f>
        <v>3327.8674336000004</v>
      </c>
      <c r="I14" s="74">
        <f t="shared" ref="I14:L14" si="15">I5*$B$34</f>
        <v>3560.8181539520006</v>
      </c>
      <c r="J14" s="74">
        <f t="shared" si="15"/>
        <v>3810.0754247286409</v>
      </c>
      <c r="K14" s="74">
        <f t="shared" si="15"/>
        <v>4076.7807044596457</v>
      </c>
      <c r="L14" s="74">
        <f t="shared" si="15"/>
        <v>4362.155353771821</v>
      </c>
      <c r="M14" s="75">
        <f t="shared" ref="M14" si="16">M5*$B$34</f>
        <v>4667.506228535849</v>
      </c>
    </row>
    <row r="15" spans="1:13">
      <c r="A15" s="67" t="s">
        <v>152</v>
      </c>
      <c r="B15" s="47">
        <f>B14/B5</f>
        <v>7.6657805812701013E-2</v>
      </c>
      <c r="C15" s="47">
        <f t="shared" ref="C15:G15" si="17">C14/C5</f>
        <v>7.3195547329546709E-2</v>
      </c>
      <c r="D15" s="47">
        <f t="shared" si="17"/>
        <v>7.6567342733701485E-2</v>
      </c>
      <c r="E15" s="47">
        <f t="shared" si="17"/>
        <v>8.5750239992661847E-2</v>
      </c>
      <c r="F15" s="47">
        <f t="shared" si="17"/>
        <v>7.9344495883661673E-2</v>
      </c>
      <c r="G15" s="48">
        <f t="shared" si="17"/>
        <v>7.5244960022075813E-2</v>
      </c>
      <c r="H15" s="78">
        <f>H14/H5</f>
        <v>0.08</v>
      </c>
      <c r="I15" s="78">
        <f t="shared" ref="I15:M15" si="18">I14/I5</f>
        <v>0.08</v>
      </c>
      <c r="J15" s="78">
        <f t="shared" si="18"/>
        <v>0.08</v>
      </c>
      <c r="K15" s="78">
        <f t="shared" si="18"/>
        <v>0.08</v>
      </c>
      <c r="L15" s="78">
        <f t="shared" si="18"/>
        <v>7.9999999999999988E-2</v>
      </c>
      <c r="M15" s="79">
        <f t="shared" si="18"/>
        <v>0.08</v>
      </c>
    </row>
    <row r="16" spans="1:13">
      <c r="A16" s="67" t="s">
        <v>151</v>
      </c>
      <c r="B16" s="42">
        <f>IS!H15</f>
        <v>5111.9799999999996</v>
      </c>
      <c r="C16" s="42">
        <f>IS!G15</f>
        <v>5134.4480000000003</v>
      </c>
      <c r="D16" s="42">
        <f>IS!F15</f>
        <v>6170.652</v>
      </c>
      <c r="E16" s="42">
        <f>IS!E15</f>
        <v>6814.4340000000002</v>
      </c>
      <c r="F16" s="42">
        <f>IS!D15</f>
        <v>7053.9260000000004</v>
      </c>
      <c r="G16" s="43">
        <f>IS!C15</f>
        <v>7544.8879999999999</v>
      </c>
      <c r="H16" s="74">
        <f>H5*$B$35</f>
        <v>8943.6437278000012</v>
      </c>
      <c r="I16" s="74">
        <f t="shared" ref="I16:L16" si="19">I5*$B$35</f>
        <v>9569.6987887460018</v>
      </c>
      <c r="J16" s="74">
        <f t="shared" si="19"/>
        <v>10239.577703958223</v>
      </c>
      <c r="K16" s="74">
        <f t="shared" si="19"/>
        <v>10956.348143235298</v>
      </c>
      <c r="L16" s="74">
        <f t="shared" si="19"/>
        <v>11723.292513261769</v>
      </c>
      <c r="M16" s="75">
        <f t="shared" ref="M16" si="20">M5*$B$35</f>
        <v>12543.922989190094</v>
      </c>
    </row>
    <row r="17" spans="1:13">
      <c r="A17" s="67" t="s">
        <v>152</v>
      </c>
      <c r="B17" s="47">
        <f>B16/B5</f>
        <v>0.25361513365922078</v>
      </c>
      <c r="C17" s="47">
        <f t="shared" ref="C17:G17" si="21">C16/C5</f>
        <v>0.2054103255329561</v>
      </c>
      <c r="D17" s="47">
        <f t="shared" si="21"/>
        <v>0.20778114397799383</v>
      </c>
      <c r="E17" s="47">
        <f t="shared" si="21"/>
        <v>0.21554058050547911</v>
      </c>
      <c r="F17" s="47">
        <f t="shared" si="21"/>
        <v>0.20917071068110574</v>
      </c>
      <c r="G17" s="48">
        <f t="shared" si="21"/>
        <v>0.19407095555526518</v>
      </c>
      <c r="H17" s="78">
        <f>H16/H5</f>
        <v>0.21500000000000002</v>
      </c>
      <c r="I17" s="78">
        <f t="shared" ref="I17:M17" si="22">I16/I5</f>
        <v>0.21500000000000002</v>
      </c>
      <c r="J17" s="78">
        <f t="shared" si="22"/>
        <v>0.215</v>
      </c>
      <c r="K17" s="78">
        <f t="shared" si="22"/>
        <v>0.215</v>
      </c>
      <c r="L17" s="78">
        <f t="shared" si="22"/>
        <v>0.215</v>
      </c>
      <c r="M17" s="79">
        <f t="shared" si="22"/>
        <v>0.215</v>
      </c>
    </row>
    <row r="18" spans="1:13">
      <c r="A18" s="67" t="s">
        <v>154</v>
      </c>
      <c r="B18" s="49">
        <f>CFS!H23</f>
        <v>-387.06400000000002</v>
      </c>
      <c r="C18" s="49">
        <f>CFS!G23</f>
        <v>-505.35399999999998</v>
      </c>
      <c r="D18" s="49">
        <f>CFS!F23</f>
        <v>-551.50400000000002</v>
      </c>
      <c r="E18" s="49">
        <f>CFS!E23</f>
        <v>-407.72899999999998</v>
      </c>
      <c r="F18" s="49">
        <f>CFS!D23</f>
        <v>-348.55200000000002</v>
      </c>
      <c r="G18" s="50">
        <f>CFS!C23</f>
        <v>-439.53800000000001</v>
      </c>
      <c r="H18" s="82">
        <f>$B$37*H5</f>
        <v>-831.96685840000009</v>
      </c>
      <c r="I18" s="82">
        <f t="shared" ref="I18:M18" si="23">$B$37*I5</f>
        <v>-890.20453848800014</v>
      </c>
      <c r="J18" s="82">
        <f t="shared" si="23"/>
        <v>-952.51885618216022</v>
      </c>
      <c r="K18" s="82">
        <f t="shared" si="23"/>
        <v>-1019.1951761149114</v>
      </c>
      <c r="L18" s="82">
        <f t="shared" si="23"/>
        <v>-1090.5388384429552</v>
      </c>
      <c r="M18" s="82">
        <f t="shared" si="23"/>
        <v>-1166.8765571339623</v>
      </c>
    </row>
    <row r="19" spans="1:13">
      <c r="A19" s="67" t="s">
        <v>152</v>
      </c>
      <c r="B19" s="47">
        <f>B18/B5</f>
        <v>-1.92029875106461E-2</v>
      </c>
      <c r="C19" s="47">
        <f t="shared" ref="C19:G19" si="24">C18/C5</f>
        <v>-2.0217349489055392E-2</v>
      </c>
      <c r="D19" s="47">
        <f t="shared" si="24"/>
        <v>-1.8570506330358526E-2</v>
      </c>
      <c r="E19" s="47">
        <f t="shared" si="24"/>
        <v>-1.2896470249608183E-2</v>
      </c>
      <c r="F19" s="47">
        <f t="shared" si="24"/>
        <v>-1.0335644228380162E-2</v>
      </c>
      <c r="G19" s="47">
        <f t="shared" si="24"/>
        <v>-1.130587487353691E-2</v>
      </c>
      <c r="H19" s="83">
        <f>-(H18/H5)</f>
        <v>0.02</v>
      </c>
      <c r="I19" s="78">
        <f t="shared" ref="I19:M19" si="25">-(I18/I5)</f>
        <v>0.02</v>
      </c>
      <c r="J19" s="78">
        <f t="shared" si="25"/>
        <v>0.02</v>
      </c>
      <c r="K19" s="78">
        <f t="shared" si="25"/>
        <v>0.02</v>
      </c>
      <c r="L19" s="78">
        <f t="shared" si="25"/>
        <v>1.9999999999999997E-2</v>
      </c>
      <c r="M19" s="79">
        <f t="shared" si="25"/>
        <v>0.02</v>
      </c>
    </row>
    <row r="20" spans="1:13">
      <c r="A20" s="68" t="s">
        <v>47</v>
      </c>
      <c r="B20" s="42">
        <f>IS!H44</f>
        <v>2604.2539999999999</v>
      </c>
      <c r="C20" s="42">
        <f>IS!G44</f>
        <v>4585.2889999999998</v>
      </c>
      <c r="D20" s="42">
        <f>IS!F44</f>
        <v>6194.509</v>
      </c>
      <c r="E20" s="42">
        <f>IS!E44</f>
        <v>5632.8310000000001</v>
      </c>
      <c r="F20" s="42">
        <f>IS!D44</f>
        <v>6954.0029999999997</v>
      </c>
      <c r="G20" s="43">
        <f>IS!C44</f>
        <v>10291.975</v>
      </c>
      <c r="H20" s="74">
        <f>H5-H7-H14-H16</f>
        <v>5199.7928649999994</v>
      </c>
      <c r="I20" s="74">
        <f t="shared" ref="I20:M20" si="26">I5-I7-I14-I16</f>
        <v>5563.7783655500025</v>
      </c>
      <c r="J20" s="74">
        <f t="shared" si="26"/>
        <v>5953.2428511385042</v>
      </c>
      <c r="K20" s="74">
        <f t="shared" si="26"/>
        <v>6369.9698507181984</v>
      </c>
      <c r="L20" s="74">
        <f t="shared" si="26"/>
        <v>6815.8677402684752</v>
      </c>
      <c r="M20" s="75">
        <f t="shared" si="26"/>
        <v>7292.9784820872628</v>
      </c>
    </row>
    <row r="21" spans="1:13">
      <c r="A21" s="68" t="s">
        <v>156</v>
      </c>
      <c r="B21" s="47">
        <f>B20/B5</f>
        <v>0.12920203645017397</v>
      </c>
      <c r="C21" s="47">
        <f t="shared" ref="C21:G21" si="27">C20/C5</f>
        <v>0.18344049957321265</v>
      </c>
      <c r="D21" s="47">
        <f t="shared" si="27"/>
        <v>0.20858446828665406</v>
      </c>
      <c r="E21" s="47">
        <f t="shared" si="27"/>
        <v>0.17816647187855345</v>
      </c>
      <c r="F21" s="47">
        <f t="shared" si="27"/>
        <v>0.20620768485358948</v>
      </c>
      <c r="G21" s="48">
        <f t="shared" si="27"/>
        <v>0.2647320175993203</v>
      </c>
      <c r="H21" s="78">
        <f>H20/H5</f>
        <v>0.12499999999999997</v>
      </c>
      <c r="I21" s="78">
        <f>I20/I5</f>
        <v>0.12500000000000003</v>
      </c>
      <c r="J21" s="78">
        <f t="shared" ref="J21:M21" si="28">J20/J5</f>
        <v>0.12500000000000006</v>
      </c>
      <c r="K21" s="78">
        <f t="shared" si="28"/>
        <v>0.12500000000000003</v>
      </c>
      <c r="L21" s="78">
        <f t="shared" si="28"/>
        <v>0.12500000000000008</v>
      </c>
      <c r="M21" s="79">
        <f t="shared" si="28"/>
        <v>0.12499999999999999</v>
      </c>
    </row>
    <row r="22" spans="1:13">
      <c r="A22" s="68" t="s">
        <v>36</v>
      </c>
      <c r="B22" s="42">
        <f>IS!H31</f>
        <v>1866.9159999999999</v>
      </c>
      <c r="C22" s="42">
        <f>IS!G31</f>
        <v>2761.395</v>
      </c>
      <c r="D22" s="42">
        <f>IS!F31</f>
        <v>5116.2280000000001</v>
      </c>
      <c r="E22" s="42">
        <f>IS!E31</f>
        <v>4491.924</v>
      </c>
      <c r="F22" s="42">
        <f>IS!D31</f>
        <v>5407.99</v>
      </c>
      <c r="G22" s="43">
        <f>IS!C31</f>
        <v>8711.6309999999994</v>
      </c>
      <c r="H22" s="74">
        <f>H20*(1-$B$39)</f>
        <v>4263.8301492999999</v>
      </c>
      <c r="I22" s="74">
        <f t="shared" ref="I22:M22" si="29">I20*(1-$B$39)</f>
        <v>4562.2982597510027</v>
      </c>
      <c r="J22" s="74">
        <f t="shared" si="29"/>
        <v>4881.6591379335741</v>
      </c>
      <c r="K22" s="74">
        <f t="shared" si="29"/>
        <v>5223.3752775889234</v>
      </c>
      <c r="L22" s="74">
        <f t="shared" si="29"/>
        <v>5589.0115470201499</v>
      </c>
      <c r="M22" s="75">
        <f t="shared" si="29"/>
        <v>5980.2423553115559</v>
      </c>
    </row>
    <row r="23" spans="1:13">
      <c r="A23" s="68" t="s">
        <v>155</v>
      </c>
      <c r="B23" s="42">
        <f>CFS!H48</f>
        <v>-3140.357</v>
      </c>
      <c r="C23" s="42">
        <f>CFS!G48</f>
        <v>1929.154</v>
      </c>
      <c r="D23" s="42">
        <f>CFS!F48</f>
        <v>-131.97499999999999</v>
      </c>
      <c r="E23" s="42">
        <f>CFS!E48</f>
        <v>1618.528</v>
      </c>
      <c r="F23" s="42">
        <f>CFS!D48</f>
        <v>6925.7489999999998</v>
      </c>
      <c r="G23" s="43">
        <f>CFS!C48</f>
        <v>6921.826</v>
      </c>
      <c r="H23" s="74">
        <f>H5*$B$38</f>
        <v>3327.8674336000004</v>
      </c>
      <c r="I23" s="74">
        <f t="shared" ref="I23:M23" si="30">I5*$B$38</f>
        <v>3560.8181539520006</v>
      </c>
      <c r="J23" s="74">
        <f t="shared" si="30"/>
        <v>3810.0754247286409</v>
      </c>
      <c r="K23" s="74">
        <f t="shared" si="30"/>
        <v>4076.7807044596457</v>
      </c>
      <c r="L23" s="74">
        <f t="shared" si="30"/>
        <v>4362.155353771821</v>
      </c>
      <c r="M23" s="74">
        <f t="shared" si="30"/>
        <v>4667.506228535849</v>
      </c>
    </row>
    <row r="24" spans="1:13">
      <c r="A24" s="68" t="s">
        <v>152</v>
      </c>
      <c r="B24" s="47">
        <f>B23/B5</f>
        <v>-0.1557991346391554</v>
      </c>
      <c r="C24" s="47">
        <f t="shared" ref="C24:G24" si="31">C23/C5</f>
        <v>7.7178335654232808E-2</v>
      </c>
      <c r="D24" s="47">
        <f t="shared" si="31"/>
        <v>-4.4439252896607577E-3</v>
      </c>
      <c r="E24" s="47">
        <f t="shared" si="31"/>
        <v>5.1194048498286446E-2</v>
      </c>
      <c r="F24" s="47">
        <f t="shared" si="31"/>
        <v>0.20536986641608618</v>
      </c>
      <c r="G24" s="47">
        <f t="shared" si="31"/>
        <v>0.17804444360304342</v>
      </c>
      <c r="H24" s="90">
        <f>H23/H5</f>
        <v>0.08</v>
      </c>
      <c r="I24" s="90">
        <f t="shared" ref="I24:M24" si="32">I23/I5</f>
        <v>0.08</v>
      </c>
      <c r="J24" s="90">
        <f t="shared" si="32"/>
        <v>0.08</v>
      </c>
      <c r="K24" s="90">
        <f t="shared" si="32"/>
        <v>0.08</v>
      </c>
      <c r="L24" s="90">
        <f t="shared" si="32"/>
        <v>7.9999999999999988E-2</v>
      </c>
      <c r="M24" s="90">
        <f t="shared" si="32"/>
        <v>0.08</v>
      </c>
    </row>
    <row r="25" spans="1:13">
      <c r="A25" s="67" t="s">
        <v>158</v>
      </c>
      <c r="B25" s="49">
        <f>167.1</f>
        <v>167.1</v>
      </c>
      <c r="C25" s="49">
        <f>203.7</f>
        <v>203.7</v>
      </c>
      <c r="D25" s="49">
        <f>221.8</f>
        <v>221.8</v>
      </c>
      <c r="E25" s="49">
        <f>231.7</f>
        <v>231.7</v>
      </c>
      <c r="F25" s="49">
        <f>260.3</f>
        <v>260.3</v>
      </c>
      <c r="G25" s="50">
        <v>301.60000000000002</v>
      </c>
      <c r="H25" s="84">
        <f>G25*(1+$B$32)</f>
        <v>319.69600000000003</v>
      </c>
      <c r="I25" s="84">
        <f t="shared" ref="I25:L25" si="33">H25*(1+$B$32)</f>
        <v>338.87776000000002</v>
      </c>
      <c r="J25" s="84">
        <f t="shared" si="33"/>
        <v>359.21042560000006</v>
      </c>
      <c r="K25" s="84">
        <f t="shared" si="33"/>
        <v>380.76305113600012</v>
      </c>
      <c r="L25" s="84">
        <f t="shared" si="33"/>
        <v>403.60883420416013</v>
      </c>
      <c r="M25" s="85">
        <f t="shared" ref="M25" si="34">L25*(1+$B$32)</f>
        <v>427.82536425640978</v>
      </c>
    </row>
    <row r="26" spans="1:13">
      <c r="A26" s="67" t="s">
        <v>193</v>
      </c>
      <c r="B26" s="49"/>
      <c r="C26" s="47">
        <f>(C25-B25)/B25</f>
        <v>0.21903052064631953</v>
      </c>
      <c r="D26" s="47">
        <f t="shared" ref="D26:G26" si="35">(D25-C25)/C25</f>
        <v>8.8856161021109589E-2</v>
      </c>
      <c r="E26" s="47">
        <f t="shared" si="35"/>
        <v>4.463480613165003E-2</v>
      </c>
      <c r="F26" s="47">
        <f t="shared" si="35"/>
        <v>0.12343547690979725</v>
      </c>
      <c r="G26" s="48">
        <f t="shared" si="35"/>
        <v>0.15866308106031507</v>
      </c>
      <c r="H26" s="78">
        <f>(H25-G25)/G25</f>
        <v>6.0000000000000005E-2</v>
      </c>
      <c r="I26" s="78">
        <f t="shared" ref="I26:M26" si="36">(I25-H25)/H25</f>
        <v>5.9999999999999984E-2</v>
      </c>
      <c r="J26" s="78">
        <f t="shared" si="36"/>
        <v>6.0000000000000116E-2</v>
      </c>
      <c r="K26" s="78">
        <f t="shared" si="36"/>
        <v>6.000000000000013E-2</v>
      </c>
      <c r="L26" s="78">
        <f t="shared" si="36"/>
        <v>6.0000000000000026E-2</v>
      </c>
      <c r="M26" s="79">
        <f t="shared" si="36"/>
        <v>6.0000000000000109E-2</v>
      </c>
    </row>
    <row r="27" spans="1:13" ht="14" thickBot="1">
      <c r="A27" s="70" t="s">
        <v>159</v>
      </c>
      <c r="B27" s="71">
        <f t="shared" ref="B27:H27" si="37">B12/B25</f>
        <v>55.17654099341712</v>
      </c>
      <c r="C27" s="71">
        <f t="shared" si="37"/>
        <v>53.068237604320082</v>
      </c>
      <c r="D27" s="71">
        <f t="shared" si="37"/>
        <v>61.31650135256988</v>
      </c>
      <c r="E27" s="71">
        <f t="shared" si="37"/>
        <v>61.976694000863191</v>
      </c>
      <c r="F27" s="71">
        <f t="shared" si="37"/>
        <v>55.897041874759893</v>
      </c>
      <c r="G27" s="72">
        <f t="shared" si="37"/>
        <v>50.729442970822276</v>
      </c>
      <c r="H27" s="86">
        <f t="shared" si="37"/>
        <v>58.553295361843752</v>
      </c>
      <c r="I27" s="86">
        <f t="shared" ref="I27:L27" si="38">I12/I25</f>
        <v>59.105684940729077</v>
      </c>
      <c r="J27" s="86">
        <f t="shared" si="38"/>
        <v>59.663285742056708</v>
      </c>
      <c r="K27" s="86">
        <f t="shared" si="38"/>
        <v>60.226146928302512</v>
      </c>
      <c r="L27" s="86">
        <f t="shared" si="38"/>
        <v>60.794318125739338</v>
      </c>
      <c r="M27" s="87">
        <f t="shared" ref="M27" si="39">M12/M25</f>
        <v>61.367849428812342</v>
      </c>
    </row>
    <row r="30" spans="1:13" ht="14" thickBot="1">
      <c r="A30" s="23"/>
      <c r="B30" s="40"/>
    </row>
    <row r="31" spans="1:13">
      <c r="A31" s="54" t="s">
        <v>167</v>
      </c>
      <c r="B31" s="55">
        <f>_xlfn.XLOOKUP(A2,'Scenario Table'!A2:A4,'Scenario Table'!B2:B4)</f>
        <v>7.0000000000000007E-2</v>
      </c>
    </row>
    <row r="32" spans="1:13">
      <c r="A32" s="56" t="s">
        <v>168</v>
      </c>
      <c r="B32" s="57">
        <f>_xlfn.XLOOKUP(A2,'Scenario Table'!A2:A4,'Scenario Table'!C2:C4)</f>
        <v>0.06</v>
      </c>
      <c r="C32" s="41"/>
    </row>
    <row r="33" spans="1:3">
      <c r="A33" s="56" t="s">
        <v>169</v>
      </c>
      <c r="B33" s="57">
        <f>_xlfn.XLOOKUP(A2,'Scenario Table'!A2:A4,'Scenario Table'!D2:D4)</f>
        <v>0.45</v>
      </c>
      <c r="C33" s="41"/>
    </row>
    <row r="34" spans="1:3">
      <c r="A34" s="56" t="s">
        <v>191</v>
      </c>
      <c r="B34" s="57">
        <f>_xlfn.XLOOKUP(A2,'Scenario Table'!A2:A4,'Scenario Table'!E2:E4)</f>
        <v>0.08</v>
      </c>
    </row>
    <row r="35" spans="1:3">
      <c r="A35" s="56" t="s">
        <v>170</v>
      </c>
      <c r="B35" s="58">
        <f>_xlfn.XLOOKUP(A2,'Scenario Table'!A2:A4,'Scenario Table'!F2:F4)</f>
        <v>0.215</v>
      </c>
    </row>
    <row r="36" spans="1:3">
      <c r="A36" s="59" t="s">
        <v>173</v>
      </c>
      <c r="B36" s="60">
        <f>_xlfn.XLOOKUP(A2,'Scenario Table'!A2:A4,'Scenario Table'!G2:G4)</f>
        <v>0.57999999999999996</v>
      </c>
    </row>
    <row r="37" spans="1:3">
      <c r="A37" s="56" t="s">
        <v>187</v>
      </c>
      <c r="B37" s="58">
        <f>_xlfn.XLOOKUP(A2,Table1[Scenario],Table1[Capex])</f>
        <v>-0.02</v>
      </c>
    </row>
    <row r="38" spans="1:3">
      <c r="A38" s="56" t="s">
        <v>199</v>
      </c>
      <c r="B38" s="58">
        <f>_xlfn.XLOOKUP(A2,Table1[Scenario],Table1[FCF])</f>
        <v>0.08</v>
      </c>
    </row>
    <row r="39" spans="1:3" ht="14" thickBot="1">
      <c r="A39" s="61" t="s">
        <v>188</v>
      </c>
      <c r="B39" s="62">
        <f>_xlfn.XLOOKUP(A2,Table1[Scenario],Table1[Tax Rate])</f>
        <v>0.18</v>
      </c>
    </row>
  </sheetData>
  <dataValidations count="1">
    <dataValidation type="list" allowBlank="1" showInputMessage="1" showErrorMessage="1" sqref="A2" xr:uid="{B6169949-9F9E-774B-B1A9-EE9AB1DF97AA}">
      <formula1>"Base, Bull, Bear"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8DC7-C752-2D4F-93B1-1C7FF9A4BD8E}">
  <dimension ref="A1:J4"/>
  <sheetViews>
    <sheetView workbookViewId="0">
      <selection activeCell="J9" sqref="J9"/>
    </sheetView>
  </sheetViews>
  <sheetFormatPr baseColWidth="10" defaultRowHeight="13"/>
  <cols>
    <col min="2" max="2" width="16.5" customWidth="1"/>
    <col min="3" max="3" width="17.33203125" customWidth="1"/>
  </cols>
  <sheetData>
    <row r="1" spans="1:10">
      <c r="A1" s="41" t="s">
        <v>161</v>
      </c>
      <c r="B1" t="s">
        <v>160</v>
      </c>
      <c r="C1" t="s">
        <v>165</v>
      </c>
      <c r="D1" t="s">
        <v>176</v>
      </c>
      <c r="E1" t="s">
        <v>192</v>
      </c>
      <c r="F1" t="s">
        <v>166</v>
      </c>
      <c r="G1" t="s">
        <v>172</v>
      </c>
      <c r="H1" t="s">
        <v>154</v>
      </c>
      <c r="I1" t="s">
        <v>189</v>
      </c>
      <c r="J1" t="s">
        <v>155</v>
      </c>
    </row>
    <row r="2" spans="1:10">
      <c r="A2" s="41" t="s">
        <v>162</v>
      </c>
      <c r="B2" s="38">
        <v>0.1</v>
      </c>
      <c r="C2" s="38">
        <v>0.08</v>
      </c>
      <c r="D2" s="38">
        <v>0.4</v>
      </c>
      <c r="E2" s="38">
        <v>7.4999999999999997E-2</v>
      </c>
      <c r="F2" s="38">
        <v>0.2</v>
      </c>
      <c r="G2" s="38">
        <v>0.56000000000000005</v>
      </c>
      <c r="H2" s="38">
        <v>-1.4999999999999999E-2</v>
      </c>
      <c r="I2" s="38">
        <v>0.15</v>
      </c>
      <c r="J2" s="38">
        <v>0.1</v>
      </c>
    </row>
    <row r="3" spans="1:10">
      <c r="A3" s="41" t="s">
        <v>163</v>
      </c>
      <c r="B3" s="38">
        <v>0.12</v>
      </c>
      <c r="C3" s="38">
        <v>0.1</v>
      </c>
      <c r="D3" s="38">
        <v>0.37</v>
      </c>
      <c r="E3" s="38">
        <v>7.0000000000000007E-2</v>
      </c>
      <c r="F3" s="38">
        <v>0.185</v>
      </c>
      <c r="G3" s="38">
        <v>0.54</v>
      </c>
      <c r="H3" s="38">
        <v>-1.2E-2</v>
      </c>
      <c r="I3" s="38">
        <v>0.12</v>
      </c>
      <c r="J3" s="38">
        <v>0.12</v>
      </c>
    </row>
    <row r="4" spans="1:10">
      <c r="A4" s="41" t="s">
        <v>164</v>
      </c>
      <c r="B4" s="38">
        <v>7.0000000000000007E-2</v>
      </c>
      <c r="C4" s="38">
        <v>0.06</v>
      </c>
      <c r="D4" s="38">
        <v>0.45</v>
      </c>
      <c r="E4" s="38">
        <v>0.08</v>
      </c>
      <c r="F4" s="38">
        <v>0.215</v>
      </c>
      <c r="G4" s="38">
        <v>0.57999999999999996</v>
      </c>
      <c r="H4" s="38">
        <v>-0.02</v>
      </c>
      <c r="I4" s="38">
        <v>0.18</v>
      </c>
      <c r="J4" s="38">
        <v>0.08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310-BC01-A24B-A364-C21F3FE6327B}">
  <dimension ref="A1:J7"/>
  <sheetViews>
    <sheetView workbookViewId="0">
      <selection activeCell="J1" sqref="J1:J1048576"/>
    </sheetView>
  </sheetViews>
  <sheetFormatPr baseColWidth="10" defaultRowHeight="13"/>
  <cols>
    <col min="4" max="4" width="19.6640625" customWidth="1"/>
  </cols>
  <sheetData>
    <row r="1" spans="1:10">
      <c r="A1" t="s">
        <v>147</v>
      </c>
      <c r="B1" t="s">
        <v>148</v>
      </c>
      <c r="C1" t="s">
        <v>172</v>
      </c>
      <c r="D1" t="s">
        <v>194</v>
      </c>
      <c r="E1" t="s">
        <v>195</v>
      </c>
      <c r="F1" t="s">
        <v>196</v>
      </c>
      <c r="G1" t="s">
        <v>154</v>
      </c>
      <c r="H1" t="s">
        <v>197</v>
      </c>
      <c r="I1" t="s">
        <v>47</v>
      </c>
      <c r="J1" t="s">
        <v>155</v>
      </c>
    </row>
    <row r="2" spans="1:10">
      <c r="A2">
        <v>2025</v>
      </c>
      <c r="B2" s="37">
        <f>Opex!H5</f>
        <v>41598.342920000003</v>
      </c>
      <c r="C2" s="37">
        <f>Opex!H7</f>
        <v>24127.038893600002</v>
      </c>
      <c r="D2" s="37">
        <f>Opex!H12</f>
        <v>18719.254314000002</v>
      </c>
      <c r="E2" s="37">
        <f>Opex!H14</f>
        <v>3327.8674336000004</v>
      </c>
      <c r="F2" s="37">
        <f>Opex!H16</f>
        <v>8943.6437278000012</v>
      </c>
      <c r="G2" s="39">
        <f>Opex!H18</f>
        <v>-831.96685840000009</v>
      </c>
      <c r="H2" s="39">
        <f>Opex!H25</f>
        <v>319.69600000000003</v>
      </c>
      <c r="I2" s="37">
        <f>Opex!H20</f>
        <v>5199.7928649999994</v>
      </c>
      <c r="J2" s="37">
        <f>Opex!H23</f>
        <v>3327.8674336000004</v>
      </c>
    </row>
    <row r="3" spans="1:10">
      <c r="A3">
        <f>A2+1</f>
        <v>2026</v>
      </c>
      <c r="B3" s="37">
        <f>Opex!I5</f>
        <v>44510.226924400005</v>
      </c>
      <c r="C3" s="37">
        <f>Opex!I7</f>
        <v>25815.931616152</v>
      </c>
      <c r="D3" s="37">
        <f>Opex!I12</f>
        <v>20029.602115980004</v>
      </c>
      <c r="E3" s="37">
        <f>Opex!I14</f>
        <v>3560.8181539520006</v>
      </c>
      <c r="F3" s="37">
        <f>Opex!I16</f>
        <v>9569.6987887460018</v>
      </c>
      <c r="G3" s="39">
        <f>Opex!I18</f>
        <v>-890.20453848800014</v>
      </c>
      <c r="H3" s="39">
        <f>Opex!I25</f>
        <v>338.87776000000002</v>
      </c>
      <c r="I3" s="37">
        <f>Opex!I20</f>
        <v>5563.7783655500025</v>
      </c>
      <c r="J3" s="37">
        <f>Opex!I23</f>
        <v>3560.8181539520006</v>
      </c>
    </row>
    <row r="4" spans="1:10">
      <c r="A4">
        <f t="shared" ref="A4:A6" si="0">A3+1</f>
        <v>2027</v>
      </c>
      <c r="B4" s="37">
        <f>Opex!J5</f>
        <v>47625.942809108012</v>
      </c>
      <c r="C4" s="37">
        <f>Opex!J7</f>
        <v>27623.046829282644</v>
      </c>
      <c r="D4" s="37">
        <f>Opex!J12</f>
        <v>21431.674264098605</v>
      </c>
      <c r="E4" s="37">
        <f>Opex!J14</f>
        <v>3810.0754247286409</v>
      </c>
      <c r="F4" s="37">
        <f>Opex!J16</f>
        <v>10239.577703958223</v>
      </c>
      <c r="G4" s="39">
        <f>Opex!J18</f>
        <v>-952.51885618216022</v>
      </c>
      <c r="H4" s="39">
        <f>Opex!J25</f>
        <v>359.21042560000006</v>
      </c>
      <c r="I4" s="37">
        <f>Opex!J20</f>
        <v>5953.2428511385042</v>
      </c>
      <c r="J4" s="37">
        <f>Opex!J23</f>
        <v>3810.0754247286409</v>
      </c>
    </row>
    <row r="5" spans="1:10">
      <c r="A5">
        <f t="shared" si="0"/>
        <v>2028</v>
      </c>
      <c r="B5" s="37">
        <f>Opex!K5</f>
        <v>50959.758805745572</v>
      </c>
      <c r="C5" s="37">
        <f>Opex!K7</f>
        <v>29556.660107332431</v>
      </c>
      <c r="D5" s="37">
        <f>Opex!K12</f>
        <v>22931.891462585507</v>
      </c>
      <c r="E5" s="37">
        <f>Opex!K14</f>
        <v>4076.7807044596457</v>
      </c>
      <c r="F5" s="37">
        <f>Opex!K16</f>
        <v>10956.348143235298</v>
      </c>
      <c r="G5" s="39">
        <f>Opex!K18</f>
        <v>-1019.1951761149114</v>
      </c>
      <c r="H5" s="39">
        <f>Opex!K25</f>
        <v>380.76305113600012</v>
      </c>
      <c r="I5" s="37">
        <f>Opex!K20</f>
        <v>6369.9698507181984</v>
      </c>
      <c r="J5" s="37">
        <f>Opex!K23</f>
        <v>4076.7807044596457</v>
      </c>
    </row>
    <row r="6" spans="1:10">
      <c r="A6">
        <f t="shared" si="0"/>
        <v>2029</v>
      </c>
      <c r="B6" s="37">
        <f>Opex!L5</f>
        <v>54526.941922147766</v>
      </c>
      <c r="C6" s="37">
        <f>Opex!L7</f>
        <v>31625.6263148457</v>
      </c>
      <c r="D6" s="37">
        <f>Opex!L12</f>
        <v>24537.123864966496</v>
      </c>
      <c r="E6" s="37">
        <f>Opex!L14</f>
        <v>4362.155353771821</v>
      </c>
      <c r="F6" s="37">
        <f>Opex!L16</f>
        <v>11723.292513261769</v>
      </c>
      <c r="G6" s="39">
        <f>Opex!L18</f>
        <v>-1090.5388384429552</v>
      </c>
      <c r="H6" s="39">
        <f>Opex!L25</f>
        <v>403.60883420416013</v>
      </c>
      <c r="I6" s="37">
        <f>Opex!L20</f>
        <v>6815.8677402684752</v>
      </c>
      <c r="J6" s="37">
        <f>Opex!L23</f>
        <v>4362.155353771821</v>
      </c>
    </row>
    <row r="7" spans="1:10">
      <c r="A7">
        <f>A6+1</f>
        <v>2030</v>
      </c>
      <c r="B7" s="37">
        <f>Opex!M5</f>
        <v>58343.82785669811</v>
      </c>
      <c r="C7" s="37">
        <f>Opex!M7</f>
        <v>33839.420156884902</v>
      </c>
      <c r="D7" s="37">
        <f>Opex!M12</f>
        <v>26254.722535514149</v>
      </c>
      <c r="E7" s="37">
        <f>Opex!M14</f>
        <v>4667.506228535849</v>
      </c>
      <c r="F7" s="37">
        <f>Opex!M16</f>
        <v>12543.922989190094</v>
      </c>
      <c r="G7" s="39">
        <f>Opex!M18</f>
        <v>-1166.8765571339623</v>
      </c>
      <c r="H7" s="39">
        <f>Opex!M25</f>
        <v>427.82536425640978</v>
      </c>
      <c r="I7" s="37">
        <f>Opex!M20</f>
        <v>7292.9784820872628</v>
      </c>
      <c r="J7" s="37">
        <f>Opex!M23</f>
        <v>4667.506228535849</v>
      </c>
    </row>
  </sheetData>
  <dataValidations count="1">
    <dataValidation type="list" allowBlank="1" showInputMessage="1" showErrorMessage="1" sqref="K2" xr:uid="{DC938EB6-53E8-7C45-A814-D678404479D4}">
      <formula1>"Base, Bull, Bear"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</vt:lpstr>
      <vt:lpstr>BS</vt:lpstr>
      <vt:lpstr>CFS</vt:lpstr>
      <vt:lpstr>Project Goal</vt:lpstr>
      <vt:lpstr>Opex</vt:lpstr>
      <vt:lpstr>Scenario Table</vt:lpstr>
      <vt:lpstr>Chart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Ngan Tuyet Phan</cp:lastModifiedBy>
  <dcterms:created xsi:type="dcterms:W3CDTF">2025-05-04T05:47:08Z</dcterms:created>
  <dcterms:modified xsi:type="dcterms:W3CDTF">2025-06-05T09:01:55Z</dcterms:modified>
  <cp:category/>
</cp:coreProperties>
</file>