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56842F8-3CB9-49AD-B81F-D87391DAEE95}" xr6:coauthVersionLast="45" xr6:coauthVersionMax="45" xr10:uidLastSave="{00000000-0000-0000-0000-000000000000}"/>
  <bookViews>
    <workbookView xWindow="2640" yWindow="2640" windowWidth="15375" windowHeight="8325" tabRatio="924" xr2:uid="{00000000-000D-0000-FFFF-FFFF00000000}"/>
    <workbookView xWindow="-120" yWindow="-120" windowWidth="20730" windowHeight="11760" activeTab="8" xr2:uid="{D94FEF53-5665-447A-A54A-4560CFA21601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  <sheet name="时间序列" sheetId="8" r:id="rId7"/>
    <sheet name="统计假设检验" sheetId="9" r:id="rId8"/>
    <sheet name="统计假设检验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0" l="1"/>
  <c r="D31" i="10"/>
  <c r="G28" i="10"/>
  <c r="G27" i="10"/>
  <c r="G21" i="10"/>
  <c r="I21" i="10" s="1"/>
  <c r="G22" i="10"/>
  <c r="I22" i="10" s="1"/>
  <c r="G23" i="10"/>
  <c r="I23" i="10" s="1"/>
  <c r="G24" i="10"/>
  <c r="G25" i="10"/>
  <c r="G26" i="10"/>
  <c r="I28" i="10"/>
  <c r="G20" i="10"/>
  <c r="I20" i="10" s="1"/>
  <c r="I27" i="10"/>
  <c r="I24" i="10"/>
  <c r="I25" i="10"/>
  <c r="I26" i="10"/>
  <c r="H21" i="10"/>
  <c r="H22" i="10"/>
  <c r="H23" i="10"/>
  <c r="H24" i="10"/>
  <c r="H25" i="10"/>
  <c r="H26" i="10"/>
  <c r="H27" i="10"/>
  <c r="H28" i="10"/>
  <c r="H20" i="10"/>
  <c r="F21" i="10"/>
  <c r="F22" i="10"/>
  <c r="F23" i="10"/>
  <c r="F24" i="10"/>
  <c r="F25" i="10"/>
  <c r="F26" i="10"/>
  <c r="F27" i="10"/>
  <c r="F28" i="10"/>
  <c r="F20" i="10"/>
  <c r="E29" i="10"/>
  <c r="D29" i="10"/>
  <c r="E21" i="10"/>
  <c r="E22" i="10"/>
  <c r="E23" i="10"/>
  <c r="E24" i="10"/>
  <c r="E25" i="10"/>
  <c r="E26" i="10"/>
  <c r="E27" i="10"/>
  <c r="E28" i="10"/>
  <c r="E20" i="10"/>
  <c r="D21" i="10"/>
  <c r="D22" i="10"/>
  <c r="D23" i="10"/>
  <c r="D24" i="10"/>
  <c r="D25" i="10"/>
  <c r="D26" i="10"/>
  <c r="D27" i="10"/>
  <c r="D28" i="10"/>
  <c r="D20" i="10"/>
  <c r="D17" i="10"/>
  <c r="D16" i="10"/>
  <c r="J6" i="10"/>
  <c r="J7" i="10"/>
  <c r="J8" i="10"/>
  <c r="J9" i="10"/>
  <c r="J10" i="10"/>
  <c r="J11" i="10"/>
  <c r="J12" i="10"/>
  <c r="J13" i="10"/>
  <c r="J5" i="10"/>
  <c r="I6" i="10"/>
  <c r="I7" i="10"/>
  <c r="I8" i="10"/>
  <c r="I9" i="10"/>
  <c r="I10" i="10"/>
  <c r="I11" i="10"/>
  <c r="I12" i="10"/>
  <c r="I13" i="10"/>
  <c r="I5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H5" i="10"/>
  <c r="G6" i="10" s="1"/>
  <c r="G5" i="10"/>
  <c r="D11" i="10"/>
  <c r="D10" i="10"/>
  <c r="D9" i="10"/>
  <c r="D8" i="10"/>
  <c r="D7" i="10"/>
  <c r="D6" i="10"/>
  <c r="D5" i="10"/>
  <c r="D4" i="10"/>
  <c r="C79" i="9" l="1"/>
  <c r="D79" i="9"/>
  <c r="E79" i="9"/>
  <c r="F79" i="9"/>
  <c r="B79" i="9"/>
  <c r="G78" i="9"/>
  <c r="C83" i="9"/>
  <c r="C82" i="9"/>
  <c r="B83" i="9"/>
  <c r="B82" i="9"/>
  <c r="H79" i="9"/>
  <c r="H78" i="9"/>
  <c r="C78" i="9"/>
  <c r="D78" i="9"/>
  <c r="E78" i="9"/>
  <c r="F78" i="9"/>
  <c r="B78" i="9"/>
  <c r="B60" i="9"/>
  <c r="B59" i="9"/>
  <c r="B57" i="9"/>
  <c r="B55" i="9"/>
  <c r="D53" i="9"/>
  <c r="D52" i="9"/>
  <c r="C53" i="9"/>
  <c r="C52" i="9"/>
  <c r="B53" i="9"/>
  <c r="B52" i="9"/>
  <c r="G79" i="9" l="1"/>
  <c r="C39" i="9" l="1"/>
  <c r="C37" i="9"/>
  <c r="C40" i="9"/>
  <c r="C35" i="9"/>
  <c r="C32" i="9"/>
  <c r="C33" i="9"/>
  <c r="D33" i="9"/>
  <c r="D32" i="9"/>
  <c r="E33" i="9"/>
  <c r="E32" i="9"/>
  <c r="G9" i="9" l="1"/>
  <c r="F9" i="9"/>
  <c r="G8" i="9"/>
  <c r="F8" i="9"/>
  <c r="G3" i="9"/>
  <c r="G15" i="9" s="1"/>
  <c r="F3" i="9"/>
  <c r="F15" i="9" s="1"/>
  <c r="F17" i="9" l="1"/>
  <c r="G12" i="9"/>
  <c r="F12" i="9"/>
  <c r="H30" i="8" l="1"/>
  <c r="H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2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B29" i="4" l="1"/>
  <c r="A24" i="4"/>
  <c r="B28" i="4"/>
  <c r="C41" i="4"/>
  <c r="B31" i="4"/>
  <c r="F42" i="7" l="1"/>
  <c r="F43" i="7" s="1"/>
  <c r="F44" i="7" s="1"/>
  <c r="F45" i="7" s="1"/>
  <c r="F46" i="7" s="1"/>
  <c r="F47" i="7" s="1"/>
  <c r="F48" i="7" s="1"/>
  <c r="F49" i="7" s="1"/>
  <c r="F50" i="7" s="1"/>
  <c r="F51" i="7" s="1"/>
  <c r="E42" i="7"/>
  <c r="E43" i="7" s="1"/>
  <c r="E44" i="7" s="1"/>
  <c r="E45" i="7" s="1"/>
  <c r="E46" i="7" s="1"/>
  <c r="E47" i="7" s="1"/>
  <c r="E48" i="7" s="1"/>
  <c r="E49" i="7" s="1"/>
  <c r="E50" i="7" s="1"/>
  <c r="E51" i="7" s="1"/>
  <c r="E30" i="7"/>
  <c r="E31" i="7" s="1"/>
  <c r="E32" i="7" s="1"/>
  <c r="E33" i="7" s="1"/>
  <c r="E34" i="7" s="1"/>
  <c r="E35" i="7" s="1"/>
  <c r="E36" i="7" s="1"/>
  <c r="E37" i="7" s="1"/>
  <c r="E38" i="7" s="1"/>
  <c r="F29" i="7"/>
  <c r="F30" i="7" s="1"/>
  <c r="F31" i="7" s="1"/>
  <c r="F32" i="7" s="1"/>
  <c r="F33" i="7" s="1"/>
  <c r="F34" i="7" s="1"/>
  <c r="F35" i="7" s="1"/>
  <c r="F36" i="7" s="1"/>
  <c r="F37" i="7" s="1"/>
  <c r="F38" i="7" s="1"/>
  <c r="E29" i="7"/>
  <c r="F41" i="7"/>
  <c r="E41" i="7"/>
  <c r="F28" i="7"/>
  <c r="E28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B11" i="7"/>
  <c r="B9" i="7"/>
  <c r="M3" i="7"/>
  <c r="M4" i="7"/>
  <c r="M5" i="7"/>
  <c r="M2" i="7"/>
  <c r="K20" i="6" l="1"/>
  <c r="L18" i="6"/>
  <c r="M18" i="6"/>
  <c r="N18" i="6"/>
  <c r="O18" i="6"/>
  <c r="K18" i="6"/>
  <c r="AM24" i="5" l="1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C37" i="4" l="1"/>
  <c r="D37" i="4"/>
  <c r="E37" i="4"/>
  <c r="F37" i="4"/>
  <c r="G37" i="4"/>
  <c r="H37" i="4"/>
  <c r="I37" i="4"/>
  <c r="J37" i="4"/>
  <c r="K37" i="4"/>
  <c r="B37" i="4"/>
  <c r="A41" i="4" s="1"/>
  <c r="I41" i="4" s="1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<sst xmlns="http://schemas.openxmlformats.org/spreadsheetml/2006/main" count="537" uniqueCount="246">
  <si>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</si>
  <si>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</si>
  <si>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</si>
  <si>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</si>
  <si>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</si>
  <si>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</si>
  <si>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</si>
  <si>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</si>
  <si>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</si>
  <si>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</si>
  <si>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</si>
  <si>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</si>
  <si>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</si>
  <si>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</si>
  <si>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</si>
  <si>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</si>
  <si>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</si>
  <si>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</si>
  <si>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</si>
  <si>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</si>
  <si>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</si>
  <si>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</si>
  <si>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</si>
  <si>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</si>
  <si>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</si>
  <si>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</si>
  <si>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</si>
  <si>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</si>
  <si>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</si>
  <si>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</si>
  <si>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</si>
  <si>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</si>
  <si>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</si>
  <si>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</si>
  <si>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</si>
  <si>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</si>
  <si>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</si>
  <si>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</si>
  <si>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</si>
  <si>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</si>
  <si>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</si>
  <si>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</si>
  <si>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</si>
  <si>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</si>
  <si>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</si>
  <si>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</si>
  <si>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</si>
  <si>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</si>
  <si>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</si>
  <si>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</si>
  <si>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</si>
  <si>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</si>
  <si>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</si>
  <si>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</si>
  <si>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</si>
  <si>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</si>
  <si>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</si>
  <si>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</si>
  <si>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</si>
  <si>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</si>
  <si>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</si>
  <si>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</si>
  <si>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</si>
  <si>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</si>
  <si>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</si>
  <si>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</si>
  <si>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</si>
  <si>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</si>
  <si>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</si>
  <si>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</si>
  <si>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</si>
  <si>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</si>
  <si>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</si>
  <si>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</si>
  <si>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</si>
  <si>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</si>
  <si>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</si>
  <si>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</si>
  <si>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</si>
  <si>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</si>
  <si>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</si>
  <si>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</si>
  <si>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</si>
  <si>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</si>
  <si>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</si>
  <si>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</si>
  <si>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</si>
  <si>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</si>
  <si>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</si>
  <si>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</si>
  <si>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</si>
  <si>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</si>
  <si>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</si>
  <si>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</si>
  <si>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</si>
  <si>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</si>
  <si>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</si>
  <si>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</si>
  <si>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</si>
  <si>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</si>
  <si>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</si>
  <si>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</si>
  <si>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</si>
  <si>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</si>
  <si>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</si>
  <si>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</si>
  <si>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</si>
  <si>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</si>
  <si>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</si>
  <si>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</si>
  <si>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</si>
  <si>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</si>
  <si>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</si>
  <si>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</si>
  <si>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</si>
  <si>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</si>
  <si>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</si>
  <si>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</si>
  <si>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</si>
  <si>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</si>
  <si>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</si>
  <si>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</si>
  <si>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</si>
  <si>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</si>
  <si>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</si>
  <si>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</si>
  <si>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</si>
  <si>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</si>
  <si>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</si>
  <si>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</si>
  <si>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</si>
  <si>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</si>
  <si>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</si>
  <si>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</si>
  <si>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</si>
  <si>
    <t>流量（立方米/秒）</t>
  </si>
  <si>
    <t>滑动平均（三年）</t>
    <phoneticPr fontId="1" type="noConversion"/>
  </si>
  <si>
    <t>滑动平均（五年）</t>
    <phoneticPr fontId="1" type="noConversion"/>
  </si>
  <si>
    <t>距平</t>
    <phoneticPr fontId="1" type="noConversion"/>
  </si>
  <si>
    <t>GDP</t>
  </si>
  <si>
    <t>人口</t>
  </si>
  <si>
    <t>上海</t>
    <phoneticPr fontId="1" type="noConversion"/>
  </si>
  <si>
    <t>北京</t>
    <phoneticPr fontId="1" type="noConversion"/>
  </si>
  <si>
    <t>两个区域方差的比较</t>
    <phoneticPr fontId="1" type="noConversion"/>
  </si>
  <si>
    <t>2.计算方差</t>
    <phoneticPr fontId="1" type="noConversion"/>
  </si>
  <si>
    <t>GDP</t>
    <phoneticPr fontId="1" type="noConversion"/>
  </si>
  <si>
    <t>人口</t>
    <phoneticPr fontId="1" type="noConversion"/>
  </si>
  <si>
    <t>方差</t>
    <phoneticPr fontId="1" type="noConversion"/>
  </si>
  <si>
    <t>3.计算F值</t>
    <phoneticPr fontId="1" type="noConversion"/>
  </si>
  <si>
    <t>1.原假设：</t>
    <phoneticPr fontId="1" type="noConversion"/>
  </si>
  <si>
    <t>F</t>
    <phoneticPr fontId="1" type="noConversion"/>
  </si>
  <si>
    <t>4.查F分布表</t>
    <phoneticPr fontId="1" type="noConversion"/>
  </si>
  <si>
    <t>自由度</t>
    <phoneticPr fontId="1" type="noConversion"/>
  </si>
  <si>
    <t>置信度</t>
    <phoneticPr fontId="1" type="noConversion"/>
  </si>
  <si>
    <t>（自由度=样品数-1）</t>
    <phoneticPr fontId="1" type="noConversion"/>
  </si>
  <si>
    <t>F临界值</t>
    <phoneticPr fontId="1" type="noConversion"/>
  </si>
  <si>
    <t>（双侧检验）</t>
    <phoneticPr fontId="1" type="noConversion"/>
  </si>
  <si>
    <t>5.比较F值与F临界值</t>
    <phoneticPr fontId="1" type="noConversion"/>
  </si>
  <si>
    <t>F&lt;F临界值</t>
    <phoneticPr fontId="1" type="noConversion"/>
  </si>
  <si>
    <t>假设北京和上海的GPD及人口的变化没有显著差异</t>
    <phoneticPr fontId="1" type="noConversion"/>
  </si>
  <si>
    <t>接受原假设，北京和上海的GPD的变化无显著差异</t>
    <phoneticPr fontId="1" type="noConversion"/>
  </si>
  <si>
    <t>接受原假设，北京和上海的人口的变化无显著差异</t>
    <phoneticPr fontId="1" type="noConversion"/>
  </si>
  <si>
    <t>河段</t>
  </si>
  <si>
    <t>河段S</t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</si>
  <si>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</si>
  <si>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</si>
  <si>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</si>
  <si>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</si>
  <si>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</si>
  <si>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</si>
  <si>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</si>
  <si>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</si>
  <si>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</si>
  <si>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习题：为判别飞云江河两个河段的泥沙颗粒组成有无显著不同，分别在两段的几个点进行采样分析，试根据分析资料确定是否差异显著。</t>
    <phoneticPr fontId="1" type="noConversion"/>
  </si>
  <si>
    <t>河段T</t>
    <phoneticPr fontId="1" type="noConversion"/>
  </si>
  <si>
    <t>1.原假设</t>
    <phoneticPr fontId="1" type="noConversion"/>
  </si>
  <si>
    <t>飞云江河两个河段的泥沙颗粒组成无显著不同</t>
    <phoneticPr fontId="1" type="noConversion"/>
  </si>
  <si>
    <t>u检验法</t>
    <phoneticPr fontId="1" type="noConversion"/>
  </si>
  <si>
    <t>河段S</t>
    <phoneticPr fontId="1" type="noConversion"/>
  </si>
  <si>
    <t>2.计算样品数、均值和方差</t>
    <phoneticPr fontId="1" type="noConversion"/>
  </si>
  <si>
    <t>3.计算t统计量</t>
    <phoneticPr fontId="1" type="noConversion"/>
  </si>
  <si>
    <t>t</t>
    <phoneticPr fontId="1" type="noConversion"/>
  </si>
  <si>
    <t>|t|</t>
    <phoneticPr fontId="1" type="noConversion"/>
  </si>
  <si>
    <t>4.查找t分布表并比较临界值</t>
    <phoneticPr fontId="1" type="noConversion"/>
  </si>
  <si>
    <t>t0 临界值</t>
    <phoneticPr fontId="1" type="noConversion"/>
  </si>
  <si>
    <t>|t|&gt;t0</t>
    <phoneticPr fontId="1" type="noConversion"/>
  </si>
  <si>
    <t>拒绝原假设，飞云江河两个河段的泥沙颗粒组成有显著差异</t>
    <phoneticPr fontId="1" type="noConversion"/>
  </si>
  <si>
    <t>某地区一年内10次人工降雨试验，得到作业区与对照区降雨量表，问人工降雨效果是否显著？</t>
  </si>
  <si>
    <t>序号</t>
  </si>
  <si>
    <t>作业区雨量</t>
  </si>
  <si>
    <t>对照区雨量</t>
  </si>
  <si>
    <t>1.提取原假设</t>
    <phoneticPr fontId="1" type="noConversion"/>
  </si>
  <si>
    <t>假设人工降雨效果不显著</t>
    <phoneticPr fontId="1" type="noConversion"/>
  </si>
  <si>
    <t>2.计算统计量</t>
    <phoneticPr fontId="1" type="noConversion"/>
  </si>
  <si>
    <t>作业区雨量</t>
    <phoneticPr fontId="1" type="noConversion"/>
  </si>
  <si>
    <t>对照区雨量</t>
    <phoneticPr fontId="1" type="noConversion"/>
  </si>
  <si>
    <t>平均值</t>
    <phoneticPr fontId="1" type="noConversion"/>
  </si>
  <si>
    <t>t统计量</t>
    <phoneticPr fontId="1" type="noConversion"/>
  </si>
  <si>
    <t>3.验证统计量</t>
    <phoneticPr fontId="1" type="noConversion"/>
  </si>
  <si>
    <t>拒绝原假设，人工降雨效果显著</t>
    <phoneticPr fontId="1" type="noConversion"/>
  </si>
  <si>
    <t>1983年农业产值结构</t>
  </si>
  <si>
    <t>种植业</t>
  </si>
  <si>
    <t>林业</t>
  </si>
  <si>
    <t>牧业</t>
  </si>
  <si>
    <t>副业</t>
  </si>
  <si>
    <t>渔业</t>
  </si>
  <si>
    <t>全市</t>
  </si>
  <si>
    <t>A县</t>
  </si>
  <si>
    <t>B县</t>
  </si>
  <si>
    <t>分别检验两个县的农业产值结构同全市的农业产值是否显著差异</t>
  </si>
  <si>
    <t>1.提出原假设</t>
    <phoneticPr fontId="1" type="noConversion"/>
  </si>
  <si>
    <t>假设1：A县的农业产值结构同全市的农业产值无显著差异</t>
    <phoneticPr fontId="1" type="noConversion"/>
  </si>
  <si>
    <t>假设2：B县的农业产值结果同全市的农业产值无显著差异</t>
    <phoneticPr fontId="1" type="noConversion"/>
  </si>
  <si>
    <t>适应性检验</t>
    <phoneticPr fontId="1" type="noConversion"/>
  </si>
  <si>
    <t>全市数据为理论次数，A县数据和B县数据为观测次数</t>
    <phoneticPr fontId="1" type="noConversion"/>
  </si>
  <si>
    <t>A县</t>
    <phoneticPr fontId="1" type="noConversion"/>
  </si>
  <si>
    <t>B县</t>
    <phoneticPr fontId="1" type="noConversion"/>
  </si>
  <si>
    <t>农业</t>
    <phoneticPr fontId="1" type="noConversion"/>
  </si>
  <si>
    <t>种植业</t>
    <phoneticPr fontId="1" type="noConversion"/>
  </si>
  <si>
    <t>牧业</t>
    <phoneticPr fontId="1" type="noConversion"/>
  </si>
  <si>
    <t>副业</t>
    <phoneticPr fontId="1" type="noConversion"/>
  </si>
  <si>
    <t>渔业</t>
    <phoneticPr fontId="1" type="noConversion"/>
  </si>
  <si>
    <t>X²</t>
    <phoneticPr fontId="1" type="noConversion"/>
  </si>
  <si>
    <t>X²临界值</t>
    <phoneticPr fontId="1" type="noConversion"/>
  </si>
  <si>
    <t>比较</t>
    <phoneticPr fontId="1" type="noConversion"/>
  </si>
  <si>
    <t>X²&gt;X²临界值，拒绝原假设，B县的农业产值结构同全市的农业产值差异显著</t>
    <phoneticPr fontId="1" type="noConversion"/>
  </si>
  <si>
    <t>X²&lt;X²临界值，接收原假设，A县的农业产值结构同全市的农业产值无显著差异</t>
    <phoneticPr fontId="1" type="noConversion"/>
  </si>
  <si>
    <t>降水资料</t>
  </si>
  <si>
    <t>假设该降水资料数据服从正太分布</t>
    <phoneticPr fontId="1" type="noConversion"/>
  </si>
  <si>
    <t>2.数据分组</t>
    <phoneticPr fontId="1" type="noConversion"/>
  </si>
  <si>
    <t>全距</t>
    <phoneticPr fontId="1" type="noConversion"/>
  </si>
  <si>
    <t>假设组数</t>
    <phoneticPr fontId="1" type="noConversion"/>
  </si>
  <si>
    <t>组距</t>
    <phoneticPr fontId="1" type="noConversion"/>
  </si>
  <si>
    <t>确定组数</t>
    <phoneticPr fontId="1" type="noConversion"/>
  </si>
  <si>
    <t>频率</t>
    <phoneticPr fontId="1" type="noConversion"/>
  </si>
  <si>
    <t>3.计算统计量</t>
    <phoneticPr fontId="1" type="noConversion"/>
  </si>
  <si>
    <t>标准差</t>
    <phoneticPr fontId="1" type="noConversion"/>
  </si>
  <si>
    <t>平均数</t>
    <phoneticPr fontId="1" type="noConversion"/>
  </si>
  <si>
    <t>u值</t>
    <phoneticPr fontId="1" type="noConversion"/>
  </si>
  <si>
    <t>正太分布表φ(u)</t>
    <phoneticPr fontId="1" type="noConversion"/>
  </si>
  <si>
    <t>nφ(u)</t>
    <phoneticPr fontId="1" type="noConversion"/>
  </si>
  <si>
    <t>理论次数</t>
    <phoneticPr fontId="1" type="noConversion"/>
  </si>
  <si>
    <t>实际次数</t>
    <phoneticPr fontId="1" type="noConversion"/>
  </si>
  <si>
    <t>(理论-实际)²/实际</t>
    <phoneticPr fontId="1" type="noConversion"/>
  </si>
  <si>
    <t>4.验证</t>
    <phoneticPr fontId="1" type="noConversion"/>
  </si>
  <si>
    <t>X²&lt;X²临界值，接收原假设，该降水数据服从正太分布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</si>
</sst>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  <xf numFmtId="0" fontId="0" fillId="2" borderId="1" xfId="0" applyFill="1" applyBorder="1"/>
    <xf numFmtId="0" fontId="0" fillId="2" borderId="5" xfId="0" applyFill="1" applyBorder="1"/>
    <xf numFmtId="0" fontId="3" fillId="0" borderId="5" xfId="0" applyFont="1" applyBorder="1"/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3" fillId="4" borderId="5" xfId="0" applyFont="1" applyFill="1" applyBorder="1"/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时间序列!$A$2:$A$30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时间序列!$B$2:$B$30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469-96B7-493A83F0F80F}"/>
            </c:ext>
          </c:extLst>
        </c:ser>
        <c:ser>
          <c:idx val="1"/>
          <c:order val="1"/>
          <c:tx>
            <c:v>三年滑动平均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时间序列!$D$2:$D$28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469-96B7-493A83F0F80F}"/>
            </c:ext>
          </c:extLst>
        </c:ser>
        <c:ser>
          <c:idx val="2"/>
          <c:order val="2"/>
          <c:tx>
            <c:v>五年滑动平均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时间序列!$F$2:$F$26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B-4469-96B7-493A83F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59376"/>
        <c:axId val="57153104"/>
      </c:lineChart>
      <c:catAx>
        <c:axId val="2084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3104"/>
        <c:crosses val="autoZero"/>
        <c:auto val="1"/>
        <c:lblAlgn val="ctr"/>
        <c:lblOffset val="100"/>
        <c:noMultiLvlLbl val="0"/>
      </c:catAx>
      <c:valAx>
        <c:axId val="571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时间序列!$H$1</c:f>
              <c:strCache>
                <c:ptCount val="1"/>
                <c:pt idx="0">
                  <c:v>距平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时间序列!$H$2:$H$30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58-8BB1-C1FD955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2928"/>
        <c:axId val="57068240"/>
      </c:barChart>
      <c:catAx>
        <c:axId val="1388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240"/>
        <c:crosses val="autoZero"/>
        <c:auto val="1"/>
        <c:lblAlgn val="ctr"/>
        <c:lblOffset val="100"/>
        <c:noMultiLvlLbl val="0"/>
      </c:catAx>
      <c:valAx>
        <c:axId val="57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9526</xdr:rowOff>
    </xdr:from>
    <xdr:to>
      <xdr:col>6</xdr:col>
      <xdr:colOff>198359</xdr:colOff>
      <xdr:row>12</xdr:row>
      <xdr:rowOff>66675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313158" cy="2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0</xdr:row>
      <xdr:rowOff>85725</xdr:rowOff>
    </xdr:from>
    <xdr:to>
      <xdr:col>18</xdr:col>
      <xdr:colOff>361950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F86FE4-AB5B-4B9E-B75A-3676A353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23</xdr:row>
      <xdr:rowOff>47624</xdr:rowOff>
    </xdr:from>
    <xdr:to>
      <xdr:col>15</xdr:col>
      <xdr:colOff>14287</xdr:colOff>
      <xdr:row>35</xdr:row>
      <xdr:rowOff>157161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50385-32F6-4BD2-9CF9-D67D88DE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252412</xdr:colOff>
      <xdr:row>33</xdr:row>
      <xdr:rowOff>33337</xdr:rowOff>
    </xdr:from>
    <xdr:ext cx="2165529" cy="863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zh-CN" alt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zh-CN" alt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altLang="zh-CN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𝑡=(𝑥 ̅_1−𝑥 ̅_2)/(√((𝑛_1 𝑠_1^2+𝑛_2 𝑠_2^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zh-CN" altLang="en-US" sz="1400" i="0">
                  <a:latin typeface="Cambria Math" panose="02040503050406030204" pitchFamily="18" charset="0"/>
                </a:rPr>
                <a:t>)/(𝑛_1+𝑛_2−2)) √(1/𝑛_1 +1/𝑛_2 ))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7</xdr:col>
      <xdr:colOff>141840</xdr:colOff>
      <xdr:row>64</xdr:row>
      <xdr:rowOff>172899</xdr:rowOff>
    </xdr:from>
    <xdr:ext cx="2478371" cy="6036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478371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zh-CN" altLang="en-US" sz="1400" b="0" i="1">
                            <a:latin typeface="Cambria Math" panose="02040503050406030204" pitchFamily="18" charset="0"/>
                          </a:rPr>
                          <m:t>组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观测次数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-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理论次数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400" b="0" i="1">
                                <a:latin typeface="Cambria Math" panose="02040503050406030204" pitchFamily="18" charset="0"/>
                              </a:rPr>
                              <m:t>理论次数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478371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𝑋^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=∑8_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组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▒〖(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观测次数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-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)〗^2/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252411</xdr:colOff>
      <xdr:row>15</xdr:row>
      <xdr:rowOff>157162</xdr:rowOff>
    </xdr:from>
    <xdr:ext cx="3062289" cy="2625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2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altLang="zh-CN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zh-CN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𝑆</m:t>
                      </m:r>
                    </m:den>
                  </m:f>
                  <m:r>
                    <a:rPr lang="zh-CN" altLang="en-US" sz="1200" b="0" i="1">
                      <a:latin typeface="Cambria Math" panose="02040503050406030204" pitchFamily="18" charset="0"/>
                    </a:rPr>
                    <m:t>，</m:t>
                  </m:r>
                </m:oMath>
              </a14:m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𝑢=(𝑅_𝑖−𝑚)/𝑆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，</a:t>
              </a:r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tabSelected="1" topLeftCell="D1" workbookViewId="0">
      <selection activeCell="K6" sqref="K6"/>
    </sheetView>
    <sheetView workbookViewId="1"/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workbookViewId="0">
      <selection activeCell="D6" sqref="D6"/>
    </sheetView>
    <sheetView workbookViewId="1"/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workbookViewId="0">
      <selection activeCell="G24" sqref="G24"/>
    </sheetView>
    <sheetView workbookViewId="1"/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topLeftCell="A10" zoomScaleNormal="100" workbookViewId="0">
      <selection activeCell="A26" sqref="A26:B26"/>
    </sheetView>
    <sheetView workbookViewId="1"/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workbookViewId="0">
      <selection activeCell="H26" sqref="H26"/>
    </sheetView>
    <sheetView workbookViewId="1"/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 t="shared" ref="L18:O18" si="0">$I$18*C18+$I$19*C19+$I$20*C20+$I$21*C21+$I$22*C22</f>
        <v>612</v>
      </c>
      <c r="M18">
        <f t="shared" si="0"/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topLeftCell="C10" workbookViewId="0">
      <selection activeCell="P15" sqref="P15"/>
    </sheetView>
    <sheetView workbookViewId="1"/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 t="shared" ref="C9:L9" si="1">C2/C$5</f>
        <v>0.88636363636363624</v>
      </c>
      <c r="D9" s="9">
        <f t="shared" si="1"/>
        <v>1.2666666666666666</v>
      </c>
      <c r="E9" s="9">
        <f t="shared" si="1"/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 t="shared" si="2"/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7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</row>
    <row r="34" spans="1:7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</row>
    <row r="35" spans="1:7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</row>
    <row r="36" spans="1:7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7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7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7" x14ac:dyDescent="0.2">
      <c r="C39" s="5"/>
      <c r="D39" s="9"/>
      <c r="E39" s="9"/>
      <c r="F39" s="9"/>
      <c r="G39" s="6"/>
    </row>
    <row r="40" spans="1:7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</row>
    <row r="41" spans="1:7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</row>
    <row r="42" spans="1:7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</row>
    <row r="43" spans="1:7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</row>
    <row r="44" spans="1:7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</row>
    <row r="45" spans="1:7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</row>
    <row r="46" spans="1:7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</row>
    <row r="47" spans="1:7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</row>
    <row r="48" spans="1:7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</row>
    <row r="49" spans="1:7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</row>
    <row r="50" spans="1:7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</row>
    <row r="51" spans="1:7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xmlns:xlrd2="http://schemas.microsoft.com/office/spreadsheetml/2017/richdata2" ref="A41:F51">
    <sortCondition descending="1" ref="B4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100-A7AD-4B73-9AE9-8B165B717FBF}">
  <dimension ref="A1:H30"/>
  <sheetViews>
    <sheetView topLeftCell="A13" workbookViewId="0">
      <selection activeCell="D31" sqref="D31:F33"/>
    </sheetView>
    <sheetView workbookViewId="1"/>
  </sheetViews>
  <sheetFormatPr defaultRowHeight="14.25" x14ac:dyDescent="0.2"/>
  <cols>
    <col min="2" max="2" width="16.125" customWidth="1"/>
  </cols>
  <sheetData>
    <row r="1" spans="1:8" x14ac:dyDescent="0.2">
      <c r="A1" s="20" t="s">
        <v>54</v>
      </c>
      <c r="B1" s="20" t="s">
        <v>135</v>
      </c>
      <c r="D1" s="1" t="s">
        <v>136</v>
      </c>
      <c r="E1" s="7"/>
      <c r="F1" s="23" t="s">
        <v>137</v>
      </c>
      <c r="G1" s="7"/>
      <c r="H1" s="34" t="s">
        <v>138</v>
      </c>
    </row>
    <row r="2" spans="1:8" x14ac:dyDescent="0.2">
      <c r="A2" s="20">
        <v>1940</v>
      </c>
      <c r="B2" s="20">
        <v>9.8000000000000007</v>
      </c>
      <c r="D2" s="5">
        <f>AVERAGE(B2:B4)</f>
        <v>6.6000000000000005</v>
      </c>
      <c r="E2" s="9"/>
      <c r="F2" s="9">
        <f t="shared" ref="F2:F26" si="0">AVERAGE(B2:B6)</f>
        <v>6.08</v>
      </c>
      <c r="G2" s="9"/>
      <c r="H2" s="6">
        <f>B2-AVERAGE($B$2:$B$30)</f>
        <v>-0.53793103448275836</v>
      </c>
    </row>
    <row r="3" spans="1:8" x14ac:dyDescent="0.2">
      <c r="A3" s="20">
        <v>1941</v>
      </c>
      <c r="B3" s="20">
        <v>3</v>
      </c>
      <c r="D3" s="5">
        <f t="shared" ref="D3:D27" si="1">AVERAGE(B3:B5)</f>
        <v>4.9333333333333336</v>
      </c>
      <c r="E3" s="9"/>
      <c r="F3" s="9">
        <f t="shared" si="0"/>
        <v>5.28</v>
      </c>
      <c r="G3" s="9"/>
      <c r="H3" s="6">
        <f t="shared" ref="H3:H28" si="2">B3-AVERAGE($B$2:$B$30)</f>
        <v>-7.3379310344827591</v>
      </c>
    </row>
    <row r="4" spans="1:8" x14ac:dyDescent="0.2">
      <c r="A4" s="20">
        <v>1942</v>
      </c>
      <c r="B4" s="20">
        <v>7</v>
      </c>
      <c r="D4" s="5">
        <f t="shared" si="1"/>
        <v>5.8666666666666671</v>
      </c>
      <c r="E4" s="9"/>
      <c r="F4" s="9">
        <f t="shared" si="0"/>
        <v>7.080000000000001</v>
      </c>
      <c r="G4" s="9"/>
      <c r="H4" s="6">
        <f t="shared" si="2"/>
        <v>-3.3379310344827591</v>
      </c>
    </row>
    <row r="5" spans="1:8" x14ac:dyDescent="0.2">
      <c r="A5" s="20">
        <v>1943</v>
      </c>
      <c r="B5" s="20">
        <v>4.8</v>
      </c>
      <c r="D5" s="5">
        <f t="shared" si="1"/>
        <v>5.4666666666666659</v>
      </c>
      <c r="E5" s="9"/>
      <c r="F5" s="9">
        <f t="shared" si="0"/>
        <v>7.4599999999999991</v>
      </c>
      <c r="G5" s="9"/>
      <c r="H5" s="6">
        <f t="shared" si="2"/>
        <v>-5.5379310344827593</v>
      </c>
    </row>
    <row r="6" spans="1:8" x14ac:dyDescent="0.2">
      <c r="A6" s="20">
        <v>1944</v>
      </c>
      <c r="B6" s="20">
        <v>5.8</v>
      </c>
      <c r="D6" s="5">
        <f t="shared" si="1"/>
        <v>7.8666666666666671</v>
      </c>
      <c r="E6" s="9"/>
      <c r="F6" s="9">
        <f t="shared" si="0"/>
        <v>8.1</v>
      </c>
      <c r="G6" s="9"/>
      <c r="H6" s="6">
        <f t="shared" si="2"/>
        <v>-4.5379310344827593</v>
      </c>
    </row>
    <row r="7" spans="1:8" x14ac:dyDescent="0.2">
      <c r="A7" s="20">
        <v>1945</v>
      </c>
      <c r="B7" s="20">
        <v>5.8</v>
      </c>
      <c r="D7" s="5">
        <f t="shared" si="1"/>
        <v>8.9</v>
      </c>
      <c r="E7" s="9"/>
      <c r="F7" s="9">
        <f t="shared" si="0"/>
        <v>7.1800000000000015</v>
      </c>
      <c r="G7" s="9"/>
      <c r="H7" s="6">
        <f t="shared" si="2"/>
        <v>-4.5379310344827593</v>
      </c>
    </row>
    <row r="8" spans="1:8" x14ac:dyDescent="0.2">
      <c r="A8" s="20">
        <v>1946</v>
      </c>
      <c r="B8" s="20">
        <v>12</v>
      </c>
      <c r="D8" s="5">
        <f t="shared" si="1"/>
        <v>9.6333333333333329</v>
      </c>
      <c r="E8" s="9"/>
      <c r="F8" s="9">
        <f t="shared" si="0"/>
        <v>8.1199999999999992</v>
      </c>
      <c r="G8" s="9"/>
      <c r="H8" s="6">
        <f t="shared" si="2"/>
        <v>1.6620689655172409</v>
      </c>
    </row>
    <row r="9" spans="1:8" x14ac:dyDescent="0.2">
      <c r="A9" s="20">
        <v>1947</v>
      </c>
      <c r="B9" s="20">
        <v>8.9</v>
      </c>
      <c r="D9" s="5">
        <f t="shared" si="1"/>
        <v>6.0333333333333323</v>
      </c>
      <c r="E9" s="9"/>
      <c r="F9" s="9">
        <f t="shared" si="0"/>
        <v>9.3199999999999985</v>
      </c>
      <c r="G9" s="9"/>
      <c r="H9" s="6">
        <f t="shared" si="2"/>
        <v>-1.4379310344827587</v>
      </c>
    </row>
    <row r="10" spans="1:8" x14ac:dyDescent="0.2">
      <c r="A10" s="20">
        <v>1948</v>
      </c>
      <c r="B10" s="20">
        <v>8</v>
      </c>
      <c r="D10" s="5">
        <f t="shared" si="1"/>
        <v>6.5666666666666664</v>
      </c>
      <c r="E10" s="9"/>
      <c r="F10" s="9">
        <f t="shared" si="0"/>
        <v>11.540000000000001</v>
      </c>
      <c r="G10" s="9"/>
      <c r="H10" s="6">
        <f t="shared" si="2"/>
        <v>-2.3379310344827591</v>
      </c>
    </row>
    <row r="11" spans="1:8" x14ac:dyDescent="0.2">
      <c r="A11" s="20">
        <v>1949</v>
      </c>
      <c r="B11" s="20">
        <v>1.2</v>
      </c>
      <c r="D11" s="5">
        <f t="shared" si="1"/>
        <v>9.9</v>
      </c>
      <c r="E11" s="9"/>
      <c r="F11" s="9">
        <f t="shared" si="0"/>
        <v>10.540000000000001</v>
      </c>
      <c r="G11" s="9"/>
      <c r="H11" s="6">
        <f t="shared" si="2"/>
        <v>-9.1379310344827598</v>
      </c>
    </row>
    <row r="12" spans="1:8" x14ac:dyDescent="0.2">
      <c r="A12" s="20">
        <v>1950</v>
      </c>
      <c r="B12" s="20">
        <v>10.5</v>
      </c>
      <c r="D12" s="5">
        <f t="shared" si="1"/>
        <v>16.166666666666668</v>
      </c>
      <c r="E12" s="9"/>
      <c r="F12" s="9">
        <f t="shared" si="0"/>
        <v>13.7</v>
      </c>
      <c r="G12" s="9"/>
      <c r="H12" s="6">
        <f t="shared" si="2"/>
        <v>0.16206896551724093</v>
      </c>
    </row>
    <row r="13" spans="1:8" x14ac:dyDescent="0.2">
      <c r="A13" s="20">
        <v>1951</v>
      </c>
      <c r="B13" s="20">
        <v>18</v>
      </c>
      <c r="D13" s="5">
        <f t="shared" si="1"/>
        <v>13.666666666666666</v>
      </c>
      <c r="E13" s="9"/>
      <c r="F13" s="9">
        <f t="shared" si="0"/>
        <v>13</v>
      </c>
      <c r="G13" s="9"/>
      <c r="H13" s="6">
        <f t="shared" si="2"/>
        <v>7.6620689655172409</v>
      </c>
    </row>
    <row r="14" spans="1:8" x14ac:dyDescent="0.2">
      <c r="A14" s="20">
        <v>1952</v>
      </c>
      <c r="B14" s="20">
        <v>20</v>
      </c>
      <c r="D14" s="5">
        <f t="shared" si="1"/>
        <v>13.333333333333334</v>
      </c>
      <c r="E14" s="9"/>
      <c r="F14" s="9">
        <f t="shared" si="0"/>
        <v>10.6</v>
      </c>
      <c r="G14" s="9"/>
      <c r="H14" s="6">
        <f t="shared" si="2"/>
        <v>9.6620689655172409</v>
      </c>
    </row>
    <row r="15" spans="1:8" x14ac:dyDescent="0.2">
      <c r="A15" s="20">
        <v>1953</v>
      </c>
      <c r="B15" s="20">
        <v>3</v>
      </c>
      <c r="D15" s="5">
        <f t="shared" si="1"/>
        <v>9</v>
      </c>
      <c r="E15" s="9"/>
      <c r="F15" s="9">
        <f t="shared" si="0"/>
        <v>7.6</v>
      </c>
      <c r="G15" s="9"/>
      <c r="H15" s="6">
        <f t="shared" si="2"/>
        <v>-7.3379310344827591</v>
      </c>
    </row>
    <row r="16" spans="1:8" x14ac:dyDescent="0.2">
      <c r="A16" s="20">
        <v>1954</v>
      </c>
      <c r="B16" s="20">
        <v>17</v>
      </c>
      <c r="D16" s="5">
        <f t="shared" si="1"/>
        <v>10</v>
      </c>
      <c r="E16" s="9"/>
      <c r="F16" s="9">
        <f t="shared" si="0"/>
        <v>8.4</v>
      </c>
      <c r="G16" s="9"/>
      <c r="H16" s="6">
        <f t="shared" si="2"/>
        <v>6.6620689655172409</v>
      </c>
    </row>
    <row r="17" spans="1:8" x14ac:dyDescent="0.2">
      <c r="A17" s="20">
        <v>1955</v>
      </c>
      <c r="B17" s="20">
        <v>7</v>
      </c>
      <c r="D17" s="5">
        <f t="shared" si="1"/>
        <v>6</v>
      </c>
      <c r="E17" s="9"/>
      <c r="F17" s="9">
        <f t="shared" si="0"/>
        <v>8.3000000000000007</v>
      </c>
      <c r="G17" s="9"/>
      <c r="H17" s="6">
        <f t="shared" si="2"/>
        <v>-3.3379310344827591</v>
      </c>
    </row>
    <row r="18" spans="1:8" x14ac:dyDescent="0.2">
      <c r="A18" s="20">
        <v>1956</v>
      </c>
      <c r="B18" s="20">
        <v>6</v>
      </c>
      <c r="D18" s="5">
        <f t="shared" si="1"/>
        <v>6</v>
      </c>
      <c r="E18" s="9"/>
      <c r="F18" s="9">
        <f t="shared" si="0"/>
        <v>9.9</v>
      </c>
      <c r="G18" s="9"/>
      <c r="H18" s="6">
        <f t="shared" si="2"/>
        <v>-4.3379310344827591</v>
      </c>
    </row>
    <row r="19" spans="1:8" x14ac:dyDescent="0.2">
      <c r="A19" s="20">
        <v>1957</v>
      </c>
      <c r="B19" s="20">
        <v>5</v>
      </c>
      <c r="D19" s="5">
        <f t="shared" si="1"/>
        <v>9.5</v>
      </c>
      <c r="E19" s="9"/>
      <c r="F19" s="9">
        <f t="shared" si="0"/>
        <v>12.3</v>
      </c>
      <c r="G19" s="9"/>
      <c r="H19" s="6">
        <f t="shared" si="2"/>
        <v>-5.3379310344827591</v>
      </c>
    </row>
    <row r="20" spans="1:8" x14ac:dyDescent="0.2">
      <c r="A20" s="20">
        <v>1958</v>
      </c>
      <c r="B20" s="20">
        <v>7</v>
      </c>
      <c r="D20" s="5">
        <f t="shared" si="1"/>
        <v>12.833333333333334</v>
      </c>
      <c r="E20" s="9"/>
      <c r="F20" s="9">
        <f t="shared" si="0"/>
        <v>12.2</v>
      </c>
      <c r="G20" s="9"/>
      <c r="H20" s="6">
        <f t="shared" si="2"/>
        <v>-3.3379310344827591</v>
      </c>
    </row>
    <row r="21" spans="1:8" x14ac:dyDescent="0.2">
      <c r="A21" s="20">
        <v>1959</v>
      </c>
      <c r="B21" s="20">
        <v>16.5</v>
      </c>
      <c r="D21" s="5">
        <f t="shared" si="1"/>
        <v>16.5</v>
      </c>
      <c r="E21" s="9"/>
      <c r="F21" s="9">
        <f t="shared" si="0"/>
        <v>13.6</v>
      </c>
      <c r="G21" s="9"/>
      <c r="H21" s="6">
        <f t="shared" si="2"/>
        <v>6.1620689655172409</v>
      </c>
    </row>
    <row r="22" spans="1:8" x14ac:dyDescent="0.2">
      <c r="A22" s="20">
        <v>1960</v>
      </c>
      <c r="B22" s="20">
        <v>15</v>
      </c>
      <c r="D22" s="5">
        <f t="shared" si="1"/>
        <v>12.5</v>
      </c>
      <c r="E22" s="9"/>
      <c r="F22" s="9">
        <f t="shared" si="0"/>
        <v>13.1</v>
      </c>
      <c r="G22" s="9"/>
      <c r="H22" s="6">
        <f t="shared" si="2"/>
        <v>4.6620689655172409</v>
      </c>
    </row>
    <row r="23" spans="1:8" x14ac:dyDescent="0.2">
      <c r="A23" s="20">
        <v>1961</v>
      </c>
      <c r="B23" s="20">
        <v>18</v>
      </c>
      <c r="D23" s="5">
        <f t="shared" si="1"/>
        <v>12.166666666666666</v>
      </c>
      <c r="E23" s="9"/>
      <c r="F23" s="9">
        <f t="shared" si="0"/>
        <v>12.7</v>
      </c>
      <c r="G23" s="9"/>
      <c r="H23" s="6">
        <f t="shared" si="2"/>
        <v>7.6620689655172409</v>
      </c>
    </row>
    <row r="24" spans="1:8" x14ac:dyDescent="0.2">
      <c r="A24" s="20">
        <v>1962</v>
      </c>
      <c r="B24" s="20">
        <v>4.5</v>
      </c>
      <c r="D24" s="5">
        <f t="shared" si="1"/>
        <v>10.833333333333334</v>
      </c>
      <c r="E24" s="9"/>
      <c r="F24" s="9">
        <f t="shared" si="0"/>
        <v>12</v>
      </c>
      <c r="G24" s="9"/>
      <c r="H24" s="6">
        <f t="shared" si="2"/>
        <v>-5.8379310344827591</v>
      </c>
    </row>
    <row r="25" spans="1:8" x14ac:dyDescent="0.2">
      <c r="A25" s="20">
        <v>1963</v>
      </c>
      <c r="B25" s="20">
        <v>14</v>
      </c>
      <c r="D25" s="5">
        <f t="shared" si="1"/>
        <v>13.666666666666666</v>
      </c>
      <c r="E25" s="9"/>
      <c r="F25" s="9">
        <f t="shared" si="0"/>
        <v>14</v>
      </c>
      <c r="G25" s="9"/>
      <c r="H25" s="6">
        <f t="shared" si="2"/>
        <v>3.6620689655172409</v>
      </c>
    </row>
    <row r="26" spans="1:8" x14ac:dyDescent="0.2">
      <c r="A26" s="20">
        <v>1964</v>
      </c>
      <c r="B26" s="20">
        <v>14</v>
      </c>
      <c r="D26" s="5">
        <f t="shared" si="1"/>
        <v>13.833333333333334</v>
      </c>
      <c r="E26" s="9"/>
      <c r="F26" s="9">
        <f t="shared" si="0"/>
        <v>14.4</v>
      </c>
      <c r="G26" s="9"/>
      <c r="H26" s="6">
        <f t="shared" si="2"/>
        <v>3.6620689655172409</v>
      </c>
    </row>
    <row r="27" spans="1:8" x14ac:dyDescent="0.2">
      <c r="A27" s="20">
        <v>1965</v>
      </c>
      <c r="B27" s="20">
        <v>13</v>
      </c>
      <c r="D27" s="5">
        <f t="shared" si="1"/>
        <v>14</v>
      </c>
      <c r="E27" s="9"/>
      <c r="F27" s="9"/>
      <c r="G27" s="9"/>
      <c r="H27" s="6">
        <f t="shared" si="2"/>
        <v>2.6620689655172409</v>
      </c>
    </row>
    <row r="28" spans="1:8" x14ac:dyDescent="0.2">
      <c r="A28" s="20">
        <v>1966</v>
      </c>
      <c r="B28" s="20">
        <v>14.5</v>
      </c>
      <c r="D28" s="5">
        <f>AVERAGE(B28:B30)</f>
        <v>15</v>
      </c>
      <c r="E28" s="9"/>
      <c r="F28" s="9"/>
      <c r="G28" s="9"/>
      <c r="H28" s="6">
        <f t="shared" si="2"/>
        <v>4.1620689655172409</v>
      </c>
    </row>
    <row r="29" spans="1:8" x14ac:dyDescent="0.2">
      <c r="A29" s="20">
        <v>1967</v>
      </c>
      <c r="B29" s="20">
        <v>14.5</v>
      </c>
      <c r="D29" s="5"/>
      <c r="E29" s="9"/>
      <c r="F29" s="9"/>
      <c r="G29" s="9"/>
      <c r="H29" s="6">
        <f>B29-AVERAGE($B$2:$B$30)</f>
        <v>4.1620689655172409</v>
      </c>
    </row>
    <row r="30" spans="1:8" x14ac:dyDescent="0.2">
      <c r="A30" s="20">
        <v>1968</v>
      </c>
      <c r="B30" s="20">
        <v>16</v>
      </c>
      <c r="D30" s="3"/>
      <c r="E30" s="10"/>
      <c r="F30" s="10"/>
      <c r="G30" s="10"/>
      <c r="H30" s="4">
        <f>B30-AVERAGE($B$2:$B$30)</f>
        <v>5.6620689655172409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0ADA-3513-4CC9-9333-75C0927798CB}">
  <dimension ref="A1:L84"/>
  <sheetViews>
    <sheetView topLeftCell="A64" zoomScaleNormal="100" workbookViewId="0">
      <selection activeCell="I80" sqref="I80"/>
    </sheetView>
    <sheetView workbookViewId="1"/>
  </sheetViews>
  <sheetFormatPr defaultRowHeight="14.25" x14ac:dyDescent="0.2"/>
  <cols>
    <col min="3" max="3" width="13" bestFit="1" customWidth="1"/>
  </cols>
  <sheetData>
    <row r="1" spans="1:11" x14ac:dyDescent="0.2">
      <c r="A1" s="20" t="s">
        <v>141</v>
      </c>
      <c r="B1" s="20" t="s">
        <v>139</v>
      </c>
      <c r="C1" s="20" t="s">
        <v>140</v>
      </c>
      <c r="E1" s="1" t="s">
        <v>143</v>
      </c>
      <c r="F1" s="7"/>
      <c r="G1" s="7"/>
      <c r="H1" s="7"/>
      <c r="I1" s="7"/>
      <c r="J1" s="7"/>
      <c r="K1" s="2"/>
    </row>
    <row r="2" spans="1:11" x14ac:dyDescent="0.2">
      <c r="A2" s="20">
        <v>1995</v>
      </c>
      <c r="B2" s="20">
        <v>2462.5700000000002</v>
      </c>
      <c r="C2" s="20">
        <v>1301.3699999999999</v>
      </c>
      <c r="E2" s="5"/>
      <c r="F2" s="9" t="s">
        <v>142</v>
      </c>
      <c r="G2" s="9" t="s">
        <v>141</v>
      </c>
      <c r="H2" s="9"/>
      <c r="I2" s="9"/>
      <c r="J2" s="9"/>
      <c r="K2" s="6"/>
    </row>
    <row r="3" spans="1:11" x14ac:dyDescent="0.2">
      <c r="A3" s="20">
        <v>1996</v>
      </c>
      <c r="B3" s="20">
        <v>2902.2</v>
      </c>
      <c r="C3" s="20">
        <v>1304.43</v>
      </c>
      <c r="E3" s="5" t="s">
        <v>28</v>
      </c>
      <c r="F3" s="9">
        <f>COUNT(A2:A7)</f>
        <v>6</v>
      </c>
      <c r="G3" s="9">
        <f>COUNT(A10:A15)</f>
        <v>6</v>
      </c>
      <c r="H3" s="9"/>
      <c r="I3" s="9"/>
      <c r="J3" s="9"/>
      <c r="K3" s="6"/>
    </row>
    <row r="4" spans="1:11" x14ac:dyDescent="0.2">
      <c r="A4" s="20">
        <v>1997</v>
      </c>
      <c r="B4" s="20">
        <v>3360.21</v>
      </c>
      <c r="C4" s="20">
        <v>1305.46</v>
      </c>
      <c r="E4" s="37" t="s">
        <v>149</v>
      </c>
      <c r="F4" s="9"/>
      <c r="G4" s="9"/>
      <c r="H4" s="9"/>
      <c r="I4" s="9"/>
      <c r="J4" s="9"/>
      <c r="K4" s="6"/>
    </row>
    <row r="5" spans="1:11" x14ac:dyDescent="0.2">
      <c r="A5" s="20">
        <v>1998</v>
      </c>
      <c r="B5" s="20">
        <v>3688.2</v>
      </c>
      <c r="C5" s="20">
        <v>1306.58</v>
      </c>
      <c r="E5" s="5" t="s">
        <v>159</v>
      </c>
      <c r="F5" s="9"/>
      <c r="G5" s="9"/>
      <c r="H5" s="9"/>
      <c r="I5" s="9"/>
      <c r="J5" s="9"/>
      <c r="K5" s="6"/>
    </row>
    <row r="6" spans="1:11" x14ac:dyDescent="0.2">
      <c r="A6" s="20">
        <v>1999</v>
      </c>
      <c r="B6" s="20">
        <v>4034.96</v>
      </c>
      <c r="C6" s="20">
        <v>1313.12</v>
      </c>
      <c r="E6" s="17" t="s">
        <v>144</v>
      </c>
      <c r="F6" s="9"/>
      <c r="G6" s="9"/>
      <c r="H6" s="9"/>
      <c r="I6" s="9"/>
      <c r="J6" s="9"/>
      <c r="K6" s="6"/>
    </row>
    <row r="7" spans="1:11" x14ac:dyDescent="0.2">
      <c r="A7" s="20">
        <v>2000</v>
      </c>
      <c r="B7" s="20">
        <v>4551.1499999999996</v>
      </c>
      <c r="C7" s="20">
        <v>1321.63</v>
      </c>
      <c r="E7" s="5" t="s">
        <v>147</v>
      </c>
      <c r="F7" s="9" t="s">
        <v>145</v>
      </c>
      <c r="G7" s="9" t="s">
        <v>146</v>
      </c>
      <c r="H7" s="9"/>
      <c r="I7" s="9"/>
      <c r="J7" s="9"/>
      <c r="K7" s="6"/>
    </row>
    <row r="8" spans="1:11" x14ac:dyDescent="0.2">
      <c r="A8" s="20"/>
      <c r="B8" s="20"/>
      <c r="C8" s="20"/>
      <c r="E8" s="5" t="s">
        <v>141</v>
      </c>
      <c r="F8" s="9">
        <f>_xlfn.VAR.S(B2:B7)</f>
        <v>575936.9538166672</v>
      </c>
      <c r="G8" s="9">
        <f>_xlfn.VAR.S(C2:C7)</f>
        <v>54.729950000000599</v>
      </c>
      <c r="H8" s="9"/>
      <c r="I8" s="9"/>
      <c r="J8" s="9"/>
      <c r="K8" s="6"/>
    </row>
    <row r="9" spans="1:11" x14ac:dyDescent="0.2">
      <c r="A9" s="20" t="s">
        <v>142</v>
      </c>
      <c r="B9" s="20" t="s">
        <v>139</v>
      </c>
      <c r="C9" s="20" t="s">
        <v>140</v>
      </c>
      <c r="E9" s="5" t="s">
        <v>142</v>
      </c>
      <c r="F9" s="9">
        <f>_xlfn.VAR.S(B10:B15)</f>
        <v>202522.50176000223</v>
      </c>
      <c r="G9" s="9">
        <f>_xlfn.VAR.S(C10:C15)</f>
        <v>4085.4496666666701</v>
      </c>
      <c r="H9" s="9"/>
      <c r="I9" s="9"/>
      <c r="J9" s="9"/>
      <c r="K9" s="6"/>
    </row>
    <row r="10" spans="1:11" x14ac:dyDescent="0.2">
      <c r="A10" s="20">
        <v>1996</v>
      </c>
      <c r="B10" s="20">
        <v>1615.73</v>
      </c>
      <c r="C10" s="20">
        <v>1184</v>
      </c>
      <c r="E10" s="37" t="s">
        <v>148</v>
      </c>
      <c r="F10" s="9"/>
      <c r="G10" s="9"/>
      <c r="H10" s="9"/>
      <c r="I10" s="9"/>
      <c r="J10" s="9"/>
      <c r="K10" s="6"/>
    </row>
    <row r="11" spans="1:11" x14ac:dyDescent="0.2">
      <c r="A11" s="20">
        <v>1997</v>
      </c>
      <c r="B11" s="20">
        <v>1810.09</v>
      </c>
      <c r="C11" s="20">
        <v>1217</v>
      </c>
      <c r="E11" s="5"/>
      <c r="F11" s="9" t="s">
        <v>145</v>
      </c>
      <c r="G11" s="9" t="s">
        <v>146</v>
      </c>
      <c r="H11" s="9"/>
      <c r="I11" s="9"/>
      <c r="J11" s="9"/>
      <c r="K11" s="6"/>
    </row>
    <row r="12" spans="1:11" x14ac:dyDescent="0.2">
      <c r="A12" s="20">
        <v>1998</v>
      </c>
      <c r="B12" s="20">
        <v>2011.31</v>
      </c>
      <c r="C12" s="20">
        <v>1223.4000000000001</v>
      </c>
      <c r="E12" s="5" t="s">
        <v>150</v>
      </c>
      <c r="F12" s="9">
        <f>F8/F9</f>
        <v>2.8438171008729536</v>
      </c>
      <c r="G12" s="9">
        <f>G8/G9</f>
        <v>1.3396309945155907E-2</v>
      </c>
      <c r="H12" s="9"/>
      <c r="I12" s="9"/>
      <c r="J12" s="9"/>
      <c r="K12" s="6"/>
    </row>
    <row r="13" spans="1:11" x14ac:dyDescent="0.2">
      <c r="A13" s="20">
        <v>1999</v>
      </c>
      <c r="B13" s="20">
        <v>2174.46</v>
      </c>
      <c r="C13" s="20">
        <v>1249.9000000000001</v>
      </c>
      <c r="E13" s="37" t="s">
        <v>151</v>
      </c>
      <c r="F13" s="9"/>
      <c r="G13" s="9"/>
      <c r="H13" s="9"/>
      <c r="I13" s="9"/>
      <c r="J13" s="9"/>
      <c r="K13" s="6"/>
    </row>
    <row r="14" spans="1:11" x14ac:dyDescent="0.2">
      <c r="A14" s="20">
        <v>2000</v>
      </c>
      <c r="B14" s="20">
        <v>2478.7600000000002</v>
      </c>
      <c r="C14" s="20">
        <v>1278</v>
      </c>
      <c r="E14" s="5"/>
      <c r="F14" s="9" t="s">
        <v>145</v>
      </c>
      <c r="G14" s="9" t="s">
        <v>146</v>
      </c>
      <c r="H14" s="9"/>
      <c r="I14" s="9"/>
      <c r="J14" s="9"/>
      <c r="K14" s="6"/>
    </row>
    <row r="15" spans="1:11" x14ac:dyDescent="0.2">
      <c r="A15" s="20">
        <v>2001</v>
      </c>
      <c r="B15" s="20">
        <v>2845.65</v>
      </c>
      <c r="C15" s="20">
        <v>1366.4</v>
      </c>
      <c r="E15" s="5" t="s">
        <v>152</v>
      </c>
      <c r="F15" s="9">
        <f>F3-1</f>
        <v>5</v>
      </c>
      <c r="G15" s="9">
        <f>G3-1</f>
        <v>5</v>
      </c>
      <c r="H15" s="9" t="s">
        <v>154</v>
      </c>
      <c r="I15" s="9"/>
      <c r="J15" s="9"/>
      <c r="K15" s="6"/>
    </row>
    <row r="16" spans="1:11" x14ac:dyDescent="0.2">
      <c r="E16" s="5" t="s">
        <v>153</v>
      </c>
      <c r="F16" s="9">
        <v>0.1</v>
      </c>
      <c r="G16" s="9">
        <v>0.1</v>
      </c>
      <c r="H16" s="9"/>
      <c r="I16" s="9"/>
      <c r="J16" s="9"/>
      <c r="K16" s="6"/>
    </row>
    <row r="17" spans="2:11" x14ac:dyDescent="0.2">
      <c r="E17" s="5" t="s">
        <v>155</v>
      </c>
      <c r="F17" s="9">
        <f>FINV(F16/2,F15,G15)</f>
        <v>5.0503290576326485</v>
      </c>
      <c r="G17" s="9" t="s">
        <v>156</v>
      </c>
      <c r="H17" s="9"/>
      <c r="I17" s="9"/>
      <c r="J17" s="9"/>
      <c r="K17" s="6"/>
    </row>
    <row r="18" spans="2:11" x14ac:dyDescent="0.2">
      <c r="E18" s="37" t="s">
        <v>157</v>
      </c>
      <c r="F18" s="9"/>
      <c r="G18" s="9"/>
      <c r="H18" s="9"/>
      <c r="I18" s="9"/>
      <c r="J18" s="9"/>
      <c r="K18" s="6"/>
    </row>
    <row r="19" spans="2:11" x14ac:dyDescent="0.2">
      <c r="E19" s="5" t="s">
        <v>145</v>
      </c>
      <c r="F19" s="9" t="s">
        <v>158</v>
      </c>
      <c r="G19" s="9" t="s">
        <v>160</v>
      </c>
      <c r="H19" s="9"/>
      <c r="I19" s="9"/>
      <c r="J19" s="9"/>
      <c r="K19" s="6"/>
    </row>
    <row r="20" spans="2:11" x14ac:dyDescent="0.2">
      <c r="E20" s="3" t="s">
        <v>146</v>
      </c>
      <c r="F20" s="10" t="s">
        <v>158</v>
      </c>
      <c r="G20" s="10" t="s">
        <v>161</v>
      </c>
      <c r="H20" s="10"/>
      <c r="I20" s="10"/>
      <c r="J20" s="10"/>
      <c r="K20" s="4"/>
    </row>
    <row r="23" spans="2:11" ht="39" customHeight="1" x14ac:dyDescent="0.2">
      <c r="B23" s="38" t="s">
        <v>173</v>
      </c>
      <c r="C23" s="38"/>
      <c r="D23" s="38"/>
      <c r="E23" s="38"/>
      <c r="F23" s="38"/>
      <c r="G23" s="38"/>
      <c r="H23" s="38"/>
      <c r="I23" s="38"/>
      <c r="J23" s="38"/>
    </row>
    <row r="24" spans="2:11" x14ac:dyDescent="0.2">
      <c r="B24" s="20" t="s">
        <v>162</v>
      </c>
      <c r="C24" s="20" t="s">
        <v>163</v>
      </c>
      <c r="D24" s="20"/>
      <c r="E24" s="20"/>
      <c r="F24" s="20"/>
      <c r="G24" s="35" t="s">
        <v>174</v>
      </c>
      <c r="H24" s="20"/>
      <c r="I24" s="20"/>
      <c r="J24" s="20"/>
    </row>
    <row r="25" spans="2:11" x14ac:dyDescent="0.2">
      <c r="B25" s="20" t="s">
        <v>164</v>
      </c>
      <c r="C25" s="20" t="s">
        <v>165</v>
      </c>
      <c r="D25" s="20" t="s">
        <v>166</v>
      </c>
      <c r="E25" s="20" t="s">
        <v>167</v>
      </c>
      <c r="F25" s="20" t="s">
        <v>168</v>
      </c>
      <c r="G25" s="36" t="s">
        <v>169</v>
      </c>
      <c r="H25" s="20" t="s">
        <v>169</v>
      </c>
      <c r="I25" s="20" t="s">
        <v>170</v>
      </c>
      <c r="J25" s="20" t="s">
        <v>171</v>
      </c>
    </row>
    <row r="26" spans="2:11" x14ac:dyDescent="0.2">
      <c r="B26" s="20" t="s">
        <v>172</v>
      </c>
      <c r="C26" s="20">
        <v>4.1000000000000003E-3</v>
      </c>
      <c r="D26" s="20">
        <v>6.1999999999999998E-3</v>
      </c>
      <c r="E26" s="20">
        <v>5.4000000000000003E-3</v>
      </c>
      <c r="F26" s="20">
        <v>7.0000000000000001E-3</v>
      </c>
      <c r="G26" s="36">
        <v>6.0000000000000001E-3</v>
      </c>
      <c r="H26" s="20">
        <v>8.0000000000000002E-3</v>
      </c>
      <c r="I26" s="20">
        <v>1.03E-2</v>
      </c>
      <c r="J26" s="20">
        <v>0.01</v>
      </c>
    </row>
    <row r="27" spans="2:11" x14ac:dyDescent="0.2">
      <c r="B27" s="11" t="s">
        <v>177</v>
      </c>
      <c r="C27" s="7"/>
      <c r="D27" s="7"/>
      <c r="E27" s="7"/>
      <c r="F27" s="7"/>
      <c r="G27" s="7"/>
      <c r="H27" s="7"/>
      <c r="I27" s="2"/>
    </row>
    <row r="28" spans="2:11" x14ac:dyDescent="0.2">
      <c r="B28" s="37" t="s">
        <v>175</v>
      </c>
      <c r="C28" s="9"/>
      <c r="D28" s="9"/>
      <c r="E28" s="9"/>
      <c r="F28" s="9"/>
      <c r="G28" s="9"/>
      <c r="H28" s="9"/>
      <c r="I28" s="6"/>
    </row>
    <row r="29" spans="2:11" x14ac:dyDescent="0.2">
      <c r="B29" s="5" t="s">
        <v>176</v>
      </c>
      <c r="C29" s="9"/>
      <c r="D29" s="9"/>
      <c r="E29" s="9"/>
      <c r="F29" s="9"/>
      <c r="G29" s="9"/>
      <c r="H29" s="9"/>
      <c r="I29" s="6"/>
    </row>
    <row r="30" spans="2:11" x14ac:dyDescent="0.2">
      <c r="B30" s="37" t="s">
        <v>179</v>
      </c>
      <c r="C30" s="9"/>
      <c r="D30" s="9"/>
      <c r="E30" s="9"/>
      <c r="F30" s="9"/>
      <c r="G30" s="9"/>
      <c r="H30" s="9"/>
      <c r="I30" s="6"/>
    </row>
    <row r="31" spans="2:11" x14ac:dyDescent="0.2">
      <c r="B31" s="5"/>
      <c r="C31" s="9" t="s">
        <v>28</v>
      </c>
      <c r="D31" s="9" t="s">
        <v>32</v>
      </c>
      <c r="E31" s="9" t="s">
        <v>147</v>
      </c>
      <c r="F31" s="9"/>
      <c r="G31" s="9"/>
      <c r="H31" s="9"/>
      <c r="I31" s="6"/>
    </row>
    <row r="32" spans="2:11" x14ac:dyDescent="0.2">
      <c r="B32" s="5" t="s">
        <v>178</v>
      </c>
      <c r="C32" s="9">
        <f>COUNT(C26:F26)</f>
        <v>4</v>
      </c>
      <c r="D32" s="9">
        <f>AVERAGE(C26:F26)</f>
        <v>5.6749999999999995E-3</v>
      </c>
      <c r="E32" s="9">
        <f>_xlfn.VAR.S(C26:F26)</f>
        <v>1.5291666666666663E-6</v>
      </c>
      <c r="F32" s="9"/>
      <c r="G32" s="9"/>
      <c r="H32" s="9"/>
      <c r="I32" s="6"/>
    </row>
    <row r="33" spans="1:11" x14ac:dyDescent="0.2">
      <c r="B33" s="5" t="s">
        <v>174</v>
      </c>
      <c r="C33" s="9">
        <f>COUNT(G26:J26)</f>
        <v>4</v>
      </c>
      <c r="D33" s="9">
        <f>AVERAGE(G26:J26)</f>
        <v>8.575000000000001E-3</v>
      </c>
      <c r="E33" s="9">
        <f>_xlfn.VAR.S(G26:J26)</f>
        <v>3.9891666666666664E-6</v>
      </c>
      <c r="F33" s="9"/>
      <c r="G33" s="9"/>
      <c r="H33" s="9"/>
      <c r="I33" s="6"/>
    </row>
    <row r="34" spans="1:11" x14ac:dyDescent="0.2">
      <c r="B34" s="37" t="s">
        <v>180</v>
      </c>
      <c r="C34" s="9"/>
      <c r="D34" s="9"/>
      <c r="E34" s="9"/>
      <c r="F34" s="9"/>
      <c r="G34" s="9"/>
      <c r="H34" s="9"/>
      <c r="I34" s="6"/>
    </row>
    <row r="35" spans="1:11" x14ac:dyDescent="0.2">
      <c r="B35" s="5" t="s">
        <v>181</v>
      </c>
      <c r="C35" s="9">
        <f>(D32-D33)/(SQRT((C32*E32+C33*E33)/(C32+C33-2))*SQRT(1/C32+1/C33))</f>
        <v>-2.1382311892179131</v>
      </c>
      <c r="D35" s="9"/>
      <c r="E35" s="9"/>
      <c r="F35" s="9"/>
      <c r="G35" s="9"/>
      <c r="H35" s="9"/>
      <c r="I35" s="6"/>
    </row>
    <row r="36" spans="1:11" x14ac:dyDescent="0.2">
      <c r="B36" s="37" t="s">
        <v>183</v>
      </c>
      <c r="C36" s="9"/>
      <c r="D36" s="9"/>
      <c r="E36" s="9"/>
      <c r="F36" s="9"/>
      <c r="G36" s="9"/>
      <c r="H36" s="9"/>
      <c r="I36" s="6"/>
    </row>
    <row r="37" spans="1:11" x14ac:dyDescent="0.2">
      <c r="B37" s="5" t="s">
        <v>152</v>
      </c>
      <c r="C37" s="9">
        <f>C32+C33-2</f>
        <v>6</v>
      </c>
      <c r="D37" s="9"/>
      <c r="E37" s="9"/>
      <c r="F37" s="9"/>
      <c r="G37" s="9"/>
      <c r="H37" s="9"/>
      <c r="I37" s="6"/>
    </row>
    <row r="38" spans="1:11" x14ac:dyDescent="0.2">
      <c r="B38" s="5" t="s">
        <v>153</v>
      </c>
      <c r="C38" s="9">
        <v>0.1</v>
      </c>
      <c r="D38" s="9"/>
      <c r="E38" s="9"/>
      <c r="F38" s="9"/>
      <c r="G38" s="9"/>
      <c r="H38" s="9"/>
      <c r="I38" s="6"/>
    </row>
    <row r="39" spans="1:11" x14ac:dyDescent="0.2">
      <c r="B39" s="5" t="s">
        <v>184</v>
      </c>
      <c r="C39" s="9">
        <f>TINV(C38,C37)</f>
        <v>1.9431802805153031</v>
      </c>
      <c r="D39" s="9"/>
      <c r="E39" s="9"/>
      <c r="F39" s="9"/>
      <c r="G39" s="9"/>
      <c r="H39" s="9"/>
      <c r="I39" s="6"/>
    </row>
    <row r="40" spans="1:11" x14ac:dyDescent="0.2">
      <c r="B40" s="5" t="s">
        <v>182</v>
      </c>
      <c r="C40" s="9">
        <f>ABS(C35)</f>
        <v>2.1382311892179131</v>
      </c>
      <c r="D40" s="9"/>
      <c r="E40" s="9"/>
      <c r="F40" s="9"/>
      <c r="G40" s="9"/>
      <c r="H40" s="9"/>
      <c r="I40" s="6"/>
    </row>
    <row r="41" spans="1:11" x14ac:dyDescent="0.2">
      <c r="B41" s="3" t="s">
        <v>185</v>
      </c>
      <c r="C41" s="10" t="s">
        <v>186</v>
      </c>
      <c r="D41" s="10"/>
      <c r="E41" s="10"/>
      <c r="F41" s="10"/>
      <c r="G41" s="10"/>
      <c r="H41" s="10"/>
      <c r="I41" s="4"/>
    </row>
    <row r="44" spans="1:11" x14ac:dyDescent="0.2">
      <c r="A44" s="39" t="s">
        <v>187</v>
      </c>
      <c r="B44" s="39"/>
      <c r="C44" s="39"/>
      <c r="D44" s="39"/>
      <c r="E44" s="39"/>
      <c r="F44" s="39"/>
      <c r="G44" s="39"/>
      <c r="H44" s="39"/>
      <c r="I44" s="18"/>
      <c r="J44" s="18"/>
      <c r="K44" s="18"/>
    </row>
    <row r="45" spans="1:11" x14ac:dyDescent="0.2">
      <c r="A45" s="40" t="s">
        <v>188</v>
      </c>
      <c r="B45" s="41">
        <v>1</v>
      </c>
      <c r="C45" s="41">
        <v>2</v>
      </c>
      <c r="D45" s="41">
        <v>3</v>
      </c>
      <c r="E45" s="41">
        <v>4</v>
      </c>
      <c r="F45" s="41">
        <v>5</v>
      </c>
      <c r="G45" s="41">
        <v>6</v>
      </c>
      <c r="H45" s="41">
        <v>7</v>
      </c>
      <c r="I45" s="41">
        <v>8</v>
      </c>
      <c r="J45" s="41">
        <v>9</v>
      </c>
      <c r="K45" s="41">
        <v>10</v>
      </c>
    </row>
    <row r="46" spans="1:11" x14ac:dyDescent="0.2">
      <c r="A46" s="40" t="s">
        <v>189</v>
      </c>
      <c r="B46" s="41">
        <v>7</v>
      </c>
      <c r="C46" s="41">
        <v>3</v>
      </c>
      <c r="D46" s="41">
        <v>2</v>
      </c>
      <c r="E46" s="41">
        <v>4</v>
      </c>
      <c r="F46" s="41">
        <v>5</v>
      </c>
      <c r="G46" s="41">
        <v>6</v>
      </c>
      <c r="H46" s="41">
        <v>7</v>
      </c>
      <c r="I46" s="41">
        <v>5</v>
      </c>
      <c r="J46" s="41">
        <v>6</v>
      </c>
      <c r="K46" s="41">
        <v>4</v>
      </c>
    </row>
    <row r="47" spans="1:11" x14ac:dyDescent="0.2">
      <c r="A47" s="40" t="s">
        <v>190</v>
      </c>
      <c r="B47" s="41">
        <v>3</v>
      </c>
      <c r="C47" s="41">
        <v>6</v>
      </c>
      <c r="D47" s="41">
        <v>2</v>
      </c>
      <c r="E47" s="41">
        <v>2</v>
      </c>
      <c r="F47" s="41">
        <v>1</v>
      </c>
      <c r="G47" s="41">
        <v>4</v>
      </c>
      <c r="H47" s="41">
        <v>2</v>
      </c>
      <c r="I47" s="41">
        <v>6</v>
      </c>
      <c r="J47" s="41">
        <v>3</v>
      </c>
      <c r="K47" s="41">
        <v>1</v>
      </c>
    </row>
    <row r="48" spans="1:11" x14ac:dyDescent="0.2">
      <c r="A48" s="1" t="s">
        <v>191</v>
      </c>
      <c r="B48" s="7"/>
      <c r="C48" s="7"/>
      <c r="D48" s="2"/>
    </row>
    <row r="49" spans="1:11" x14ac:dyDescent="0.2">
      <c r="A49" s="5" t="s">
        <v>192</v>
      </c>
      <c r="B49" s="9"/>
      <c r="C49" s="9"/>
      <c r="D49" s="6"/>
    </row>
    <row r="50" spans="1:11" x14ac:dyDescent="0.2">
      <c r="A50" s="42" t="s">
        <v>193</v>
      </c>
      <c r="B50" s="9"/>
      <c r="C50" s="9"/>
      <c r="D50" s="6"/>
    </row>
    <row r="51" spans="1:11" x14ac:dyDescent="0.2">
      <c r="A51" s="5"/>
      <c r="B51" s="9" t="s">
        <v>28</v>
      </c>
      <c r="C51" s="9" t="s">
        <v>196</v>
      </c>
      <c r="D51" s="6" t="s">
        <v>147</v>
      </c>
    </row>
    <row r="52" spans="1:11" x14ac:dyDescent="0.2">
      <c r="A52" s="5" t="s">
        <v>194</v>
      </c>
      <c r="B52" s="9">
        <f>COUNT(B46:K46)</f>
        <v>10</v>
      </c>
      <c r="C52" s="9">
        <f>AVERAGE(B46:K46)</f>
        <v>4.9000000000000004</v>
      </c>
      <c r="D52" s="6">
        <f>_xlfn.VAR.S(B46:K46)</f>
        <v>2.7666666666666675</v>
      </c>
    </row>
    <row r="53" spans="1:11" x14ac:dyDescent="0.2">
      <c r="A53" s="5" t="s">
        <v>195</v>
      </c>
      <c r="B53" s="9">
        <f>COUNT(B47:K47)</f>
        <v>10</v>
      </c>
      <c r="C53" s="9">
        <f>AVERAGE(B47:K47)</f>
        <v>3</v>
      </c>
      <c r="D53" s="6">
        <f>_xlfn.VAR.S(B47:K47)</f>
        <v>3.3333333333333335</v>
      </c>
    </row>
    <row r="54" spans="1:11" x14ac:dyDescent="0.2">
      <c r="A54" s="5"/>
      <c r="B54" s="9"/>
      <c r="C54" s="9"/>
      <c r="D54" s="6"/>
    </row>
    <row r="55" spans="1:11" x14ac:dyDescent="0.2">
      <c r="A55" s="5" t="s">
        <v>197</v>
      </c>
      <c r="B55" s="9">
        <f>(C52-C53)/(SQRT((B52*D52+B53*D53)/(B52+B53-2))*SQRT(1/B52+1/B53))</f>
        <v>2.3078625410099107</v>
      </c>
      <c r="C55" s="9"/>
      <c r="D55" s="6"/>
    </row>
    <row r="56" spans="1:11" x14ac:dyDescent="0.2">
      <c r="A56" s="37" t="s">
        <v>198</v>
      </c>
      <c r="B56" s="9"/>
      <c r="C56" s="9"/>
      <c r="D56" s="6"/>
    </row>
    <row r="57" spans="1:11" x14ac:dyDescent="0.2">
      <c r="A57" s="5" t="s">
        <v>182</v>
      </c>
      <c r="B57" s="9">
        <f>ABS(B55)</f>
        <v>2.3078625410099107</v>
      </c>
      <c r="C57" s="9"/>
      <c r="D57" s="6"/>
    </row>
    <row r="58" spans="1:11" x14ac:dyDescent="0.2">
      <c r="A58" s="5" t="s">
        <v>153</v>
      </c>
      <c r="B58" s="9">
        <v>0.1</v>
      </c>
      <c r="C58" s="9"/>
      <c r="D58" s="6"/>
    </row>
    <row r="59" spans="1:11" x14ac:dyDescent="0.2">
      <c r="A59" s="5" t="s">
        <v>152</v>
      </c>
      <c r="B59" s="9">
        <f>B52+B53-2</f>
        <v>18</v>
      </c>
      <c r="C59" s="9"/>
      <c r="D59" s="6"/>
    </row>
    <row r="60" spans="1:11" x14ac:dyDescent="0.2">
      <c r="A60" s="5" t="s">
        <v>184</v>
      </c>
      <c r="B60" s="9">
        <f>TINV(B58,B59)</f>
        <v>1.7340636066175394</v>
      </c>
      <c r="C60" s="9"/>
      <c r="D60" s="6"/>
    </row>
    <row r="61" spans="1:11" x14ac:dyDescent="0.2">
      <c r="A61" s="3" t="s">
        <v>185</v>
      </c>
      <c r="B61" s="10" t="s">
        <v>199</v>
      </c>
      <c r="C61" s="10"/>
      <c r="D61" s="4"/>
    </row>
    <row r="64" spans="1:11" x14ac:dyDescent="0.2">
      <c r="A64" s="39" t="s">
        <v>200</v>
      </c>
      <c r="B64" s="39"/>
      <c r="C64" s="18"/>
      <c r="D64" s="18"/>
      <c r="E64" s="18"/>
      <c r="F64" s="18"/>
      <c r="H64" s="1" t="s">
        <v>213</v>
      </c>
      <c r="I64" s="7"/>
      <c r="J64" s="7"/>
      <c r="K64" s="2"/>
    </row>
    <row r="65" spans="1:12" x14ac:dyDescent="0.2">
      <c r="A65" s="40"/>
      <c r="B65" s="40" t="s">
        <v>201</v>
      </c>
      <c r="C65" s="40" t="s">
        <v>202</v>
      </c>
      <c r="D65" s="40" t="s">
        <v>203</v>
      </c>
      <c r="E65" s="40" t="s">
        <v>204</v>
      </c>
      <c r="F65" s="40" t="s">
        <v>205</v>
      </c>
      <c r="H65" s="5"/>
      <c r="I65" s="9"/>
      <c r="J65" s="9"/>
      <c r="K65" s="6"/>
    </row>
    <row r="66" spans="1:12" x14ac:dyDescent="0.2">
      <c r="A66" s="40" t="s">
        <v>206</v>
      </c>
      <c r="B66" s="40">
        <v>31</v>
      </c>
      <c r="C66" s="40">
        <v>0.2</v>
      </c>
      <c r="D66" s="40">
        <v>16.7</v>
      </c>
      <c r="E66" s="40">
        <v>47.4</v>
      </c>
      <c r="F66" s="40">
        <v>4.7</v>
      </c>
      <c r="H66" s="5"/>
      <c r="I66" s="9"/>
      <c r="J66" s="9"/>
      <c r="K66" s="6"/>
    </row>
    <row r="67" spans="1:12" x14ac:dyDescent="0.2">
      <c r="A67" s="40" t="s">
        <v>207</v>
      </c>
      <c r="B67" s="40">
        <v>26.5</v>
      </c>
      <c r="C67" s="40">
        <v>0.2</v>
      </c>
      <c r="D67" s="40">
        <v>20.2</v>
      </c>
      <c r="E67" s="40">
        <v>52.5</v>
      </c>
      <c r="F67" s="40">
        <v>0.6</v>
      </c>
      <c r="H67" s="5"/>
      <c r="I67" s="9"/>
      <c r="J67" s="9"/>
      <c r="K67" s="6"/>
    </row>
    <row r="68" spans="1:12" x14ac:dyDescent="0.2">
      <c r="A68" s="40" t="s">
        <v>208</v>
      </c>
      <c r="B68" s="40">
        <v>46.3</v>
      </c>
      <c r="C68" s="40">
        <v>0.6</v>
      </c>
      <c r="D68" s="40">
        <v>15.6</v>
      </c>
      <c r="E68" s="40">
        <v>34</v>
      </c>
      <c r="F68" s="40">
        <v>3.5</v>
      </c>
      <c r="H68" s="5"/>
      <c r="I68" s="9"/>
      <c r="J68" s="9"/>
      <c r="K68" s="6"/>
    </row>
    <row r="69" spans="1:12" x14ac:dyDescent="0.2">
      <c r="A69" s="18"/>
      <c r="B69" s="18"/>
      <c r="C69" s="18"/>
      <c r="D69" s="18"/>
      <c r="E69" s="18"/>
      <c r="F69" s="18"/>
      <c r="H69" s="3"/>
      <c r="I69" s="10"/>
      <c r="J69" s="10"/>
      <c r="K69" s="4"/>
    </row>
    <row r="70" spans="1:12" x14ac:dyDescent="0.2">
      <c r="A70" s="43" t="s">
        <v>209</v>
      </c>
      <c r="B70" s="43"/>
      <c r="C70" s="43"/>
      <c r="D70" s="43"/>
      <c r="E70" s="43"/>
      <c r="F70" s="43"/>
    </row>
    <row r="72" spans="1:12" x14ac:dyDescent="0.2">
      <c r="A72" s="1" t="s">
        <v>210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2"/>
    </row>
    <row r="73" spans="1:12" x14ac:dyDescent="0.2">
      <c r="A73" s="5" t="s">
        <v>211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6"/>
    </row>
    <row r="74" spans="1:12" x14ac:dyDescent="0.2">
      <c r="A74" s="5" t="s">
        <v>212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6"/>
    </row>
    <row r="75" spans="1:12" x14ac:dyDescent="0.2">
      <c r="A75" s="37" t="s">
        <v>193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6"/>
    </row>
    <row r="76" spans="1:12" x14ac:dyDescent="0.2">
      <c r="A76" s="5" t="s">
        <v>214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6"/>
    </row>
    <row r="77" spans="1:12" x14ac:dyDescent="0.2">
      <c r="A77" s="5"/>
      <c r="B77" s="9" t="s">
        <v>218</v>
      </c>
      <c r="C77" s="9" t="s">
        <v>217</v>
      </c>
      <c r="D77" s="9" t="s">
        <v>219</v>
      </c>
      <c r="E77" s="9" t="s">
        <v>220</v>
      </c>
      <c r="F77" s="9" t="s">
        <v>221</v>
      </c>
      <c r="G77" s="9" t="s">
        <v>222</v>
      </c>
      <c r="H77" s="9" t="s">
        <v>28</v>
      </c>
      <c r="I77" s="9"/>
      <c r="J77" s="9"/>
      <c r="K77" s="9"/>
      <c r="L77" s="6"/>
    </row>
    <row r="78" spans="1:12" x14ac:dyDescent="0.2">
      <c r="A78" s="5" t="s">
        <v>215</v>
      </c>
      <c r="B78" s="9">
        <f>(B67-B66)^2/B66</f>
        <v>0.65322580645161288</v>
      </c>
      <c r="C78" s="9">
        <f>(C67-C66)^2/C66</f>
        <v>0</v>
      </c>
      <c r="D78" s="9">
        <f t="shared" ref="C78:F78" si="0">(D67-D66)^2/D66</f>
        <v>0.73353293413173659</v>
      </c>
      <c r="E78" s="9">
        <f t="shared" si="0"/>
        <v>0.54873417721519024</v>
      </c>
      <c r="F78" s="9">
        <f t="shared" si="0"/>
        <v>3.5765957446808523</v>
      </c>
      <c r="G78" s="9">
        <f>SUM(B78:F78)</f>
        <v>5.5120886624793926</v>
      </c>
      <c r="H78" s="9">
        <f>COUNT(B67:F67)</f>
        <v>5</v>
      </c>
      <c r="I78" s="9"/>
      <c r="J78" s="9"/>
      <c r="K78" s="9"/>
      <c r="L78" s="6"/>
    </row>
    <row r="79" spans="1:12" x14ac:dyDescent="0.2">
      <c r="A79" s="5" t="s">
        <v>216</v>
      </c>
      <c r="B79" s="9">
        <f>(B68-B66)^2/B66</f>
        <v>7.5512903225806429</v>
      </c>
      <c r="C79" s="9">
        <f t="shared" ref="C79:F79" si="1">(C68-C66)^2/C66</f>
        <v>0.79999999999999982</v>
      </c>
      <c r="D79" s="9">
        <f t="shared" si="1"/>
        <v>7.2455089820359239E-2</v>
      </c>
      <c r="E79" s="9">
        <f t="shared" si="1"/>
        <v>3.7881856540084384</v>
      </c>
      <c r="F79" s="9">
        <f t="shared" si="1"/>
        <v>0.30638297872340431</v>
      </c>
      <c r="G79" s="9">
        <f>SUM(B79:F79)</f>
        <v>12.518314045132843</v>
      </c>
      <c r="H79" s="9">
        <f>COUNT(B68:F68)</f>
        <v>5</v>
      </c>
      <c r="I79" s="9"/>
      <c r="J79" s="9"/>
      <c r="K79" s="9"/>
      <c r="L79" s="6"/>
    </row>
    <row r="80" spans="1:12" x14ac:dyDescent="0.2">
      <c r="A80" s="37" t="s">
        <v>198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6"/>
    </row>
    <row r="81" spans="1:12" x14ac:dyDescent="0.2">
      <c r="A81" s="5"/>
      <c r="B81" s="9" t="s">
        <v>152</v>
      </c>
      <c r="C81" s="9" t="s">
        <v>153</v>
      </c>
      <c r="D81" s="9" t="s">
        <v>223</v>
      </c>
      <c r="E81" s="9" t="s">
        <v>224</v>
      </c>
      <c r="F81" s="9"/>
      <c r="G81" s="9"/>
      <c r="H81" s="9"/>
      <c r="I81" s="9"/>
      <c r="J81" s="9"/>
      <c r="K81" s="9"/>
      <c r="L81" s="6"/>
    </row>
    <row r="82" spans="1:12" x14ac:dyDescent="0.2">
      <c r="A82" s="5" t="s">
        <v>215</v>
      </c>
      <c r="B82" s="9">
        <f>H78-1</f>
        <v>4</v>
      </c>
      <c r="C82" s="9">
        <f>0.05</f>
        <v>0.05</v>
      </c>
      <c r="D82" s="9">
        <v>9.4879999999999995</v>
      </c>
      <c r="E82" s="9" t="s">
        <v>226</v>
      </c>
      <c r="F82" s="9"/>
      <c r="G82" s="9"/>
      <c r="H82" s="9"/>
      <c r="I82" s="9"/>
      <c r="J82" s="9"/>
      <c r="K82" s="9"/>
      <c r="L82" s="6"/>
    </row>
    <row r="83" spans="1:12" x14ac:dyDescent="0.2">
      <c r="A83" s="5" t="s">
        <v>216</v>
      </c>
      <c r="B83" s="9">
        <f>H79-1</f>
        <v>4</v>
      </c>
      <c r="C83" s="9">
        <f>0.05</f>
        <v>0.05</v>
      </c>
      <c r="D83" s="9">
        <v>9.4879999999999995</v>
      </c>
      <c r="E83" s="9" t="s">
        <v>225</v>
      </c>
      <c r="F83" s="9"/>
      <c r="G83" s="9"/>
      <c r="H83" s="9"/>
      <c r="I83" s="9"/>
      <c r="J83" s="9"/>
      <c r="K83" s="9"/>
      <c r="L83" s="6"/>
    </row>
    <row r="84" spans="1:12" x14ac:dyDescent="0.2">
      <c r="A84" s="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4"/>
    </row>
  </sheetData>
  <mergeCells count="4">
    <mergeCell ref="B23:J23"/>
    <mergeCell ref="A44:H44"/>
    <mergeCell ref="A64:B64"/>
    <mergeCell ref="A70:F7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E081-82A3-47B4-A744-2C4D3596ECAA}">
  <dimension ref="A1:J101"/>
  <sheetViews>
    <sheetView workbookViewId="0">
      <selection activeCell="C5" sqref="C5"/>
    </sheetView>
    <sheetView tabSelected="1" topLeftCell="A16" workbookViewId="1">
      <selection activeCell="D35" sqref="D35"/>
    </sheetView>
  </sheetViews>
  <sheetFormatPr defaultRowHeight="14.25" x14ac:dyDescent="0.2"/>
  <cols>
    <col min="5" max="5" width="13.375" customWidth="1"/>
    <col min="9" max="9" width="15.25" customWidth="1"/>
  </cols>
  <sheetData>
    <row r="1" spans="1:10" x14ac:dyDescent="0.2">
      <c r="A1" s="18" t="s">
        <v>227</v>
      </c>
      <c r="C1" s="24" t="s">
        <v>210</v>
      </c>
      <c r="F1" s="24" t="s">
        <v>213</v>
      </c>
    </row>
    <row r="2" spans="1:10" x14ac:dyDescent="0.2">
      <c r="A2" s="18">
        <v>1101.9000000000001</v>
      </c>
      <c r="C2" t="s">
        <v>228</v>
      </c>
    </row>
    <row r="3" spans="1:10" x14ac:dyDescent="0.2">
      <c r="A3" s="18">
        <v>947.1</v>
      </c>
      <c r="C3" s="24" t="s">
        <v>229</v>
      </c>
    </row>
    <row r="4" spans="1:10" x14ac:dyDescent="0.2">
      <c r="A4" s="18">
        <v>1008.6</v>
      </c>
      <c r="C4" t="s">
        <v>28</v>
      </c>
      <c r="D4">
        <f>COUNT(A2:A101)</f>
        <v>100</v>
      </c>
      <c r="G4" t="s">
        <v>17</v>
      </c>
      <c r="H4" t="s">
        <v>18</v>
      </c>
      <c r="I4" t="s">
        <v>20</v>
      </c>
      <c r="J4" t="s">
        <v>234</v>
      </c>
    </row>
    <row r="5" spans="1:10" x14ac:dyDescent="0.2">
      <c r="A5" s="18">
        <v>1115.8</v>
      </c>
      <c r="C5" t="s">
        <v>59</v>
      </c>
      <c r="D5">
        <f>MAX(A2:A101)</f>
        <v>1806.3</v>
      </c>
      <c r="G5">
        <f>D11</f>
        <v>640.41875000000005</v>
      </c>
      <c r="H5">
        <f>G5+$D$9</f>
        <v>777.58125000000007</v>
      </c>
      <c r="I5">
        <f>SUMPRODUCT(($A$2:$A$101&gt;=G5)*($A$2:$A$101&lt;H5))</f>
        <v>2</v>
      </c>
      <c r="J5">
        <f>I5/$D$4</f>
        <v>0.02</v>
      </c>
    </row>
    <row r="6" spans="1:10" x14ac:dyDescent="0.2">
      <c r="A6" s="18">
        <v>1015.5</v>
      </c>
      <c r="C6" t="s">
        <v>60</v>
      </c>
      <c r="D6">
        <f>MIN(A2:A101)</f>
        <v>709</v>
      </c>
      <c r="G6">
        <f>H5</f>
        <v>777.58125000000007</v>
      </c>
      <c r="H6">
        <f>G6+$D$9</f>
        <v>914.74375000000009</v>
      </c>
      <c r="I6">
        <f t="shared" ref="I6:I13" si="0">SUMPRODUCT(($A$2:$A$101&gt;=G6)*($A$2:$A$101&lt;H6))</f>
        <v>12</v>
      </c>
      <c r="J6">
        <f t="shared" ref="J6:J13" si="1">I6/$D$4</f>
        <v>0.12</v>
      </c>
    </row>
    <row r="7" spans="1:10" x14ac:dyDescent="0.2">
      <c r="A7" s="18">
        <v>1143.8</v>
      </c>
      <c r="C7" t="s">
        <v>230</v>
      </c>
      <c r="D7">
        <f>D5-D6</f>
        <v>1097.3</v>
      </c>
      <c r="G7">
        <f>H6</f>
        <v>914.74375000000009</v>
      </c>
      <c r="H7">
        <f>G7+$D$9</f>
        <v>1051.90625</v>
      </c>
      <c r="I7">
        <f t="shared" si="0"/>
        <v>22</v>
      </c>
      <c r="J7">
        <f t="shared" si="1"/>
        <v>0.22</v>
      </c>
    </row>
    <row r="8" spans="1:10" x14ac:dyDescent="0.2">
      <c r="A8" s="18">
        <v>1140.7</v>
      </c>
      <c r="C8" t="s">
        <v>231</v>
      </c>
      <c r="D8">
        <f>ROUND(1+3.32*LOG10(D4),0)</f>
        <v>8</v>
      </c>
      <c r="G8">
        <f>H7</f>
        <v>1051.90625</v>
      </c>
      <c r="H8">
        <f>G8+$D$9</f>
        <v>1189.0687499999999</v>
      </c>
      <c r="I8">
        <f t="shared" si="0"/>
        <v>25</v>
      </c>
      <c r="J8">
        <f t="shared" si="1"/>
        <v>0.25</v>
      </c>
    </row>
    <row r="9" spans="1:10" x14ac:dyDescent="0.2">
      <c r="A9" s="18">
        <v>1402.5</v>
      </c>
      <c r="C9" t="s">
        <v>232</v>
      </c>
      <c r="D9">
        <f>D7/D8</f>
        <v>137.16249999999999</v>
      </c>
      <c r="G9">
        <f>H8</f>
        <v>1189.0687499999999</v>
      </c>
      <c r="H9">
        <f>G9+$D$9</f>
        <v>1326.2312499999998</v>
      </c>
      <c r="I9">
        <f t="shared" si="0"/>
        <v>24</v>
      </c>
      <c r="J9">
        <f t="shared" si="1"/>
        <v>0.24</v>
      </c>
    </row>
    <row r="10" spans="1:10" x14ac:dyDescent="0.2">
      <c r="A10" s="18">
        <v>1197.0999999999999</v>
      </c>
      <c r="C10" t="s">
        <v>233</v>
      </c>
      <c r="D10">
        <f>D8+1</f>
        <v>9</v>
      </c>
      <c r="G10">
        <f>H9</f>
        <v>1326.2312499999998</v>
      </c>
      <c r="H10">
        <f>G10+$D$9</f>
        <v>1463.3937499999997</v>
      </c>
      <c r="I10">
        <f t="shared" si="0"/>
        <v>8</v>
      </c>
      <c r="J10">
        <f t="shared" si="1"/>
        <v>0.08</v>
      </c>
    </row>
    <row r="11" spans="1:10" x14ac:dyDescent="0.2">
      <c r="A11" s="18">
        <v>1107.5</v>
      </c>
      <c r="C11" t="s">
        <v>13</v>
      </c>
      <c r="D11">
        <f>D6-0.5*D9</f>
        <v>640.41875000000005</v>
      </c>
      <c r="G11">
        <f>H10</f>
        <v>1463.3937499999997</v>
      </c>
      <c r="H11">
        <f>G11+$D$9</f>
        <v>1600.5562499999996</v>
      </c>
      <c r="I11">
        <f t="shared" si="0"/>
        <v>4</v>
      </c>
      <c r="J11">
        <f t="shared" si="1"/>
        <v>0.04</v>
      </c>
    </row>
    <row r="12" spans="1:10" x14ac:dyDescent="0.2">
      <c r="A12" s="18">
        <v>1340.2</v>
      </c>
      <c r="G12">
        <f>H11</f>
        <v>1600.5562499999996</v>
      </c>
      <c r="H12">
        <f>G12+$D$9</f>
        <v>1737.7187499999995</v>
      </c>
      <c r="I12">
        <f t="shared" si="0"/>
        <v>2</v>
      </c>
      <c r="J12">
        <f t="shared" si="1"/>
        <v>0.02</v>
      </c>
    </row>
    <row r="13" spans="1:10" x14ac:dyDescent="0.2">
      <c r="A13" s="18">
        <v>1416</v>
      </c>
      <c r="G13">
        <f>H12</f>
        <v>1737.7187499999995</v>
      </c>
      <c r="H13">
        <f>G13+$D$9</f>
        <v>1874.8812499999995</v>
      </c>
      <c r="I13">
        <f t="shared" si="0"/>
        <v>1</v>
      </c>
      <c r="J13">
        <f t="shared" si="1"/>
        <v>0.01</v>
      </c>
    </row>
    <row r="14" spans="1:10" x14ac:dyDescent="0.2">
      <c r="A14" s="18">
        <v>1063.8</v>
      </c>
    </row>
    <row r="15" spans="1:10" x14ac:dyDescent="0.2">
      <c r="A15" s="18">
        <v>1217.5</v>
      </c>
      <c r="C15" s="24" t="s">
        <v>235</v>
      </c>
    </row>
    <row r="16" spans="1:10" x14ac:dyDescent="0.2">
      <c r="A16" s="18">
        <v>1507.1</v>
      </c>
      <c r="C16" t="s">
        <v>237</v>
      </c>
      <c r="D16">
        <f>AVERAGE(A2:A101)</f>
        <v>1140.4879999999994</v>
      </c>
    </row>
    <row r="17" spans="1:9" x14ac:dyDescent="0.2">
      <c r="A17" s="18">
        <v>1602</v>
      </c>
      <c r="C17" t="s">
        <v>236</v>
      </c>
      <c r="D17">
        <f>_xlfn.STDEV.S(A2:A101)</f>
        <v>203.54666567416996</v>
      </c>
    </row>
    <row r="18" spans="1:9" x14ac:dyDescent="0.2">
      <c r="A18" s="18">
        <v>1659.3</v>
      </c>
    </row>
    <row r="19" spans="1:9" x14ac:dyDescent="0.2">
      <c r="A19" s="18">
        <v>1256.0999999999999</v>
      </c>
      <c r="C19" t="s">
        <v>16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</row>
    <row r="20" spans="1:9" x14ac:dyDescent="0.2">
      <c r="A20" s="18">
        <v>1143</v>
      </c>
      <c r="C20">
        <v>1</v>
      </c>
      <c r="D20">
        <f>(G5-$D$16)/$D$17</f>
        <v>-2.456779374615214</v>
      </c>
      <c r="E20">
        <f>NORMSDIST(D20)</f>
        <v>7.0094375989241961E-3</v>
      </c>
      <c r="F20">
        <f>E21-E20</f>
        <v>3.0290494272639044E-2</v>
      </c>
      <c r="G20">
        <f>$D$4*F20</f>
        <v>3.0290494272639044</v>
      </c>
      <c r="H20">
        <f>I5</f>
        <v>2</v>
      </c>
      <c r="I20">
        <f>(G20-H20)^2/H20</f>
        <v>0.52947136187608479</v>
      </c>
    </row>
    <row r="21" spans="1:9" x14ac:dyDescent="0.2">
      <c r="A21" s="18">
        <v>911.4</v>
      </c>
      <c r="C21">
        <v>2</v>
      </c>
      <c r="D21">
        <f t="shared" ref="D21:D29" si="2">(G6-$D$16)/$D$17</f>
        <v>-1.7829167026539612</v>
      </c>
      <c r="E21">
        <f t="shared" ref="E21:E29" si="3">NORMSDIST(D21)</f>
        <v>3.729993187156324E-2</v>
      </c>
      <c r="F21">
        <f t="shared" ref="F21:F28" si="4">E22-E21</f>
        <v>9.6403505192732164E-2</v>
      </c>
      <c r="G21">
        <f t="shared" ref="G21:G28" si="5">$D$4*F21</f>
        <v>9.6403505192732162</v>
      </c>
      <c r="H21">
        <f t="shared" ref="H21:H28" si="6">I6</f>
        <v>12</v>
      </c>
      <c r="I21">
        <f t="shared" ref="I21:I28" si="7">(G21-H21)^2/H21</f>
        <v>0.46399547265784835</v>
      </c>
    </row>
    <row r="22" spans="1:9" x14ac:dyDescent="0.2">
      <c r="A22" s="18">
        <v>1331</v>
      </c>
      <c r="C22">
        <v>3</v>
      </c>
      <c r="D22">
        <f t="shared" si="2"/>
        <v>-1.1090540306927081</v>
      </c>
      <c r="E22">
        <f t="shared" si="3"/>
        <v>0.13370343706429541</v>
      </c>
      <c r="F22">
        <f t="shared" si="4"/>
        <v>0.19800833011929644</v>
      </c>
      <c r="G22">
        <f t="shared" si="5"/>
        <v>19.800833011929644</v>
      </c>
      <c r="H22">
        <f t="shared" si="6"/>
        <v>22</v>
      </c>
      <c r="I22">
        <f t="shared" si="7"/>
        <v>0.21983342915538373</v>
      </c>
    </row>
    <row r="23" spans="1:9" x14ac:dyDescent="0.2">
      <c r="A23" s="18">
        <v>709</v>
      </c>
      <c r="C23">
        <v>4</v>
      </c>
      <c r="D23">
        <f t="shared" si="2"/>
        <v>-0.4351913587314557</v>
      </c>
      <c r="E23">
        <f t="shared" si="3"/>
        <v>0.33171176718359185</v>
      </c>
      <c r="F23">
        <f t="shared" si="4"/>
        <v>0.26260800147241892</v>
      </c>
      <c r="G23">
        <f t="shared" si="5"/>
        <v>26.260800147241891</v>
      </c>
      <c r="H23">
        <f t="shared" si="6"/>
        <v>25</v>
      </c>
      <c r="I23">
        <f t="shared" si="7"/>
        <v>6.3584680451406986E-2</v>
      </c>
    </row>
    <row r="24" spans="1:9" x14ac:dyDescent="0.2">
      <c r="A24" s="18">
        <v>1004.9</v>
      </c>
      <c r="C24">
        <v>5</v>
      </c>
      <c r="D24">
        <f t="shared" si="2"/>
        <v>0.23867131322979673</v>
      </c>
      <c r="E24">
        <f t="shared" si="3"/>
        <v>0.59431976865601077</v>
      </c>
      <c r="F24">
        <f t="shared" si="4"/>
        <v>0.22493638753510892</v>
      </c>
      <c r="G24">
        <f t="shared" si="5"/>
        <v>22.493638753510893</v>
      </c>
      <c r="H24">
        <f t="shared" si="6"/>
        <v>24</v>
      </c>
      <c r="I24">
        <f t="shared" si="7"/>
        <v>9.4546841871842272E-2</v>
      </c>
    </row>
    <row r="25" spans="1:9" x14ac:dyDescent="0.2">
      <c r="A25" s="18">
        <v>1320.7</v>
      </c>
      <c r="C25">
        <v>6</v>
      </c>
      <c r="D25">
        <f t="shared" si="2"/>
        <v>0.91253398519104911</v>
      </c>
      <c r="E25">
        <f t="shared" si="3"/>
        <v>0.81925615619111969</v>
      </c>
      <c r="F25">
        <f t="shared" si="4"/>
        <v>0.12441916467887881</v>
      </c>
      <c r="G25">
        <f t="shared" si="5"/>
        <v>12.441916467887882</v>
      </c>
      <c r="H25">
        <f t="shared" si="6"/>
        <v>8</v>
      </c>
      <c r="I25">
        <f t="shared" si="7"/>
        <v>2.4663277384616951</v>
      </c>
    </row>
    <row r="26" spans="1:9" x14ac:dyDescent="0.2">
      <c r="A26" s="18">
        <v>1159.5999999999999</v>
      </c>
      <c r="C26">
        <v>7</v>
      </c>
      <c r="D26">
        <f t="shared" si="2"/>
        <v>1.5863966571523016</v>
      </c>
      <c r="E26">
        <f t="shared" si="3"/>
        <v>0.9436753208699985</v>
      </c>
      <c r="F26">
        <f t="shared" si="4"/>
        <v>4.4422098837048285E-2</v>
      </c>
      <c r="G26">
        <f t="shared" si="5"/>
        <v>4.4422098837048285</v>
      </c>
      <c r="H26">
        <f t="shared" si="6"/>
        <v>4</v>
      </c>
      <c r="I26">
        <f t="shared" si="7"/>
        <v>4.8887395311559487E-2</v>
      </c>
    </row>
    <row r="27" spans="1:9" x14ac:dyDescent="0.2">
      <c r="A27" s="18">
        <v>951.4</v>
      </c>
      <c r="C27">
        <v>8</v>
      </c>
      <c r="D27">
        <f t="shared" si="2"/>
        <v>2.2602593291135542</v>
      </c>
      <c r="E27">
        <f t="shared" si="3"/>
        <v>0.98809741970704679</v>
      </c>
      <c r="F27">
        <f t="shared" si="4"/>
        <v>1.0230116780438392E-2</v>
      </c>
      <c r="G27">
        <f>$D$4*F27</f>
        <v>1.0230116780438392</v>
      </c>
      <c r="H27">
        <f t="shared" si="6"/>
        <v>2</v>
      </c>
      <c r="I27">
        <f>(G27-H27)^2/H27</f>
        <v>0.47725309061935745</v>
      </c>
    </row>
    <row r="28" spans="1:9" x14ac:dyDescent="0.2">
      <c r="A28" s="18">
        <v>942.7</v>
      </c>
      <c r="C28">
        <v>9</v>
      </c>
      <c r="D28">
        <f t="shared" si="2"/>
        <v>2.9341220010748064</v>
      </c>
      <c r="E28">
        <f t="shared" si="3"/>
        <v>0.99832753648748518</v>
      </c>
      <c r="F28">
        <f t="shared" si="4"/>
        <v>1.5181711551578436E-3</v>
      </c>
      <c r="G28">
        <f>$D$4*F28</f>
        <v>0.15181711551578436</v>
      </c>
      <c r="H28">
        <f t="shared" si="6"/>
        <v>1</v>
      </c>
      <c r="I28">
        <f>(G28-H28)^2/H28</f>
        <v>0.71941420553196433</v>
      </c>
    </row>
    <row r="29" spans="1:9" x14ac:dyDescent="0.2">
      <c r="A29" s="18">
        <v>1285.9000000000001</v>
      </c>
      <c r="D29">
        <f>(H13-$D$16)/$D$17</f>
        <v>3.607984673036059</v>
      </c>
      <c r="E29">
        <f t="shared" si="3"/>
        <v>0.99984570764264302</v>
      </c>
    </row>
    <row r="30" spans="1:9" x14ac:dyDescent="0.2">
      <c r="A30" s="18">
        <v>1018.8</v>
      </c>
      <c r="C30" s="24" t="s">
        <v>244</v>
      </c>
    </row>
    <row r="31" spans="1:9" x14ac:dyDescent="0.2">
      <c r="A31" s="18">
        <v>901.7</v>
      </c>
      <c r="C31" t="s">
        <v>222</v>
      </c>
      <c r="D31">
        <f>SUM(I20:I28)</f>
        <v>5.0833142159371425</v>
      </c>
    </row>
    <row r="32" spans="1:9" x14ac:dyDescent="0.2">
      <c r="A32" s="18">
        <v>947.8</v>
      </c>
      <c r="C32" t="s">
        <v>152</v>
      </c>
      <c r="D32">
        <f>COUNT(C20:C28)-2-1</f>
        <v>6</v>
      </c>
    </row>
    <row r="33" spans="1:4" x14ac:dyDescent="0.2">
      <c r="A33" s="18">
        <v>1085</v>
      </c>
      <c r="C33" t="s">
        <v>153</v>
      </c>
      <c r="D33">
        <v>0.05</v>
      </c>
    </row>
    <row r="34" spans="1:4" x14ac:dyDescent="0.2">
      <c r="A34" s="18">
        <v>1147.5</v>
      </c>
      <c r="C34" t="s">
        <v>223</v>
      </c>
      <c r="D34">
        <v>12.592000000000001</v>
      </c>
    </row>
    <row r="35" spans="1:4" x14ac:dyDescent="0.2">
      <c r="A35" s="18">
        <v>1086.2</v>
      </c>
      <c r="C35" t="s">
        <v>245</v>
      </c>
    </row>
    <row r="36" spans="1:4" x14ac:dyDescent="0.2">
      <c r="A36" s="18">
        <v>1078.0999999999999</v>
      </c>
    </row>
    <row r="37" spans="1:4" x14ac:dyDescent="0.2">
      <c r="A37" s="18">
        <v>1021.3</v>
      </c>
    </row>
    <row r="38" spans="1:4" x14ac:dyDescent="0.2">
      <c r="A38" s="18">
        <v>1002.5</v>
      </c>
    </row>
    <row r="39" spans="1:4" x14ac:dyDescent="0.2">
      <c r="A39" s="18">
        <v>1123.3</v>
      </c>
    </row>
    <row r="40" spans="1:4" x14ac:dyDescent="0.2">
      <c r="A40" s="18">
        <v>984.8</v>
      </c>
    </row>
    <row r="41" spans="1:4" x14ac:dyDescent="0.2">
      <c r="A41" s="18">
        <v>1243.7</v>
      </c>
    </row>
    <row r="42" spans="1:4" x14ac:dyDescent="0.2">
      <c r="A42" s="18">
        <v>1806.3</v>
      </c>
    </row>
    <row r="43" spans="1:4" x14ac:dyDescent="0.2">
      <c r="A43" s="18">
        <v>1184.4000000000001</v>
      </c>
    </row>
    <row r="44" spans="1:4" x14ac:dyDescent="0.2">
      <c r="A44" s="18">
        <v>935</v>
      </c>
    </row>
    <row r="45" spans="1:4" x14ac:dyDescent="0.2">
      <c r="A45" s="18">
        <v>1022.5</v>
      </c>
    </row>
    <row r="46" spans="1:4" x14ac:dyDescent="0.2">
      <c r="A46" s="18">
        <v>1203.4000000000001</v>
      </c>
    </row>
    <row r="47" spans="1:4" x14ac:dyDescent="0.2">
      <c r="A47" s="18">
        <v>986.1</v>
      </c>
    </row>
    <row r="48" spans="1:4" x14ac:dyDescent="0.2">
      <c r="A48" s="18">
        <v>859.4</v>
      </c>
    </row>
    <row r="49" spans="1:1" x14ac:dyDescent="0.2">
      <c r="A49" s="18">
        <v>910.2</v>
      </c>
    </row>
    <row r="50" spans="1:1" x14ac:dyDescent="0.2">
      <c r="A50" s="18">
        <v>1195</v>
      </c>
    </row>
    <row r="51" spans="1:1" x14ac:dyDescent="0.2">
      <c r="A51" s="18">
        <v>909.3</v>
      </c>
    </row>
    <row r="52" spans="1:1" x14ac:dyDescent="0.2">
      <c r="A52" s="18">
        <v>1588.1</v>
      </c>
    </row>
    <row r="53" spans="1:1" x14ac:dyDescent="0.2">
      <c r="A53" s="18">
        <v>1113.4000000000001</v>
      </c>
    </row>
    <row r="54" spans="1:1" x14ac:dyDescent="0.2">
      <c r="A54" s="18">
        <v>1016.3</v>
      </c>
    </row>
    <row r="55" spans="1:1" x14ac:dyDescent="0.2">
      <c r="A55" s="18">
        <v>1330.9</v>
      </c>
    </row>
    <row r="56" spans="1:1" x14ac:dyDescent="0.2">
      <c r="A56" s="18">
        <v>1480</v>
      </c>
    </row>
    <row r="57" spans="1:1" x14ac:dyDescent="0.2">
      <c r="A57" s="18">
        <v>794.7</v>
      </c>
    </row>
    <row r="58" spans="1:1" x14ac:dyDescent="0.2">
      <c r="A58" s="18">
        <v>870.6</v>
      </c>
    </row>
    <row r="59" spans="1:1" x14ac:dyDescent="0.2">
      <c r="A59" s="18">
        <v>1405</v>
      </c>
    </row>
    <row r="60" spans="1:1" x14ac:dyDescent="0.2">
      <c r="A60" s="18">
        <v>1062.3</v>
      </c>
    </row>
    <row r="61" spans="1:1" x14ac:dyDescent="0.2">
      <c r="A61" s="18">
        <v>1030.3</v>
      </c>
    </row>
    <row r="62" spans="1:1" x14ac:dyDescent="0.2">
      <c r="A62" s="18">
        <v>769.8</v>
      </c>
    </row>
    <row r="63" spans="1:1" x14ac:dyDescent="0.2">
      <c r="A63" s="18">
        <v>1204.9000000000001</v>
      </c>
    </row>
    <row r="64" spans="1:1" x14ac:dyDescent="0.2">
      <c r="A64" s="18">
        <v>1031.5999999999999</v>
      </c>
    </row>
    <row r="65" spans="1:1" x14ac:dyDescent="0.2">
      <c r="A65" s="18">
        <v>1439.4</v>
      </c>
    </row>
    <row r="66" spans="1:1" x14ac:dyDescent="0.2">
      <c r="A66" s="18">
        <v>1269.9000000000001</v>
      </c>
    </row>
    <row r="67" spans="1:1" x14ac:dyDescent="0.2">
      <c r="A67" s="18">
        <v>1131.5</v>
      </c>
    </row>
    <row r="68" spans="1:1" x14ac:dyDescent="0.2">
      <c r="A68" s="18">
        <v>912</v>
      </c>
    </row>
    <row r="69" spans="1:1" x14ac:dyDescent="0.2">
      <c r="A69" s="18">
        <v>1208.7</v>
      </c>
    </row>
    <row r="70" spans="1:1" x14ac:dyDescent="0.2">
      <c r="A70" s="18">
        <v>1287.3</v>
      </c>
    </row>
    <row r="71" spans="1:1" x14ac:dyDescent="0.2">
      <c r="A71" s="18">
        <v>1124.4000000000001</v>
      </c>
    </row>
    <row r="72" spans="1:1" x14ac:dyDescent="0.2">
      <c r="A72" s="18">
        <v>1008.9</v>
      </c>
    </row>
    <row r="73" spans="1:1" x14ac:dyDescent="0.2">
      <c r="A73" s="18">
        <v>1170.7</v>
      </c>
    </row>
    <row r="74" spans="1:1" x14ac:dyDescent="0.2">
      <c r="A74" s="18">
        <v>1105.7</v>
      </c>
    </row>
    <row r="75" spans="1:1" x14ac:dyDescent="0.2">
      <c r="A75" s="18">
        <v>1236.5</v>
      </c>
    </row>
    <row r="76" spans="1:1" x14ac:dyDescent="0.2">
      <c r="A76" s="18">
        <v>1049.2</v>
      </c>
    </row>
    <row r="77" spans="1:1" x14ac:dyDescent="0.2">
      <c r="A77" s="18">
        <v>1170.5999999999999</v>
      </c>
    </row>
    <row r="78" spans="1:1" x14ac:dyDescent="0.2">
      <c r="A78" s="18">
        <v>1025.2</v>
      </c>
    </row>
    <row r="79" spans="1:1" x14ac:dyDescent="0.2">
      <c r="A79" s="18">
        <v>1305.5</v>
      </c>
    </row>
    <row r="80" spans="1:1" x14ac:dyDescent="0.2">
      <c r="A80" s="18">
        <v>1477</v>
      </c>
    </row>
    <row r="81" spans="1:1" x14ac:dyDescent="0.2">
      <c r="A81" s="18">
        <v>811.4</v>
      </c>
    </row>
    <row r="82" spans="1:1" x14ac:dyDescent="0.2">
      <c r="A82" s="18">
        <v>1206.8</v>
      </c>
    </row>
    <row r="83" spans="1:1" x14ac:dyDescent="0.2">
      <c r="A83" s="18">
        <v>975.4</v>
      </c>
    </row>
    <row r="84" spans="1:1" x14ac:dyDescent="0.2">
      <c r="A84" s="18">
        <v>849.9</v>
      </c>
    </row>
    <row r="85" spans="1:1" x14ac:dyDescent="0.2">
      <c r="A85" s="18">
        <v>1088.0999999999999</v>
      </c>
    </row>
    <row r="86" spans="1:1" x14ac:dyDescent="0.2">
      <c r="A86" s="18">
        <v>1318.4</v>
      </c>
    </row>
    <row r="87" spans="1:1" x14ac:dyDescent="0.2">
      <c r="A87" s="18">
        <v>1161.7</v>
      </c>
    </row>
    <row r="88" spans="1:1" x14ac:dyDescent="0.2">
      <c r="A88" s="18">
        <v>1264.2</v>
      </c>
    </row>
    <row r="89" spans="1:1" x14ac:dyDescent="0.2">
      <c r="A89" s="18">
        <v>1167.2</v>
      </c>
    </row>
    <row r="90" spans="1:1" x14ac:dyDescent="0.2">
      <c r="A90" s="18">
        <v>1017</v>
      </c>
    </row>
    <row r="91" spans="1:1" x14ac:dyDescent="0.2">
      <c r="A91" s="18">
        <v>820.9</v>
      </c>
    </row>
    <row r="92" spans="1:1" x14ac:dyDescent="0.2">
      <c r="A92" s="18">
        <v>1271.4000000000001</v>
      </c>
    </row>
    <row r="93" spans="1:1" x14ac:dyDescent="0.2">
      <c r="A93" s="18">
        <v>1462.3</v>
      </c>
    </row>
    <row r="94" spans="1:1" x14ac:dyDescent="0.2">
      <c r="A94" s="18">
        <v>1233.4000000000001</v>
      </c>
    </row>
    <row r="95" spans="1:1" x14ac:dyDescent="0.2">
      <c r="A95" s="18">
        <v>1288.7</v>
      </c>
    </row>
    <row r="96" spans="1:1" x14ac:dyDescent="0.2">
      <c r="A96" s="18">
        <v>1191.8</v>
      </c>
    </row>
    <row r="97" spans="1:1" x14ac:dyDescent="0.2">
      <c r="A97" s="18">
        <v>791.2</v>
      </c>
    </row>
    <row r="98" spans="1:1" x14ac:dyDescent="0.2">
      <c r="A98" s="18">
        <v>1196.5</v>
      </c>
    </row>
    <row r="99" spans="1:1" x14ac:dyDescent="0.2">
      <c r="A99" s="18">
        <v>1255.9000000000001</v>
      </c>
    </row>
    <row r="100" spans="1:1" x14ac:dyDescent="0.2">
      <c r="A100" s="18">
        <v>1217.7</v>
      </c>
    </row>
    <row r="101" spans="1:1" x14ac:dyDescent="0.2">
      <c r="A101" s="18">
        <v>1184.0999999999999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  <vt:lpstr>时间序列</vt:lpstr>
      <vt:lpstr>统计假设检验</vt:lpstr>
      <vt:lpstr>统计假设检验2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2019-12-09T02:06:52Z</dcterms:modified>
</cp:coreProperties>
</file>