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/>
  <xr:revisionPtr revIDLastSave="0" documentId="13_ncr:1_{E99A542F-458B-4EB1-8698-2B431850E65A}" xr6:coauthVersionLast="45" xr6:coauthVersionMax="45" xr10:uidLastSave="{00000000-0000-0000-0000-000000000000}"/>
  <bookViews>
    <workbookView xWindow="-120" yWindow="-120" windowWidth="20730" windowHeight="11760" firstSheet="6" activeTab="11" xr2:uid="{D94FEF53-5665-447A-A54A-4560CFA21601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  <sheet name="时间序列" sheetId="8" r:id="rId7"/>
    <sheet name="统计假设检验" sheetId="9" r:id="rId8"/>
    <sheet name="统计假设检验2" sheetId="10" r:id="rId9"/>
    <sheet name="相关性分析" sheetId="11" r:id="rId10"/>
    <sheet name="多元线性回归" sheetId="12" r:id="rId11"/>
    <sheet name="聚类分析-最小距离法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" i="13" l="1"/>
  <c r="B73" i="13"/>
  <c r="C68" i="13"/>
  <c r="B68" i="13"/>
  <c r="C67" i="13"/>
  <c r="B67" i="13"/>
  <c r="C61" i="13"/>
  <c r="D61" i="13"/>
  <c r="B61" i="13"/>
  <c r="D60" i="13"/>
  <c r="C60" i="13"/>
  <c r="B60" i="13"/>
  <c r="C53" i="13"/>
  <c r="D53" i="13"/>
  <c r="E53" i="13"/>
  <c r="B53" i="13"/>
  <c r="E52" i="13"/>
  <c r="D52" i="13"/>
  <c r="C52" i="13"/>
  <c r="B52" i="13"/>
  <c r="C44" i="13"/>
  <c r="D44" i="13"/>
  <c r="E44" i="13"/>
  <c r="F44" i="13"/>
  <c r="B44" i="13"/>
  <c r="F43" i="13"/>
  <c r="E43" i="13"/>
  <c r="D43" i="13"/>
  <c r="C43" i="13"/>
  <c r="B43" i="13"/>
  <c r="C34" i="13"/>
  <c r="D34" i="13"/>
  <c r="E34" i="13"/>
  <c r="F34" i="13"/>
  <c r="G34" i="13"/>
  <c r="B34" i="13"/>
  <c r="G33" i="13"/>
  <c r="F33" i="13"/>
  <c r="E33" i="13"/>
  <c r="D33" i="13"/>
  <c r="C33" i="13"/>
  <c r="B33" i="13"/>
  <c r="B22" i="13"/>
  <c r="C23" i="13"/>
  <c r="D23" i="13"/>
  <c r="E23" i="13"/>
  <c r="F23" i="13"/>
  <c r="G23" i="13"/>
  <c r="H23" i="13"/>
  <c r="B23" i="13"/>
  <c r="H22" i="13"/>
  <c r="G22" i="13"/>
  <c r="F22" i="13"/>
  <c r="E22" i="13"/>
  <c r="D22" i="13"/>
  <c r="C22" i="13"/>
  <c r="C11" i="13" l="1"/>
  <c r="D11" i="13"/>
  <c r="E11" i="13"/>
  <c r="F11" i="13"/>
  <c r="G11" i="13"/>
  <c r="H11" i="13"/>
  <c r="I11" i="13"/>
  <c r="B11" i="13"/>
  <c r="O52" i="12" l="1"/>
  <c r="O51" i="12"/>
  <c r="O50" i="12"/>
  <c r="O49" i="12"/>
  <c r="O48" i="12"/>
  <c r="I48" i="12"/>
  <c r="I49" i="12"/>
  <c r="I50" i="12"/>
  <c r="I51" i="12"/>
  <c r="I52" i="12"/>
  <c r="I53" i="12"/>
  <c r="I54" i="12"/>
  <c r="I55" i="12"/>
  <c r="I56" i="12"/>
  <c r="I57" i="12"/>
  <c r="I58" i="12"/>
  <c r="H48" i="12"/>
  <c r="H49" i="12"/>
  <c r="H50" i="12"/>
  <c r="H51" i="12"/>
  <c r="H52" i="12"/>
  <c r="H53" i="12"/>
  <c r="H54" i="12"/>
  <c r="H55" i="12"/>
  <c r="H56" i="12"/>
  <c r="H57" i="12"/>
  <c r="H58" i="12"/>
  <c r="G48" i="12"/>
  <c r="G49" i="12"/>
  <c r="G50" i="12"/>
  <c r="G51" i="12"/>
  <c r="G52" i="12"/>
  <c r="G53" i="12"/>
  <c r="G54" i="12"/>
  <c r="G55" i="12"/>
  <c r="G56" i="12"/>
  <c r="G57" i="12"/>
  <c r="G58" i="12"/>
  <c r="F48" i="12"/>
  <c r="F49" i="12"/>
  <c r="F50" i="12"/>
  <c r="F51" i="12"/>
  <c r="F52" i="12"/>
  <c r="F53" i="12"/>
  <c r="F54" i="12"/>
  <c r="F55" i="12"/>
  <c r="F56" i="12"/>
  <c r="F57" i="12"/>
  <c r="F58" i="12"/>
  <c r="I47" i="12"/>
  <c r="H47" i="12"/>
  <c r="F47" i="12"/>
  <c r="G47" i="12"/>
  <c r="A58" i="12"/>
  <c r="B58" i="12"/>
  <c r="C58" i="12"/>
  <c r="D58" i="12"/>
  <c r="E58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B47" i="12"/>
  <c r="C47" i="12"/>
  <c r="D47" i="12"/>
  <c r="E47" i="12"/>
  <c r="A47" i="12"/>
  <c r="L28" i="12"/>
  <c r="L27" i="12"/>
  <c r="L26" i="12"/>
  <c r="L25" i="12"/>
  <c r="E24" i="12"/>
  <c r="E25" i="12"/>
  <c r="E26" i="12"/>
  <c r="E27" i="12"/>
  <c r="E28" i="12"/>
  <c r="E29" i="12"/>
  <c r="E30" i="12"/>
  <c r="E31" i="12"/>
  <c r="E32" i="12"/>
  <c r="E33" i="12"/>
  <c r="E34" i="12"/>
  <c r="E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D23" i="12"/>
  <c r="C23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A32" i="12"/>
  <c r="A33" i="12"/>
  <c r="A34" i="12"/>
  <c r="A24" i="12"/>
  <c r="A25" i="12"/>
  <c r="A26" i="12"/>
  <c r="A27" i="12"/>
  <c r="A28" i="12"/>
  <c r="A29" i="12"/>
  <c r="A30" i="12"/>
  <c r="A31" i="12"/>
  <c r="A23" i="12"/>
  <c r="L6" i="12"/>
  <c r="L5" i="12"/>
  <c r="L4" i="12"/>
  <c r="L7" i="12"/>
  <c r="F3" i="12" l="1"/>
  <c r="F4" i="12"/>
  <c r="F5" i="12"/>
  <c r="F6" i="12"/>
  <c r="F7" i="12"/>
  <c r="F8" i="12"/>
  <c r="F9" i="12"/>
  <c r="F10" i="12"/>
  <c r="F11" i="12"/>
  <c r="F12" i="12"/>
  <c r="F13" i="12"/>
  <c r="F14" i="12"/>
  <c r="E4" i="12"/>
  <c r="E5" i="12"/>
  <c r="E6" i="12"/>
  <c r="E7" i="12"/>
  <c r="E8" i="12"/>
  <c r="E9" i="12"/>
  <c r="E10" i="12"/>
  <c r="E11" i="12"/>
  <c r="E12" i="12"/>
  <c r="E13" i="12"/>
  <c r="E14" i="12"/>
  <c r="E3" i="12"/>
  <c r="M21" i="11" l="1"/>
  <c r="L21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18" i="11"/>
  <c r="H18" i="11"/>
  <c r="H31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F8" i="11"/>
  <c r="H8" i="11"/>
  <c r="G10" i="11" s="1"/>
  <c r="G14" i="11" s="1"/>
  <c r="I5" i="11"/>
  <c r="G12" i="11" s="1"/>
  <c r="I4" i="11"/>
  <c r="G11" i="11" s="1"/>
  <c r="H4" i="11"/>
  <c r="G5" i="11"/>
  <c r="H5" i="11" s="1"/>
  <c r="G4" i="11"/>
  <c r="D32" i="10" l="1"/>
  <c r="D31" i="10"/>
  <c r="G28" i="10"/>
  <c r="G27" i="10"/>
  <c r="G21" i="10"/>
  <c r="I21" i="10" s="1"/>
  <c r="G22" i="10"/>
  <c r="I22" i="10" s="1"/>
  <c r="G23" i="10"/>
  <c r="I23" i="10" s="1"/>
  <c r="G24" i="10"/>
  <c r="G25" i="10"/>
  <c r="G26" i="10"/>
  <c r="I28" i="10"/>
  <c r="G20" i="10"/>
  <c r="I20" i="10" s="1"/>
  <c r="I27" i="10"/>
  <c r="I24" i="10"/>
  <c r="I25" i="10"/>
  <c r="I26" i="10"/>
  <c r="H21" i="10"/>
  <c r="H22" i="10"/>
  <c r="H23" i="10"/>
  <c r="H24" i="10"/>
  <c r="H25" i="10"/>
  <c r="H26" i="10"/>
  <c r="H27" i="10"/>
  <c r="H28" i="10"/>
  <c r="H20" i="10"/>
  <c r="F21" i="10"/>
  <c r="F22" i="10"/>
  <c r="F23" i="10"/>
  <c r="F24" i="10"/>
  <c r="F25" i="10"/>
  <c r="F26" i="10"/>
  <c r="F27" i="10"/>
  <c r="F28" i="10"/>
  <c r="F20" i="10"/>
  <c r="E29" i="10"/>
  <c r="D29" i="10"/>
  <c r="E21" i="10"/>
  <c r="E22" i="10"/>
  <c r="E23" i="10"/>
  <c r="E24" i="10"/>
  <c r="E25" i="10"/>
  <c r="E26" i="10"/>
  <c r="E27" i="10"/>
  <c r="E28" i="10"/>
  <c r="E20" i="10"/>
  <c r="D21" i="10"/>
  <c r="D22" i="10"/>
  <c r="D23" i="10"/>
  <c r="D24" i="10"/>
  <c r="D25" i="10"/>
  <c r="D26" i="10"/>
  <c r="D27" i="10"/>
  <c r="D28" i="10"/>
  <c r="D20" i="10"/>
  <c r="D17" i="10"/>
  <c r="D16" i="10"/>
  <c r="J6" i="10"/>
  <c r="J7" i="10"/>
  <c r="J8" i="10"/>
  <c r="J9" i="10"/>
  <c r="J10" i="10"/>
  <c r="J11" i="10"/>
  <c r="J12" i="10"/>
  <c r="J13" i="10"/>
  <c r="J5" i="10"/>
  <c r="I6" i="10"/>
  <c r="I7" i="10"/>
  <c r="I8" i="10"/>
  <c r="I9" i="10"/>
  <c r="I10" i="10"/>
  <c r="I11" i="10"/>
  <c r="I12" i="10"/>
  <c r="I13" i="10"/>
  <c r="I5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H5" i="10"/>
  <c r="G6" i="10" s="1"/>
  <c r="G5" i="10"/>
  <c r="D11" i="10"/>
  <c r="D10" i="10"/>
  <c r="D9" i="10"/>
  <c r="D8" i="10"/>
  <c r="D7" i="10"/>
  <c r="D6" i="10"/>
  <c r="D5" i="10"/>
  <c r="D4" i="10"/>
  <c r="C79" i="9" l="1"/>
  <c r="D79" i="9"/>
  <c r="E79" i="9"/>
  <c r="F79" i="9"/>
  <c r="B79" i="9"/>
  <c r="G78" i="9"/>
  <c r="C83" i="9"/>
  <c r="C82" i="9"/>
  <c r="B83" i="9"/>
  <c r="B82" i="9"/>
  <c r="H79" i="9"/>
  <c r="H78" i="9"/>
  <c r="C78" i="9"/>
  <c r="D78" i="9"/>
  <c r="E78" i="9"/>
  <c r="F78" i="9"/>
  <c r="B78" i="9"/>
  <c r="B60" i="9"/>
  <c r="B59" i="9"/>
  <c r="B57" i="9"/>
  <c r="B55" i="9"/>
  <c r="D53" i="9"/>
  <c r="D52" i="9"/>
  <c r="C53" i="9"/>
  <c r="C52" i="9"/>
  <c r="B53" i="9"/>
  <c r="B52" i="9"/>
  <c r="G79" i="9" l="1"/>
  <c r="C39" i="9" l="1"/>
  <c r="C37" i="9"/>
  <c r="C40" i="9"/>
  <c r="C35" i="9"/>
  <c r="C32" i="9"/>
  <c r="C33" i="9"/>
  <c r="D33" i="9"/>
  <c r="D32" i="9"/>
  <c r="E33" i="9"/>
  <c r="E32" i="9"/>
  <c r="G9" i="9" l="1"/>
  <c r="F9" i="9"/>
  <c r="G8" i="9"/>
  <c r="F8" i="9"/>
  <c r="G3" i="9"/>
  <c r="G15" i="9" s="1"/>
  <c r="F3" i="9"/>
  <c r="F15" i="9" s="1"/>
  <c r="F17" i="9" l="1"/>
  <c r="G12" i="9"/>
  <c r="F12" i="9"/>
  <c r="H30" i="8" l="1"/>
  <c r="H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2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B29" i="4" l="1"/>
  <c r="A24" i="4"/>
  <c r="B28" i="4"/>
  <c r="C41" i="4"/>
  <c r="B31" i="4"/>
  <c r="F42" i="7" l="1"/>
  <c r="F43" i="7" s="1"/>
  <c r="F44" i="7" s="1"/>
  <c r="F45" i="7" s="1"/>
  <c r="F46" i="7" s="1"/>
  <c r="F47" i="7" s="1"/>
  <c r="F48" i="7" s="1"/>
  <c r="F49" i="7" s="1"/>
  <c r="F50" i="7" s="1"/>
  <c r="F51" i="7" s="1"/>
  <c r="E42" i="7"/>
  <c r="E43" i="7" s="1"/>
  <c r="E44" i="7" s="1"/>
  <c r="E45" i="7" s="1"/>
  <c r="E46" i="7" s="1"/>
  <c r="E47" i="7" s="1"/>
  <c r="E48" i="7" s="1"/>
  <c r="E49" i="7" s="1"/>
  <c r="E50" i="7" s="1"/>
  <c r="E51" i="7" s="1"/>
  <c r="E30" i="7"/>
  <c r="E31" i="7" s="1"/>
  <c r="E32" i="7" s="1"/>
  <c r="E33" i="7" s="1"/>
  <c r="E34" i="7" s="1"/>
  <c r="E35" i="7" s="1"/>
  <c r="E36" i="7" s="1"/>
  <c r="E37" i="7" s="1"/>
  <c r="E38" i="7" s="1"/>
  <c r="F29" i="7"/>
  <c r="F30" i="7" s="1"/>
  <c r="F31" i="7" s="1"/>
  <c r="F32" i="7" s="1"/>
  <c r="F33" i="7" s="1"/>
  <c r="F34" i="7" s="1"/>
  <c r="F35" i="7" s="1"/>
  <c r="F36" i="7" s="1"/>
  <c r="F37" i="7" s="1"/>
  <c r="F38" i="7" s="1"/>
  <c r="E29" i="7"/>
  <c r="F41" i="7"/>
  <c r="E41" i="7"/>
  <c r="F28" i="7"/>
  <c r="E28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B11" i="7"/>
  <c r="B9" i="7"/>
  <c r="M3" i="7"/>
  <c r="M4" i="7"/>
  <c r="M5" i="7"/>
  <c r="M2" i="7"/>
  <c r="K20" i="6" l="1"/>
  <c r="L18" i="6"/>
  <c r="M18" i="6"/>
  <c r="N18" i="6"/>
  <c r="O18" i="6"/>
  <c r="K18" i="6"/>
  <c r="AM24" i="5" l="1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C37" i="4" l="1"/>
  <c r="D37" i="4"/>
  <c r="E37" i="4"/>
  <c r="F37" i="4"/>
  <c r="G37" i="4"/>
  <c r="H37" i="4"/>
  <c r="I37" i="4"/>
  <c r="J37" i="4"/>
  <c r="K37" i="4"/>
  <c r="B37" i="4"/>
  <c r="A41" i="4" s="1"/>
  <c r="I41" i="4" s="1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<sst xmlns="http://schemas.openxmlformats.org/spreadsheetml/2006/main" count="821" uniqueCount="352">
  <si>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</si>
  <si>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</si>
  <si>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</si>
  <si>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</si>
  <si>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</si>
  <si>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</si>
  <si>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</si>
  <si>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</si>
  <si>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</si>
  <si>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</si>
  <si>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</si>
  <si>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</si>
  <si>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</si>
  <si>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</si>
  <si>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</si>
  <si>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</si>
  <si>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</si>
  <si>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</si>
  <si>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</si>
  <si>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</si>
  <si>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</si>
  <si>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</si>
  <si>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</si>
  <si>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</si>
  <si>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</si>
  <si>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</si>
  <si>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</si>
  <si>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</si>
  <si>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</si>
  <si>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</si>
  <si>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</si>
  <si>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</si>
  <si>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</si>
  <si>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</si>
  <si>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</si>
  <si>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</si>
  <si>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</si>
  <si>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</si>
  <si>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</si>
  <si>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</si>
  <si>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</si>
  <si>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</si>
  <si>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</si>
  <si>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</si>
  <si>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</si>
  <si>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</si>
  <si>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</si>
  <si>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</si>
  <si>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</si>
  <si>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</si>
  <si>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</si>
  <si>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</si>
  <si>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</si>
  <si>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</si>
  <si>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</si>
  <si>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</si>
  <si>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</si>
  <si>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</si>
  <si>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</si>
  <si>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</si>
  <si>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</si>
  <si>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</si>
  <si>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</si>
  <si>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</si>
  <si>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</si>
  <si>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</si>
  <si>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</si>
  <si>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</si>
  <si>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</si>
  <si>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</si>
  <si>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</si>
  <si>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</si>
  <si>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</si>
  <si>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</si>
  <si>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</si>
  <si>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</si>
  <si>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</si>
  <si>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</si>
  <si>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</si>
  <si>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</si>
  <si>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</si>
  <si>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</si>
  <si>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</si>
  <si>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</si>
  <si>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</si>
  <si>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</si>
  <si>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</si>
  <si>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</si>
  <si>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</si>
  <si>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</si>
  <si>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</si>
  <si>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</si>
  <si>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</si>
  <si>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</si>
  <si>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</si>
  <si>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</si>
  <si>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</si>
  <si>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</si>
  <si>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</si>
  <si>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</si>
  <si>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</si>
  <si>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</si>
  <si>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</si>
  <si>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</si>
  <si>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</si>
  <si>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</si>
  <si>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</si>
  <si>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</si>
  <si>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</si>
  <si>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</si>
  <si>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</si>
  <si>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</si>
  <si>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</si>
  <si>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</si>
  <si>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</si>
  <si>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</si>
  <si>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</si>
  <si>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</si>
  <si>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</si>
  <si>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</si>
  <si>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</si>
  <si>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</si>
  <si>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</si>
  <si>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</si>
  <si>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</si>
  <si>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</si>
  <si>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</si>
  <si>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</si>
  <si>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</si>
  <si>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</si>
  <si>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</si>
  <si>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</si>
  <si>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</si>
  <si>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</si>
  <si>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</si>
  <si>
    <t>流量（立方米/秒）</t>
  </si>
  <si>
    <t>滑动平均（三年）</t>
    <phoneticPr fontId="1" type="noConversion"/>
  </si>
  <si>
    <t>滑动平均（五年）</t>
    <phoneticPr fontId="1" type="noConversion"/>
  </si>
  <si>
    <t>距平</t>
    <phoneticPr fontId="1" type="noConversion"/>
  </si>
  <si>
    <t>GDP</t>
  </si>
  <si>
    <t>人口</t>
  </si>
  <si>
    <t>上海</t>
    <phoneticPr fontId="1" type="noConversion"/>
  </si>
  <si>
    <t>北京</t>
    <phoneticPr fontId="1" type="noConversion"/>
  </si>
  <si>
    <t>两个区域方差的比较</t>
    <phoneticPr fontId="1" type="noConversion"/>
  </si>
  <si>
    <t>2.计算方差</t>
    <phoneticPr fontId="1" type="noConversion"/>
  </si>
  <si>
    <t>GDP</t>
    <phoneticPr fontId="1" type="noConversion"/>
  </si>
  <si>
    <t>人口</t>
    <phoneticPr fontId="1" type="noConversion"/>
  </si>
  <si>
    <t>方差</t>
    <phoneticPr fontId="1" type="noConversion"/>
  </si>
  <si>
    <t>3.计算F值</t>
    <phoneticPr fontId="1" type="noConversion"/>
  </si>
  <si>
    <t>1.原假设：</t>
    <phoneticPr fontId="1" type="noConversion"/>
  </si>
  <si>
    <t>F</t>
    <phoneticPr fontId="1" type="noConversion"/>
  </si>
  <si>
    <t>4.查F分布表</t>
    <phoneticPr fontId="1" type="noConversion"/>
  </si>
  <si>
    <t>自由度</t>
    <phoneticPr fontId="1" type="noConversion"/>
  </si>
  <si>
    <t>置信度</t>
    <phoneticPr fontId="1" type="noConversion"/>
  </si>
  <si>
    <t>（自由度=样品数-1）</t>
    <phoneticPr fontId="1" type="noConversion"/>
  </si>
  <si>
    <t>F临界值</t>
    <phoneticPr fontId="1" type="noConversion"/>
  </si>
  <si>
    <t>（双侧检验）</t>
    <phoneticPr fontId="1" type="noConversion"/>
  </si>
  <si>
    <t>5.比较F值与F临界值</t>
    <phoneticPr fontId="1" type="noConversion"/>
  </si>
  <si>
    <t>F&lt;F临界值</t>
    <phoneticPr fontId="1" type="noConversion"/>
  </si>
  <si>
    <t>假设北京和上海的GPD及人口的变化没有显著差异</t>
    <phoneticPr fontId="1" type="noConversion"/>
  </si>
  <si>
    <t>接受原假设，北京和上海的GPD的变化无显著差异</t>
    <phoneticPr fontId="1" type="noConversion"/>
  </si>
  <si>
    <t>接受原假设，北京和上海的人口的变化无显著差异</t>
    <phoneticPr fontId="1" type="noConversion"/>
  </si>
  <si>
    <t>河段</t>
  </si>
  <si>
    <t>河段S</t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</si>
  <si>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</si>
  <si>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</si>
  <si>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</si>
  <si>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</si>
  <si>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</si>
  <si>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</si>
  <si>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</si>
  <si>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</si>
  <si>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</si>
  <si>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习题：为判别飞云江河两个河段的泥沙颗粒组成有无显著不同，分别在两段的几个点进行采样分析，试根据分析资料确定是否差异显著。</t>
    <phoneticPr fontId="1" type="noConversion"/>
  </si>
  <si>
    <t>河段T</t>
    <phoneticPr fontId="1" type="noConversion"/>
  </si>
  <si>
    <t>1.原假设</t>
    <phoneticPr fontId="1" type="noConversion"/>
  </si>
  <si>
    <t>飞云江河两个河段的泥沙颗粒组成无显著不同</t>
    <phoneticPr fontId="1" type="noConversion"/>
  </si>
  <si>
    <t>u检验法</t>
    <phoneticPr fontId="1" type="noConversion"/>
  </si>
  <si>
    <t>河段S</t>
    <phoneticPr fontId="1" type="noConversion"/>
  </si>
  <si>
    <t>2.计算样品数、均值和方差</t>
    <phoneticPr fontId="1" type="noConversion"/>
  </si>
  <si>
    <t>3.计算t统计量</t>
    <phoneticPr fontId="1" type="noConversion"/>
  </si>
  <si>
    <t>t</t>
    <phoneticPr fontId="1" type="noConversion"/>
  </si>
  <si>
    <t>|t|</t>
    <phoneticPr fontId="1" type="noConversion"/>
  </si>
  <si>
    <t>4.查找t分布表并比较临界值</t>
    <phoneticPr fontId="1" type="noConversion"/>
  </si>
  <si>
    <t>t0 临界值</t>
    <phoneticPr fontId="1" type="noConversion"/>
  </si>
  <si>
    <t>|t|&gt;t0</t>
    <phoneticPr fontId="1" type="noConversion"/>
  </si>
  <si>
    <t>拒绝原假设，飞云江河两个河段的泥沙颗粒组成有显著差异</t>
    <phoneticPr fontId="1" type="noConversion"/>
  </si>
  <si>
    <t>某地区一年内10次人工降雨试验，得到作业区与对照区降雨量表，问人工降雨效果是否显著？</t>
  </si>
  <si>
    <t>序号</t>
  </si>
  <si>
    <t>作业区雨量</t>
  </si>
  <si>
    <t>对照区雨量</t>
  </si>
  <si>
    <t>1.提取原假设</t>
    <phoneticPr fontId="1" type="noConversion"/>
  </si>
  <si>
    <t>假设人工降雨效果不显著</t>
    <phoneticPr fontId="1" type="noConversion"/>
  </si>
  <si>
    <t>2.计算统计量</t>
    <phoneticPr fontId="1" type="noConversion"/>
  </si>
  <si>
    <t>作业区雨量</t>
    <phoneticPr fontId="1" type="noConversion"/>
  </si>
  <si>
    <t>对照区雨量</t>
    <phoneticPr fontId="1" type="noConversion"/>
  </si>
  <si>
    <t>平均值</t>
    <phoneticPr fontId="1" type="noConversion"/>
  </si>
  <si>
    <t>t统计量</t>
    <phoneticPr fontId="1" type="noConversion"/>
  </si>
  <si>
    <t>3.验证统计量</t>
    <phoneticPr fontId="1" type="noConversion"/>
  </si>
  <si>
    <t>拒绝原假设，人工降雨效果显著</t>
    <phoneticPr fontId="1" type="noConversion"/>
  </si>
  <si>
    <t>1983年农业产值结构</t>
  </si>
  <si>
    <t>种植业</t>
  </si>
  <si>
    <t>林业</t>
  </si>
  <si>
    <t>牧业</t>
  </si>
  <si>
    <t>副业</t>
  </si>
  <si>
    <t>渔业</t>
  </si>
  <si>
    <t>全市</t>
  </si>
  <si>
    <t>A县</t>
  </si>
  <si>
    <t>B县</t>
  </si>
  <si>
    <t>分别检验两个县的农业产值结构同全市的农业产值是否显著差异</t>
  </si>
  <si>
    <t>1.提出原假设</t>
    <phoneticPr fontId="1" type="noConversion"/>
  </si>
  <si>
    <t>假设1：A县的农业产值结构同全市的农业产值无显著差异</t>
    <phoneticPr fontId="1" type="noConversion"/>
  </si>
  <si>
    <t>假设2：B县的农业产值结果同全市的农业产值无显著差异</t>
    <phoneticPr fontId="1" type="noConversion"/>
  </si>
  <si>
    <t>适应性检验</t>
    <phoneticPr fontId="1" type="noConversion"/>
  </si>
  <si>
    <t>全市数据为理论次数，A县数据和B县数据为观测次数</t>
    <phoneticPr fontId="1" type="noConversion"/>
  </si>
  <si>
    <t>A县</t>
    <phoneticPr fontId="1" type="noConversion"/>
  </si>
  <si>
    <t>B县</t>
    <phoneticPr fontId="1" type="noConversion"/>
  </si>
  <si>
    <t>农业</t>
    <phoneticPr fontId="1" type="noConversion"/>
  </si>
  <si>
    <t>种植业</t>
    <phoneticPr fontId="1" type="noConversion"/>
  </si>
  <si>
    <t>牧业</t>
    <phoneticPr fontId="1" type="noConversion"/>
  </si>
  <si>
    <t>副业</t>
    <phoneticPr fontId="1" type="noConversion"/>
  </si>
  <si>
    <t>渔业</t>
    <phoneticPr fontId="1" type="noConversion"/>
  </si>
  <si>
    <t>X²</t>
    <phoneticPr fontId="1" type="noConversion"/>
  </si>
  <si>
    <t>X²临界值</t>
    <phoneticPr fontId="1" type="noConversion"/>
  </si>
  <si>
    <t>比较</t>
    <phoneticPr fontId="1" type="noConversion"/>
  </si>
  <si>
    <t>X²&gt;X²临界值，拒绝原假设，B县的农业产值结构同全市的农业产值差异显著</t>
    <phoneticPr fontId="1" type="noConversion"/>
  </si>
  <si>
    <t>X²&lt;X²临界值，接收原假设，A县的农业产值结构同全市的农业产值无显著差异</t>
    <phoneticPr fontId="1" type="noConversion"/>
  </si>
  <si>
    <t>降水资料</t>
  </si>
  <si>
    <t>假设该降水资料数据服从正太分布</t>
    <phoneticPr fontId="1" type="noConversion"/>
  </si>
  <si>
    <t>2.数据分组</t>
    <phoneticPr fontId="1" type="noConversion"/>
  </si>
  <si>
    <t>全距</t>
    <phoneticPr fontId="1" type="noConversion"/>
  </si>
  <si>
    <t>假设组数</t>
    <phoneticPr fontId="1" type="noConversion"/>
  </si>
  <si>
    <t>组距</t>
    <phoneticPr fontId="1" type="noConversion"/>
  </si>
  <si>
    <t>确定组数</t>
    <phoneticPr fontId="1" type="noConversion"/>
  </si>
  <si>
    <t>频率</t>
    <phoneticPr fontId="1" type="noConversion"/>
  </si>
  <si>
    <t>3.计算统计量</t>
    <phoneticPr fontId="1" type="noConversion"/>
  </si>
  <si>
    <t>标准差</t>
    <phoneticPr fontId="1" type="noConversion"/>
  </si>
  <si>
    <t>平均数</t>
    <phoneticPr fontId="1" type="noConversion"/>
  </si>
  <si>
    <t>u值</t>
    <phoneticPr fontId="1" type="noConversion"/>
  </si>
  <si>
    <t>正太分布表φ(u)</t>
    <phoneticPr fontId="1" type="noConversion"/>
  </si>
  <si>
    <t>nφ(u)</t>
    <phoneticPr fontId="1" type="noConversion"/>
  </si>
  <si>
    <t>理论次数</t>
    <phoneticPr fontId="1" type="noConversion"/>
  </si>
  <si>
    <t>实际次数</t>
    <phoneticPr fontId="1" type="noConversion"/>
  </si>
  <si>
    <t>(理论-实际)²/实际</t>
    <phoneticPr fontId="1" type="noConversion"/>
  </si>
  <si>
    <t>4.验证</t>
    <phoneticPr fontId="1" type="noConversion"/>
  </si>
  <si>
    <t>X²&lt;X²临界值，接收原假设，该降水数据服从正太分布</t>
    <phoneticPr fontId="1" type="noConversion"/>
  </si>
  <si>
    <t>人均产出</t>
    <phoneticPr fontId="12" type="noConversion"/>
  </si>
  <si>
    <r>
      <t>人均</t>
    </r>
    <r>
      <rPr>
        <sz val="10.5"/>
        <rFont val="Times New Roman"/>
        <family val="1"/>
      </rPr>
      <t>GDP</t>
    </r>
    <phoneticPr fontId="12" type="noConversion"/>
  </si>
  <si>
    <t>城市化率</t>
    <phoneticPr fontId="12" type="noConversion"/>
  </si>
  <si>
    <t>简单线性相关程度的度量</t>
    <phoneticPr fontId="1" type="noConversion"/>
  </si>
  <si>
    <t>计算人均GPD和城市化率的相关程度</t>
    <phoneticPr fontId="1" type="noConversion"/>
  </si>
  <si>
    <t>1.相关系数(r)</t>
    <phoneticPr fontId="1" type="noConversion"/>
  </si>
  <si>
    <t>城市化率</t>
  </si>
  <si>
    <t>城市化率</t>
    <phoneticPr fontId="1" type="noConversion"/>
  </si>
  <si>
    <t>总和</t>
    <phoneticPr fontId="1" type="noConversion"/>
  </si>
  <si>
    <t>和的平方</t>
    <phoneticPr fontId="1" type="noConversion"/>
  </si>
  <si>
    <t>平方和</t>
    <phoneticPr fontId="1" type="noConversion"/>
  </si>
  <si>
    <t>人均GDP</t>
    <phoneticPr fontId="1" type="noConversion"/>
  </si>
  <si>
    <t>人均GDP和城市化率的乘积和</t>
    <phoneticPr fontId="1" type="noConversion"/>
  </si>
  <si>
    <t>Lxy</t>
    <phoneticPr fontId="1" type="noConversion"/>
  </si>
  <si>
    <t>Lxx</t>
    <phoneticPr fontId="1" type="noConversion"/>
  </si>
  <si>
    <t>Lyy</t>
    <phoneticPr fontId="1" type="noConversion"/>
  </si>
  <si>
    <t>相关系数r</t>
    <phoneticPr fontId="1" type="noConversion"/>
  </si>
  <si>
    <t>2.顺序（等级）相关系数（rs）</t>
    <phoneticPr fontId="1" type="noConversion"/>
  </si>
  <si>
    <t>人均GDP排名</t>
    <phoneticPr fontId="1" type="noConversion"/>
  </si>
  <si>
    <t>城市化率排名</t>
    <phoneticPr fontId="1" type="noConversion"/>
  </si>
  <si>
    <t>排名差di</t>
    <phoneticPr fontId="1" type="noConversion"/>
  </si>
  <si>
    <t>rs</t>
    <phoneticPr fontId="1" type="noConversion"/>
  </si>
  <si>
    <t>di平方和</t>
    <phoneticPr fontId="1" type="noConversion"/>
  </si>
  <si>
    <t>x</t>
    <phoneticPr fontId="1" type="noConversion"/>
  </si>
  <si>
    <t>x</t>
    <phoneticPr fontId="12" type="noConversion"/>
  </si>
  <si>
    <t>y</t>
    <phoneticPr fontId="1" type="noConversion"/>
  </si>
  <si>
    <t>y</t>
    <phoneticPr fontId="12" type="noConversion"/>
  </si>
  <si>
    <t>z降水量</t>
    <phoneticPr fontId="12" type="noConversion"/>
  </si>
  <si>
    <t>1.一次多项式</t>
    <phoneticPr fontId="1" type="noConversion"/>
  </si>
  <si>
    <t>x</t>
  </si>
  <si>
    <t>y</t>
  </si>
  <si>
    <t>xy</t>
  </si>
  <si>
    <t>xy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</si>
  <si>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</si>
  <si>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</si>
  <si>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</si>
  <si>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</si>
  <si>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</si>
  <si>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</si>
  <si>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</si>
  <si>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</si>
  <si>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</si>
  <si>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</si>
  <si>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</si>
  <si>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</si>
  <si>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</si>
  <si>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</si>
  <si>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</si>
  <si>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</si>
  <si>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</si>
  <si>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</si>
  <si>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</si>
  <si>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</si>
  <si>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</si>
  <si>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</si>
  <si>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</si>
  <si>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</si>
  <si>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</si>
  <si>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z降水量</t>
  </si>
  <si>
    <t>标准残差</t>
  </si>
  <si>
    <t>PROBABILITY OUTPUT</t>
  </si>
  <si>
    <t>百分比排位</t>
  </si>
  <si>
    <t>z降水量</t>
  </si>
  <si>
    <t>第一自由度</t>
    <phoneticPr fontId="1" type="noConversion"/>
  </si>
  <si>
    <t>第二自由度</t>
    <phoneticPr fontId="1" type="noConversion"/>
  </si>
  <si>
    <t>F&lt;F临界值，线性回归不显著</t>
    <phoneticPr fontId="1" type="noConversion"/>
  </si>
  <si>
    <t>2.二次多项式</t>
    <phoneticPr fontId="1" type="noConversion"/>
  </si>
  <si>
    <t>x²</t>
  </si>
  <si>
    <t>x²</t>
    <phoneticPr fontId="1" type="noConversion"/>
  </si>
  <si>
    <t xml:space="preserve">y² </t>
  </si>
  <si>
    <t xml:space="preserve">y² </t>
    <phoneticPr fontId="1" type="noConversion"/>
  </si>
  <si>
    <t>F&gt;临界值，线性回归显著</t>
    <phoneticPr fontId="1" type="noConversion"/>
  </si>
  <si>
    <t>3.三次多项式</t>
    <phoneticPr fontId="1" type="noConversion"/>
  </si>
  <si>
    <t>x²y</t>
  </si>
  <si>
    <t>x²y</t>
    <phoneticPr fontId="1" type="noConversion"/>
  </si>
  <si>
    <t>xy²</t>
  </si>
  <si>
    <t>xy²</t>
    <phoneticPr fontId="1" type="noConversion"/>
  </si>
  <si>
    <t>x³</t>
  </si>
  <si>
    <t>x³</t>
    <phoneticPr fontId="1" type="noConversion"/>
  </si>
  <si>
    <t>y³</t>
  </si>
  <si>
    <t>y³</t>
    <phoneticPr fontId="1" type="noConversion"/>
  </si>
  <si>
    <t>F&lt;F临界值，先行回归不显著</t>
    <phoneticPr fontId="1" type="noConversion"/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</si>
  <si>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</si>
  <si>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</si>
  <si>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</si>
  <si>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</si>
  <si>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</si>
  <si>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</si>
  <si>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</si>
  <si>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</si>
  <si>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</si>
  <si>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G10=G4 G9</t>
    <phoneticPr fontId="1" type="noConversion"/>
  </si>
  <si>
    <t>G10</t>
    <phoneticPr fontId="1" type="noConversion"/>
  </si>
  <si>
    <t>G11=G5 G7</t>
    <phoneticPr fontId="1" type="noConversion"/>
  </si>
  <si>
    <t>G11</t>
    <phoneticPr fontId="1" type="noConversion"/>
  </si>
  <si>
    <t>G12=G2 G8</t>
    <phoneticPr fontId="1" type="noConversion"/>
  </si>
  <si>
    <t>G12</t>
    <phoneticPr fontId="1" type="noConversion"/>
  </si>
  <si>
    <t>G13=G11 G6=G5 G7 G6</t>
    <phoneticPr fontId="1" type="noConversion"/>
  </si>
  <si>
    <t>G13</t>
    <phoneticPr fontId="1" type="noConversion"/>
  </si>
  <si>
    <t>G14=G3 G10=G3 G4 G9</t>
    <phoneticPr fontId="1" type="noConversion"/>
  </si>
  <si>
    <t>G14</t>
    <phoneticPr fontId="1" type="noConversion"/>
  </si>
  <si>
    <t>G15=G12 G14=G2 G8 G3 G4 G9</t>
    <phoneticPr fontId="1" type="noConversion"/>
  </si>
  <si>
    <t>G15</t>
    <phoneticPr fontId="1" type="noConversion"/>
  </si>
  <si>
    <t>G16=G15 G1 = G2 G8 G3 G4 G9 G1</t>
    <phoneticPr fontId="1" type="noConversion"/>
  </si>
  <si>
    <t>G16</t>
    <phoneticPr fontId="1" type="noConversion"/>
  </si>
  <si>
    <t>G17=G13 G16=G5 G7 G6 G2 G8 G3 G4 G9 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</si>
</sst>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  <xf numFmtId="0" fontId="0" fillId="2" borderId="1" xfId="0" applyFill="1" applyBorder="1"/>
    <xf numFmtId="0" fontId="0" fillId="2" borderId="5" xfId="0" applyFill="1" applyBorder="1"/>
    <xf numFmtId="0" fontId="3" fillId="0" borderId="5" xfId="0" applyFont="1" applyBorder="1"/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3" fillId="4" borderId="5" xfId="0" applyFont="1" applyFill="1" applyBorder="1"/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6" fontId="13" fillId="2" borderId="0" xfId="0" applyNumberFormat="1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/>
    <xf numFmtId="177" fontId="0" fillId="0" borderId="0" xfId="0" applyNumberFormat="1" applyBorder="1"/>
    <xf numFmtId="0" fontId="12" fillId="2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多元线性回归!$T$4:$T$15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多元线性回归!$U$4:$U$15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3-4132-A788-24DD6A0D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4591"/>
        <c:axId val="1585677871"/>
      </c:scatterChart>
      <c:valAx>
        <c:axId val="179145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871"/>
        <c:crosses val="autoZero"/>
        <c:crossBetween val="midCat"/>
      </c:valAx>
      <c:valAx>
        <c:axId val="158567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5A6-B507-B484EB22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22511"/>
        <c:axId val="1585679951"/>
      </c:scatterChart>
      <c:valAx>
        <c:axId val="157452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9951"/>
        <c:crosses val="autoZero"/>
        <c:crossBetween val="midCat"/>
      </c:valAx>
      <c:valAx>
        <c:axId val="158567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52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3-413E-BD60-AF9BCF35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2159"/>
        <c:axId val="1585684943"/>
      </c:scatterChart>
      <c:valAx>
        <c:axId val="194158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4943"/>
        <c:crosses val="autoZero"/>
        <c:crossBetween val="midCat"/>
      </c:valAx>
      <c:valAx>
        <c:axId val="158568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58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8-4559-9E07-E9CB4DDB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2159"/>
        <c:axId val="1585680783"/>
      </c:scatterChart>
      <c:valAx>
        <c:axId val="194158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0783"/>
        <c:crosses val="autoZero"/>
        <c:crossBetween val="midCat"/>
      </c:valAx>
      <c:valAx>
        <c:axId val="158568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58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7-424E-AFAE-DA1EAE50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22511"/>
        <c:axId val="1585692847"/>
      </c:scatterChart>
      <c:valAx>
        <c:axId val="157452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2847"/>
        <c:crosses val="autoZero"/>
        <c:crossBetween val="midCat"/>
      </c:valAx>
      <c:valAx>
        <c:axId val="158569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52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5-4497-B260-EF778CDA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3791"/>
        <c:axId val="1585693263"/>
      </c:scatterChart>
      <c:valAx>
        <c:axId val="17914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3263"/>
        <c:crosses val="autoZero"/>
        <c:crossBetween val="midCat"/>
      </c:valAx>
      <c:valAx>
        <c:axId val="158569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3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0-4A86-A760-F274F76128A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0-4A86-A760-F274F761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3791"/>
        <c:axId val="1585684527"/>
      </c:scatterChart>
      <c:valAx>
        <c:axId val="17914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4527"/>
        <c:crosses val="autoZero"/>
        <c:crossBetween val="midCat"/>
      </c:valAx>
      <c:valAx>
        <c:axId val="158568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B-4785-875A-84BB654A7190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B-4785-875A-84BB654A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81647"/>
        <c:axId val="1585685359"/>
      </c:scatterChart>
      <c:valAx>
        <c:axId val="198538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5359"/>
        <c:crosses val="autoZero"/>
        <c:crossBetween val="midCat"/>
      </c:valAx>
      <c:valAx>
        <c:axId val="158568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81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B-4931-A2FB-30D261F80BD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B-4931-A2FB-30D261F8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84447"/>
        <c:axId val="1585688271"/>
      </c:scatterChart>
      <c:valAx>
        <c:axId val="198538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8271"/>
        <c:crosses val="autoZero"/>
        <c:crossBetween val="midCat"/>
      </c:valAx>
      <c:valAx>
        <c:axId val="158568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84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3-412A-8DD6-B45C58A8C428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3-412A-8DD6-B45C58A8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74847"/>
        <c:axId val="1585694927"/>
      </c:scatterChart>
      <c:valAx>
        <c:axId val="198537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4927"/>
        <c:crosses val="autoZero"/>
        <c:crossBetween val="midCat"/>
      </c:valAx>
      <c:valAx>
        <c:axId val="158569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74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8-4CD1-9907-123B56A2CD2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8-4CD1-9907-123B56A2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91247"/>
        <c:axId val="1585706575"/>
      </c:scatterChart>
      <c:valAx>
        <c:axId val="198539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06575"/>
        <c:crosses val="autoZero"/>
        <c:crossBetween val="midCat"/>
      </c:valAx>
      <c:valAx>
        <c:axId val="158570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91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多元线性回归!$T$25:$T$36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多元线性回归!$U$25:$U$36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1DB-8A49-19486670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95647"/>
        <c:axId val="1585720719"/>
      </c:scatterChart>
      <c:valAx>
        <c:axId val="198539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20719"/>
        <c:crosses val="autoZero"/>
        <c:crossBetween val="midCat"/>
      </c:valAx>
      <c:valAx>
        <c:axId val="158572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9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A-49FE-9F94-C175DFAF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19055"/>
        <c:axId val="1986432015"/>
      </c:scatterChart>
      <c:valAx>
        <c:axId val="148831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2015"/>
        <c:crosses val="autoZero"/>
        <c:crossBetween val="midCat"/>
      </c:valAx>
      <c:valAx>
        <c:axId val="198643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31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9-4FF9-8B5B-4F9549A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44495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44495"/>
        <c:crosses val="autoZero"/>
        <c:crossBetween val="midCat"/>
      </c:valAx>
      <c:valAx>
        <c:axId val="198644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4-4F56-A2A1-CEA64F2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911"/>
        <c:axId val="1986436591"/>
      </c:scatterChart>
      <c:valAx>
        <c:axId val="198588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6591"/>
        <c:crosses val="autoZero"/>
        <c:crossBetween val="midCat"/>
      </c:valAx>
      <c:valAx>
        <c:axId val="198643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C-4BEC-9006-B96FBCE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8111"/>
        <c:axId val="1986424111"/>
      </c:scatterChart>
      <c:valAx>
        <c:axId val="19858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4111"/>
        <c:crosses val="autoZero"/>
        <c:crossBetween val="midCat"/>
      </c:valAx>
      <c:valAx>
        <c:axId val="198642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8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B-4641-A535-F4A1A900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5311"/>
        <c:axId val="1986418703"/>
      </c:scatterChart>
      <c:valAx>
        <c:axId val="198587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18703"/>
        <c:crosses val="autoZero"/>
        <c:crossBetween val="midCat"/>
      </c:valAx>
      <c:valAx>
        <c:axId val="198641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6-4ED7-BF28-A2E422A2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511"/>
        <c:axId val="1986433263"/>
      </c:scatterChart>
      <c:valAx>
        <c:axId val="198588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3263"/>
        <c:crosses val="autoZero"/>
        <c:crossBetween val="midCat"/>
      </c:valAx>
      <c:valAx>
        <c:axId val="198643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E-42B6-BC9C-2F0D2707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42415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42415"/>
        <c:crosses val="autoZero"/>
        <c:crossBetween val="midCat"/>
      </c:valAx>
      <c:valAx>
        <c:axId val="198644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x³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C-4B92-B42F-A3E6A55B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511"/>
        <c:axId val="1986435343"/>
      </c:scatterChart>
      <c:valAx>
        <c:axId val="198587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5343"/>
        <c:crosses val="autoZero"/>
        <c:crossBetween val="midCat"/>
      </c:valAx>
      <c:valAx>
        <c:axId val="198643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y³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D-44A7-BEEC-29F927EB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30351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0351"/>
        <c:crosses val="autoZero"/>
        <c:crossBetween val="midCat"/>
      </c:valAx>
      <c:valAx>
        <c:axId val="198643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4-4E70-86AA-EA25DAF4D895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4-4E70-86AA-EA25DAF4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3311"/>
        <c:axId val="1986427855"/>
      </c:scatterChart>
      <c:valAx>
        <c:axId val="198588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7855"/>
        <c:crosses val="autoZero"/>
        <c:crossBetween val="midCat"/>
      </c:valAx>
      <c:valAx>
        <c:axId val="198642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3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89E-ABCE-4E1A7DE6A13C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A-489E-ABCE-4E1A7DE6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8911"/>
        <c:axId val="1986427023"/>
      </c:scatterChart>
      <c:valAx>
        <c:axId val="198587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7023"/>
        <c:crosses val="autoZero"/>
        <c:crossBetween val="midCat"/>
      </c:valAx>
      <c:valAx>
        <c:axId val="198642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8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3-4685-A549-DA6518A84EC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3-4685-A549-DA6518A8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3711"/>
        <c:axId val="1986435759"/>
      </c:scatterChart>
      <c:valAx>
        <c:axId val="198588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5759"/>
        <c:crosses val="autoZero"/>
        <c:crossBetween val="midCat"/>
      </c:valAx>
      <c:valAx>
        <c:axId val="198643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8-43A2-B15C-88736F6A1F8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8-43A2-B15C-88736F6A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6911"/>
        <c:axId val="1986437423"/>
      </c:scatterChart>
      <c:valAx>
        <c:axId val="19858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7423"/>
        <c:crosses val="autoZero"/>
        <c:crossBetween val="midCat"/>
      </c:valAx>
      <c:valAx>
        <c:axId val="198643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6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A-4C59-AA51-D1227D4C5E57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A-4C59-AA51-D1227D4C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34511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4511"/>
        <c:crosses val="autoZero"/>
        <c:crossBetween val="midCat"/>
      </c:valAx>
      <c:valAx>
        <c:axId val="198643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F-4D13-B9AA-C495AE3ADECA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F-4D13-B9AA-C495AE3A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6911"/>
        <c:axId val="1986436175"/>
      </c:scatterChart>
      <c:valAx>
        <c:axId val="19858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6175"/>
        <c:crosses val="autoZero"/>
        <c:crossBetween val="midCat"/>
      </c:valAx>
      <c:valAx>
        <c:axId val="198643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6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7-4F83-8C1D-605B1E20FC29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7-4F83-8C1D-605B1E2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29103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9103"/>
        <c:crosses val="autoZero"/>
        <c:crossBetween val="midCat"/>
      </c:valAx>
      <c:valAx>
        <c:axId val="198642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x³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F-4E52-8607-40D3C6E36DD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F-4E52-8607-40D3C6E3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21199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1199"/>
        <c:crosses val="autoZero"/>
        <c:crossBetween val="midCat"/>
      </c:valAx>
      <c:valAx>
        <c:axId val="198642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y³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A-4F7B-8454-3D5A643832EF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A-4F7B-8454-3D5A6438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911"/>
        <c:axId val="1986420783"/>
      </c:scatterChart>
      <c:valAx>
        <c:axId val="198588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0783"/>
        <c:crosses val="autoZero"/>
        <c:crossBetween val="midCat"/>
      </c:valAx>
      <c:valAx>
        <c:axId val="198642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时间序列!$A$2:$A$30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时间序列!$B$2:$B$30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469-96B7-493A83F0F80F}"/>
            </c:ext>
          </c:extLst>
        </c:ser>
        <c:ser>
          <c:idx val="1"/>
          <c:order val="1"/>
          <c:tx>
            <c:v>三年滑动平均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时间序列!$D$2:$D$28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469-96B7-493A83F0F80F}"/>
            </c:ext>
          </c:extLst>
        </c:ser>
        <c:ser>
          <c:idx val="2"/>
          <c:order val="2"/>
          <c:tx>
            <c:v>五年滑动平均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时间序列!$F$2:$F$26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B-4469-96B7-493A83F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59376"/>
        <c:axId val="57153104"/>
      </c:lineChart>
      <c:catAx>
        <c:axId val="2084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3104"/>
        <c:crosses val="autoZero"/>
        <c:auto val="1"/>
        <c:lblAlgn val="ctr"/>
        <c:lblOffset val="100"/>
        <c:noMultiLvlLbl val="0"/>
      </c:catAx>
      <c:valAx>
        <c:axId val="571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多元线性回归!$P$78:$P$89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多元线性回归!$Q$78:$Q$89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6-434D-9BC6-F7B934BE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6911"/>
        <c:axId val="1986438671"/>
      </c:scatterChart>
      <c:valAx>
        <c:axId val="198588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8671"/>
        <c:crosses val="autoZero"/>
        <c:crossBetween val="midCat"/>
      </c:valAx>
      <c:valAx>
        <c:axId val="198643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6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时间序列!$H$1</c:f>
              <c:strCache>
                <c:ptCount val="1"/>
                <c:pt idx="0">
                  <c:v>距平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时间序列!$H$2:$H$30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58-8BB1-C1FD955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2928"/>
        <c:axId val="57068240"/>
      </c:barChart>
      <c:catAx>
        <c:axId val="1388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240"/>
        <c:crosses val="autoZero"/>
        <c:auto val="1"/>
        <c:lblAlgn val="ctr"/>
        <c:lblOffset val="100"/>
        <c:noMultiLvlLbl val="0"/>
      </c:catAx>
      <c:valAx>
        <c:axId val="57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多元线性回归!$Q$4:$Q$15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3D4-9D67-D75F0987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4591"/>
        <c:axId val="1585697839"/>
      </c:scatterChart>
      <c:valAx>
        <c:axId val="179145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7839"/>
        <c:crosses val="autoZero"/>
        <c:crossBetween val="midCat"/>
      </c:valAx>
      <c:valAx>
        <c:axId val="158569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多元线性回归!$Q$4:$Q$15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5-47DC-9048-20BDDD90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1791"/>
        <c:axId val="1585677039"/>
      </c:scatterChart>
      <c:valAx>
        <c:axId val="17914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039"/>
        <c:crosses val="autoZero"/>
        <c:crossBetween val="midCat"/>
      </c:valAx>
      <c:valAx>
        <c:axId val="158567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4-4991-9AB8-9B610528E94C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多元线性回归!$P$4:$P$15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4-4991-9AB8-9B610528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2191"/>
        <c:axId val="1585677455"/>
      </c:scatterChart>
      <c:valAx>
        <c:axId val="17914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455"/>
        <c:crosses val="autoZero"/>
        <c:crossBetween val="midCat"/>
      </c:valAx>
      <c:valAx>
        <c:axId val="158567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DFD-B134-B0730D843502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多元线性回归!$P$4:$P$15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DFD-B134-B0730D84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0191"/>
        <c:axId val="1585687023"/>
      </c:scatterChart>
      <c:valAx>
        <c:axId val="179145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7023"/>
        <c:crosses val="autoZero"/>
        <c:crossBetween val="midCat"/>
      </c:valAx>
      <c:valAx>
        <c:axId val="158568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0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8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0</xdr:row>
      <xdr:rowOff>161925</xdr:rowOff>
    </xdr:from>
    <xdr:to>
      <xdr:col>13</xdr:col>
      <xdr:colOff>288751</xdr:colOff>
      <xdr:row>13</xdr:row>
      <xdr:rowOff>38542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D5AFEA2A-24CA-4CD7-9DEA-E7EE03E36503}"/>
            </a:ext>
          </a:extLst>
        </xdr:cNvPr>
        <xdr:cNvGrpSpPr/>
      </xdr:nvGrpSpPr>
      <xdr:grpSpPr>
        <a:xfrm>
          <a:off x="7586662" y="161925"/>
          <a:ext cx="2836689" cy="2229292"/>
          <a:chOff x="5491162" y="61912"/>
          <a:chExt cx="2836689" cy="222929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2D2EEE82-98BB-477A-ADD6-E66873F22CA8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</m:acc>
                                        </m:e>
                                      </m:d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×</m:t>
                                  </m:r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(</m:t>
                                          </m:r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</m:acc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)</m:t>
                                          </m:r>
                                        </m:e>
                                        <m:sup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nary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2D2EEE82-98BB-477A-ADD6-E66873F22CA8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𝑟=(∑▒〖(𝑥_𝑖−𝑥 ̅)(𝑦_𝑖−𝑦 ̅)〗)/√(∑▒〖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(𝑥_𝑖−𝑥 ̅ )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^</a:t>
                </a:r>
                <a:r>
                  <a:rPr lang="en-US" altLang="zh-CN" sz="1400" b="0" i="0">
                    <a:latin typeface="Cambria Math" panose="02040503050406030204" pitchFamily="18" charset="0"/>
                  </a:rPr>
                  <a:t>2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(𝑦_𝑖−𝑦 ̅)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〗^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〗)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6623F03B-58F6-4CC7-8F13-5F387F0A62B9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e>
                          </m:nary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nary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]</m:t>
                              </m:r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𝑦</m:t>
                                          </m:r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]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6623F03B-58F6-4CC7-8F13-5F387F0A62B9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=(∑▒𝑥𝑦−(∑▒𝑥 ∑▒𝑦)/𝑛)/√([∑▒〖𝑥^2−((∑▒〖𝑥)²〗)/n〗]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[∑▒〖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𝑦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^2−((∑▒〖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𝑦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)²〗)/n〗]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6084FD87-1BAC-4ACC-9D92-07E3CDC12256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sub>
                          </m:sSub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𝑥𝑥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𝑦𝑦</m:t>
                                  </m:r>
                                </m:sub>
                              </m:sSub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6084FD87-1BAC-4ACC-9D92-07E3CDC12256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=𝑙_𝑥𝑦/√(𝑙_𝑥𝑥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×𝑙_𝑦𝑦 )</a:t>
                </a:r>
                <a:endParaRPr lang="zh-CN" altLang="en-US" sz="1400"/>
              </a:p>
            </xdr:txBody>
          </xdr:sp>
        </mc:Fallback>
      </mc:AlternateContent>
    </xdr:grpSp>
    <xdr:clientData/>
  </xdr:twoCellAnchor>
  <xdr:oneCellAnchor>
    <xdr:from>
      <xdr:col>10</xdr:col>
      <xdr:colOff>442912</xdr:colOff>
      <xdr:row>23</xdr:row>
      <xdr:rowOff>100012</xdr:rowOff>
    </xdr:from>
    <xdr:ext cx="1474634" cy="4776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A0222C8-6984-4D78-A7FA-C4E83B07A5BC}"/>
                </a:ext>
              </a:extLst>
            </xdr:cNvPr>
            <xdr:cNvSpPr txBox="1"/>
          </xdr:nvSpPr>
          <xdr:spPr>
            <a:xfrm>
              <a:off x="8520112" y="4262437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A0222C8-6984-4D78-A7FA-C4E83B07A5BC}"/>
                </a:ext>
              </a:extLst>
            </xdr:cNvPr>
            <xdr:cNvSpPr txBox="1"/>
          </xdr:nvSpPr>
          <xdr:spPr>
            <a:xfrm>
              <a:off x="8520112" y="4262437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𝑟_𝑠=1−(6∑▒𝑑_𝑖^2 )/(𝑛(𝑛^2−1))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371475</xdr:colOff>
      <xdr:row>1</xdr:row>
      <xdr:rowOff>161925</xdr:rowOff>
    </xdr:from>
    <xdr:to>
      <xdr:col>27</xdr:col>
      <xdr:colOff>371475</xdr:colOff>
      <xdr:row>11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38F11B-CBDA-4AD2-B533-5BD5976E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371475</xdr:colOff>
      <xdr:row>3</xdr:row>
      <xdr:rowOff>161925</xdr:rowOff>
    </xdr:from>
    <xdr:to>
      <xdr:col>28</xdr:col>
      <xdr:colOff>371475</xdr:colOff>
      <xdr:row>13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03DF60-E90A-4A7D-B563-B7F6BF4F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371475</xdr:colOff>
      <xdr:row>5</xdr:row>
      <xdr:rowOff>161925</xdr:rowOff>
    </xdr:from>
    <xdr:to>
      <xdr:col>29</xdr:col>
      <xdr:colOff>371475</xdr:colOff>
      <xdr:row>15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3A67B3-1358-47AA-ABFD-3FBA24E9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7</xdr:row>
      <xdr:rowOff>161925</xdr:rowOff>
    </xdr:from>
    <xdr:to>
      <xdr:col>30</xdr:col>
      <xdr:colOff>371475</xdr:colOff>
      <xdr:row>17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A00F4B-7B52-47F9-93D1-5CCD0C77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371475</xdr:colOff>
      <xdr:row>9</xdr:row>
      <xdr:rowOff>161925</xdr:rowOff>
    </xdr:from>
    <xdr:to>
      <xdr:col>31</xdr:col>
      <xdr:colOff>371475</xdr:colOff>
      <xdr:row>19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B023D0-227A-465E-9FC5-AD423F08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571500</xdr:colOff>
      <xdr:row>22</xdr:row>
      <xdr:rowOff>142875</xdr:rowOff>
    </xdr:from>
    <xdr:to>
      <xdr:col>27</xdr:col>
      <xdr:colOff>571500</xdr:colOff>
      <xdr:row>32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29BB71-E26A-47EB-AFE8-DEEBF7BB7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571500</xdr:colOff>
      <xdr:row>24</xdr:row>
      <xdr:rowOff>142875</xdr:rowOff>
    </xdr:from>
    <xdr:to>
      <xdr:col>28</xdr:col>
      <xdr:colOff>571500</xdr:colOff>
      <xdr:row>34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4B78D2F-1809-4CC2-92AE-932A9A4B9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571500</xdr:colOff>
      <xdr:row>26</xdr:row>
      <xdr:rowOff>142875</xdr:rowOff>
    </xdr:from>
    <xdr:to>
      <xdr:col>29</xdr:col>
      <xdr:colOff>571500</xdr:colOff>
      <xdr:row>36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788D5A-2ED5-4432-8A42-B4A29611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571500</xdr:colOff>
      <xdr:row>28</xdr:row>
      <xdr:rowOff>142875</xdr:rowOff>
    </xdr:from>
    <xdr:to>
      <xdr:col>30</xdr:col>
      <xdr:colOff>571500</xdr:colOff>
      <xdr:row>38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CDED81-E12F-4886-BBB2-01F73FB0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571500</xdr:colOff>
      <xdr:row>30</xdr:row>
      <xdr:rowOff>142875</xdr:rowOff>
    </xdr:from>
    <xdr:to>
      <xdr:col>31</xdr:col>
      <xdr:colOff>571500</xdr:colOff>
      <xdr:row>40</xdr:row>
      <xdr:rowOff>142875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D1ED0C5-1CAA-45E7-94EB-D907F1F0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571500</xdr:colOff>
      <xdr:row>32</xdr:row>
      <xdr:rowOff>142875</xdr:rowOff>
    </xdr:from>
    <xdr:to>
      <xdr:col>32</xdr:col>
      <xdr:colOff>571500</xdr:colOff>
      <xdr:row>42</xdr:row>
      <xdr:rowOff>142875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672B0B3-902F-43FE-8396-139D3669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571500</xdr:colOff>
      <xdr:row>34</xdr:row>
      <xdr:rowOff>142875</xdr:rowOff>
    </xdr:from>
    <xdr:to>
      <xdr:col>33</xdr:col>
      <xdr:colOff>571500</xdr:colOff>
      <xdr:row>44</xdr:row>
      <xdr:rowOff>142875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8EA73DE-2240-44F8-BDEB-A05A5C30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571500</xdr:colOff>
      <xdr:row>36</xdr:row>
      <xdr:rowOff>133350</xdr:rowOff>
    </xdr:from>
    <xdr:to>
      <xdr:col>34</xdr:col>
      <xdr:colOff>571500</xdr:colOff>
      <xdr:row>46</xdr:row>
      <xdr:rowOff>142875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9863731-6EC8-4F14-91E5-4B52505A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571500</xdr:colOff>
      <xdr:row>38</xdr:row>
      <xdr:rowOff>142875</xdr:rowOff>
    </xdr:from>
    <xdr:to>
      <xdr:col>35</xdr:col>
      <xdr:colOff>571500</xdr:colOff>
      <xdr:row>48</xdr:row>
      <xdr:rowOff>133350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2DDFEC7-E351-47D5-9A36-B8D70B69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571500</xdr:colOff>
      <xdr:row>40</xdr:row>
      <xdr:rowOff>142875</xdr:rowOff>
    </xdr:from>
    <xdr:to>
      <xdr:col>36</xdr:col>
      <xdr:colOff>571500</xdr:colOff>
      <xdr:row>50</xdr:row>
      <xdr:rowOff>142875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249993E-ED1D-4932-8701-9216D84C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571500</xdr:colOff>
      <xdr:row>42</xdr:row>
      <xdr:rowOff>142875</xdr:rowOff>
    </xdr:from>
    <xdr:to>
      <xdr:col>37</xdr:col>
      <xdr:colOff>571500</xdr:colOff>
      <xdr:row>52</xdr:row>
      <xdr:rowOff>142875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F6752AC-990C-4BB3-AF30-3EC43F41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152400</xdr:colOff>
      <xdr:row>44</xdr:row>
      <xdr:rowOff>47625</xdr:rowOff>
    </xdr:from>
    <xdr:to>
      <xdr:col>22</xdr:col>
      <xdr:colOff>152400</xdr:colOff>
      <xdr:row>54</xdr:row>
      <xdr:rowOff>57150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8F45EF8-DF42-45B7-9E40-D17A29DB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152400</xdr:colOff>
      <xdr:row>46</xdr:row>
      <xdr:rowOff>57150</xdr:rowOff>
    </xdr:from>
    <xdr:to>
      <xdr:col>23</xdr:col>
      <xdr:colOff>152400</xdr:colOff>
      <xdr:row>56</xdr:row>
      <xdr:rowOff>47625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1F1FFB2-778D-41AE-BB3F-4D668D99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152400</xdr:colOff>
      <xdr:row>48</xdr:row>
      <xdr:rowOff>47625</xdr:rowOff>
    </xdr:from>
    <xdr:to>
      <xdr:col>24</xdr:col>
      <xdr:colOff>152400</xdr:colOff>
      <xdr:row>58</xdr:row>
      <xdr:rowOff>57150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FB26E6F-F770-4448-A0B1-9C2F8668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152400</xdr:colOff>
      <xdr:row>50</xdr:row>
      <xdr:rowOff>47625</xdr:rowOff>
    </xdr:from>
    <xdr:to>
      <xdr:col>25</xdr:col>
      <xdr:colOff>152400</xdr:colOff>
      <xdr:row>60</xdr:row>
      <xdr:rowOff>47625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9F80E6E-35A9-47B4-AD59-B99CDB64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152400</xdr:colOff>
      <xdr:row>52</xdr:row>
      <xdr:rowOff>57150</xdr:rowOff>
    </xdr:from>
    <xdr:to>
      <xdr:col>26</xdr:col>
      <xdr:colOff>152400</xdr:colOff>
      <xdr:row>62</xdr:row>
      <xdr:rowOff>47625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534FF9-8BD1-4A99-BAA4-D140EFEB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152400</xdr:colOff>
      <xdr:row>54</xdr:row>
      <xdr:rowOff>57150</xdr:rowOff>
    </xdr:from>
    <xdr:to>
      <xdr:col>27</xdr:col>
      <xdr:colOff>152400</xdr:colOff>
      <xdr:row>64</xdr:row>
      <xdr:rowOff>47625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CE03F1F-8029-420B-AE7A-430DFACE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152400</xdr:colOff>
      <xdr:row>56</xdr:row>
      <xdr:rowOff>47625</xdr:rowOff>
    </xdr:from>
    <xdr:to>
      <xdr:col>28</xdr:col>
      <xdr:colOff>152400</xdr:colOff>
      <xdr:row>66</xdr:row>
      <xdr:rowOff>47625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BCAE1F-E17E-448C-8D1F-70732E55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152400</xdr:colOff>
      <xdr:row>58</xdr:row>
      <xdr:rowOff>57150</xdr:rowOff>
    </xdr:from>
    <xdr:to>
      <xdr:col>29</xdr:col>
      <xdr:colOff>152400</xdr:colOff>
      <xdr:row>68</xdr:row>
      <xdr:rowOff>47625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BDEB374-E63B-4BA9-B126-02137B16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152400</xdr:colOff>
      <xdr:row>60</xdr:row>
      <xdr:rowOff>47625</xdr:rowOff>
    </xdr:from>
    <xdr:to>
      <xdr:col>30</xdr:col>
      <xdr:colOff>152400</xdr:colOff>
      <xdr:row>70</xdr:row>
      <xdr:rowOff>57150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BDE4F26-C5AE-45EE-AFE3-1B2AA11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152400</xdr:colOff>
      <xdr:row>62</xdr:row>
      <xdr:rowOff>47625</xdr:rowOff>
    </xdr:from>
    <xdr:to>
      <xdr:col>31</xdr:col>
      <xdr:colOff>152400</xdr:colOff>
      <xdr:row>72</xdr:row>
      <xdr:rowOff>47625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0C71EEF-3DB7-482F-B99E-08099785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152400</xdr:colOff>
      <xdr:row>64</xdr:row>
      <xdr:rowOff>47625</xdr:rowOff>
    </xdr:from>
    <xdr:to>
      <xdr:col>32</xdr:col>
      <xdr:colOff>152400</xdr:colOff>
      <xdr:row>74</xdr:row>
      <xdr:rowOff>47625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CC2B88D4-A2EB-48CC-95FF-5AAA143E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152400</xdr:colOff>
      <xdr:row>66</xdr:row>
      <xdr:rowOff>47625</xdr:rowOff>
    </xdr:from>
    <xdr:to>
      <xdr:col>33</xdr:col>
      <xdr:colOff>152400</xdr:colOff>
      <xdr:row>76</xdr:row>
      <xdr:rowOff>47625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B1D4AB46-E8B3-40C8-BA86-7C3C1A58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152400</xdr:colOff>
      <xdr:row>68</xdr:row>
      <xdr:rowOff>47625</xdr:rowOff>
    </xdr:from>
    <xdr:to>
      <xdr:col>34</xdr:col>
      <xdr:colOff>152400</xdr:colOff>
      <xdr:row>78</xdr:row>
      <xdr:rowOff>47625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621E8E34-3684-45D2-AFFE-F182F731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152400</xdr:colOff>
      <xdr:row>70</xdr:row>
      <xdr:rowOff>57150</xdr:rowOff>
    </xdr:from>
    <xdr:to>
      <xdr:col>35</xdr:col>
      <xdr:colOff>152400</xdr:colOff>
      <xdr:row>80</xdr:row>
      <xdr:rowOff>47625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DC4255A-E030-434C-9535-842EBCBE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30</xdr:col>
      <xdr:colOff>152400</xdr:colOff>
      <xdr:row>72</xdr:row>
      <xdr:rowOff>47625</xdr:rowOff>
    </xdr:from>
    <xdr:to>
      <xdr:col>36</xdr:col>
      <xdr:colOff>152400</xdr:colOff>
      <xdr:row>82</xdr:row>
      <xdr:rowOff>47625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2B62FBFB-B1CE-42DE-866F-A6249CCF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152400</xdr:colOff>
      <xdr:row>74</xdr:row>
      <xdr:rowOff>47625</xdr:rowOff>
    </xdr:from>
    <xdr:to>
      <xdr:col>37</xdr:col>
      <xdr:colOff>152400</xdr:colOff>
      <xdr:row>84</xdr:row>
      <xdr:rowOff>47625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E7C92A4-8017-4AD5-B090-F62B868B8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152400</xdr:colOff>
      <xdr:row>76</xdr:row>
      <xdr:rowOff>47625</xdr:rowOff>
    </xdr:from>
    <xdr:to>
      <xdr:col>38</xdr:col>
      <xdr:colOff>152400</xdr:colOff>
      <xdr:row>86</xdr:row>
      <xdr:rowOff>47625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BA84562-13D1-437F-B8A4-D3D70B1E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33</xdr:col>
      <xdr:colOff>152400</xdr:colOff>
      <xdr:row>78</xdr:row>
      <xdr:rowOff>47625</xdr:rowOff>
    </xdr:from>
    <xdr:to>
      <xdr:col>39</xdr:col>
      <xdr:colOff>152400</xdr:colOff>
      <xdr:row>88</xdr:row>
      <xdr:rowOff>57150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B12534C7-3B3B-4203-91A8-54E0214D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152400</xdr:colOff>
      <xdr:row>80</xdr:row>
      <xdr:rowOff>47625</xdr:rowOff>
    </xdr:from>
    <xdr:to>
      <xdr:col>40</xdr:col>
      <xdr:colOff>152400</xdr:colOff>
      <xdr:row>90</xdr:row>
      <xdr:rowOff>47625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AA943095-1A51-4107-ACB8-CA976BFA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9526</xdr:rowOff>
    </xdr:from>
    <xdr:to>
      <xdr:col>6</xdr:col>
      <xdr:colOff>198359</xdr:colOff>
      <xdr:row>12</xdr:row>
      <xdr:rowOff>66675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313158" cy="2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0</xdr:row>
      <xdr:rowOff>85725</xdr:rowOff>
    </xdr:from>
    <xdr:to>
      <xdr:col>18</xdr:col>
      <xdr:colOff>361950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F86FE4-AB5B-4B9E-B75A-3676A353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23</xdr:row>
      <xdr:rowOff>47624</xdr:rowOff>
    </xdr:from>
    <xdr:to>
      <xdr:col>15</xdr:col>
      <xdr:colOff>14287</xdr:colOff>
      <xdr:row>35</xdr:row>
      <xdr:rowOff>157161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50385-32F6-4BD2-9CF9-D67D88DE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252412</xdr:colOff>
      <xdr:row>33</xdr:row>
      <xdr:rowOff>33337</xdr:rowOff>
    </xdr:from>
    <xdr:ext cx="2165529" cy="863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zh-CN" alt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zh-CN" alt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altLang="zh-CN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𝑡=(𝑥 ̅_1−𝑥 ̅_2)/(√((𝑛_1 𝑠_1^2+𝑛_2 𝑠_2^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zh-CN" altLang="en-US" sz="1400" i="0">
                  <a:latin typeface="Cambria Math" panose="02040503050406030204" pitchFamily="18" charset="0"/>
                </a:rPr>
                <a:t>)/(𝑛_1+𝑛_2−2)) √(1/𝑛_1 +1/𝑛_2 ))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7</xdr:col>
      <xdr:colOff>141840</xdr:colOff>
      <xdr:row>64</xdr:row>
      <xdr:rowOff>172899</xdr:rowOff>
    </xdr:from>
    <xdr:ext cx="2478371" cy="603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478371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zh-CN" altLang="en-US" sz="1400" b="0" i="1">
                            <a:latin typeface="Cambria Math" panose="02040503050406030204" pitchFamily="18" charset="0"/>
                          </a:rPr>
                          <m:t>组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观测次数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理论次数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400" b="0" i="1">
                                <a:latin typeface="Cambria Math" panose="02040503050406030204" pitchFamily="18" charset="0"/>
                              </a:rPr>
                              <m:t>理论次数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478371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𝑋^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=∑8_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组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▒〖(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观测次数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-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)〗^2/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252411</xdr:colOff>
      <xdr:row>15</xdr:row>
      <xdr:rowOff>157162</xdr:rowOff>
    </xdr:from>
    <xdr:ext cx="3062289" cy="2625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2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altLang="zh-CN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zh-CN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𝑆</m:t>
                      </m:r>
                    </m:den>
                  </m:f>
                  <m:r>
                    <a:rPr lang="zh-CN" altLang="en-US" sz="1200" b="0" i="1">
                      <a:latin typeface="Cambria Math" panose="02040503050406030204" pitchFamily="18" charset="0"/>
                    </a:rPr>
                    <m:t>，</m:t>
                  </m:r>
                </m:oMath>
              </a14:m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𝑢=(𝑅_𝑖−𝑚)/𝑆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，</a:t>
              </a:r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/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133B-A556-49D5-A4FD-44B720E82ED5}">
  <dimension ref="A1:N47"/>
  <sheetViews>
    <sheetView workbookViewId="0">
      <selection activeCell="P12" sqref="P12"/>
    </sheetView>
  </sheetViews>
  <sheetFormatPr defaultRowHeight="14.25" x14ac:dyDescent="0.2"/>
  <cols>
    <col min="1" max="1" width="9" style="16"/>
    <col min="2" max="2" width="9.5" style="16" bestFit="1" customWidth="1"/>
    <col min="3" max="3" width="9" style="16"/>
    <col min="7" max="7" width="11.625" bestFit="1" customWidth="1"/>
    <col min="8" max="8" width="18.125" bestFit="1" customWidth="1"/>
    <col min="9" max="9" width="12.75" bestFit="1" customWidth="1"/>
  </cols>
  <sheetData>
    <row r="1" spans="1:14" x14ac:dyDescent="0.2">
      <c r="A1" s="46" t="s">
        <v>249</v>
      </c>
      <c r="B1" s="18"/>
      <c r="C1" s="18"/>
      <c r="D1" s="20"/>
      <c r="F1" s="1" t="s">
        <v>251</v>
      </c>
      <c r="G1" s="7"/>
      <c r="H1" s="7"/>
      <c r="I1" s="7"/>
      <c r="J1" s="7"/>
      <c r="K1" s="7"/>
      <c r="L1" s="7"/>
      <c r="M1" s="7"/>
      <c r="N1" s="2"/>
    </row>
    <row r="2" spans="1:14" x14ac:dyDescent="0.2">
      <c r="A2" s="47" t="s">
        <v>250</v>
      </c>
      <c r="B2" s="18"/>
      <c r="C2" s="18"/>
      <c r="D2" s="20"/>
      <c r="F2" s="5"/>
      <c r="G2" s="9"/>
      <c r="H2" s="9"/>
      <c r="I2" s="9"/>
      <c r="J2" s="9"/>
      <c r="K2" s="9"/>
      <c r="L2" s="9"/>
      <c r="M2" s="9"/>
      <c r="N2" s="6"/>
    </row>
    <row r="3" spans="1:14" x14ac:dyDescent="0.2">
      <c r="A3" s="44" t="s">
        <v>246</v>
      </c>
      <c r="B3" s="44" t="s">
        <v>247</v>
      </c>
      <c r="C3" s="44" t="s">
        <v>248</v>
      </c>
      <c r="D3" s="20"/>
      <c r="F3" s="5"/>
      <c r="G3" s="9" t="s">
        <v>254</v>
      </c>
      <c r="H3" s="9" t="s">
        <v>255</v>
      </c>
      <c r="I3" s="9" t="s">
        <v>256</v>
      </c>
      <c r="J3" s="9"/>
      <c r="K3" s="9"/>
      <c r="L3" s="9"/>
      <c r="M3" s="9"/>
      <c r="N3" s="6"/>
    </row>
    <row r="4" spans="1:14" x14ac:dyDescent="0.2">
      <c r="A4" s="45">
        <v>337.93381759483452</v>
      </c>
      <c r="B4" s="45">
        <v>169.1686844229217</v>
      </c>
      <c r="C4" s="45">
        <v>6.4568200161420499</v>
      </c>
      <c r="D4" s="20"/>
      <c r="F4" s="5" t="s">
        <v>257</v>
      </c>
      <c r="G4" s="15">
        <f>SUM(B4:B33)</f>
        <v>42258.329337806055</v>
      </c>
      <c r="H4" s="48">
        <f>G4^2</f>
        <v>1785766398.4224799</v>
      </c>
      <c r="I4" s="9">
        <f>SUMSQ(B4:B33)</f>
        <v>139675516.07915214</v>
      </c>
      <c r="J4" s="9"/>
      <c r="K4" s="9"/>
      <c r="L4" s="9"/>
      <c r="M4" s="9"/>
      <c r="N4" s="6"/>
    </row>
    <row r="5" spans="1:14" x14ac:dyDescent="0.2">
      <c r="A5" s="45">
        <v>349.542875157629</v>
      </c>
      <c r="B5" s="45">
        <v>175.61475409836063</v>
      </c>
      <c r="C5" s="45">
        <v>6.557377049180328</v>
      </c>
      <c r="D5" s="20"/>
      <c r="F5" s="5" t="s">
        <v>253</v>
      </c>
      <c r="G5" s="15">
        <f>SUM(C4:C33)</f>
        <v>322.01792435106398</v>
      </c>
      <c r="H5" s="48">
        <f>G5^2</f>
        <v>103695.54360336757</v>
      </c>
      <c r="I5" s="9">
        <f>SUMSQ(C4:C33)</f>
        <v>4000.6056615523266</v>
      </c>
      <c r="J5" s="9"/>
      <c r="K5" s="9"/>
      <c r="L5" s="9"/>
      <c r="M5" s="9"/>
      <c r="N5" s="6"/>
    </row>
    <row r="6" spans="1:14" x14ac:dyDescent="0.2">
      <c r="A6" s="45">
        <v>373.13180911462331</v>
      </c>
      <c r="B6" s="45">
        <v>179.607181218352</v>
      </c>
      <c r="C6" s="45">
        <v>6.521405554703084</v>
      </c>
      <c r="D6" s="20"/>
      <c r="F6" s="5"/>
      <c r="G6" s="9"/>
      <c r="H6" s="9"/>
      <c r="I6" s="9"/>
      <c r="J6" s="9"/>
      <c r="K6" s="9"/>
      <c r="L6" s="9"/>
      <c r="M6" s="9"/>
      <c r="N6" s="6"/>
    </row>
    <row r="7" spans="1:14" x14ac:dyDescent="0.2">
      <c r="A7" s="45">
        <v>385.76801564615619</v>
      </c>
      <c r="B7" s="45">
        <v>180.41221603731006</v>
      </c>
      <c r="C7" s="45">
        <v>6.5443057018203703</v>
      </c>
      <c r="D7" s="20"/>
      <c r="F7" s="5" t="s">
        <v>28</v>
      </c>
      <c r="G7" s="9"/>
      <c r="H7" s="9" t="s">
        <v>258</v>
      </c>
      <c r="I7" s="9"/>
      <c r="J7" s="9"/>
      <c r="K7" s="9"/>
      <c r="L7" s="9"/>
      <c r="M7" s="9"/>
      <c r="N7" s="6"/>
    </row>
    <row r="8" spans="1:14" x14ac:dyDescent="0.2">
      <c r="A8" s="45">
        <v>412.42971293282045</v>
      </c>
      <c r="B8" s="45">
        <v>189.06481207457827</v>
      </c>
      <c r="C8" s="45">
        <v>6.4960047351287367</v>
      </c>
      <c r="D8" s="20"/>
      <c r="F8" s="5">
        <f>COUNT(B4:B33)</f>
        <v>30</v>
      </c>
      <c r="G8" s="9"/>
      <c r="H8" s="9">
        <f>SUMPRODUCT(B4:B33,C4:C33)</f>
        <v>656776.56469407596</v>
      </c>
      <c r="I8" s="9"/>
      <c r="J8" s="9"/>
      <c r="K8" s="9"/>
      <c r="L8" s="9"/>
      <c r="M8" s="9"/>
      <c r="N8" s="6"/>
    </row>
    <row r="9" spans="1:14" x14ac:dyDescent="0.2">
      <c r="A9" s="45">
        <v>377.78750729713954</v>
      </c>
      <c r="B9" s="45">
        <v>183.1873905429072</v>
      </c>
      <c r="C9" s="45">
        <v>6.5382370110916517</v>
      </c>
      <c r="D9" s="20"/>
      <c r="F9" s="5"/>
      <c r="G9" s="9"/>
      <c r="H9" s="9"/>
      <c r="I9" s="9"/>
      <c r="J9" s="9"/>
      <c r="K9" s="9"/>
      <c r="L9" s="9"/>
      <c r="M9" s="9"/>
      <c r="N9" s="6"/>
    </row>
    <row r="10" spans="1:14" x14ac:dyDescent="0.2">
      <c r="A10" s="45">
        <v>455.90053183843611</v>
      </c>
      <c r="B10" s="45">
        <v>207.14388385798478</v>
      </c>
      <c r="C10" s="45">
        <v>6.6264194336639353</v>
      </c>
      <c r="D10" s="20"/>
      <c r="F10" s="5" t="s">
        <v>259</v>
      </c>
      <c r="G10" s="9">
        <f>H8-((G4*G5/F8))</f>
        <v>203178.58136394335</v>
      </c>
      <c r="H10" s="9"/>
      <c r="I10" s="9"/>
      <c r="J10" s="9"/>
      <c r="K10" s="9"/>
      <c r="L10" s="9"/>
      <c r="M10" s="9"/>
      <c r="N10" s="6"/>
    </row>
    <row r="11" spans="1:14" x14ac:dyDescent="0.2">
      <c r="A11" s="45">
        <v>494.19838686854393</v>
      </c>
      <c r="B11" s="45">
        <v>230.53629545776141</v>
      </c>
      <c r="C11" s="45">
        <v>6.8062827225130889</v>
      </c>
      <c r="D11" s="20"/>
      <c r="F11" s="5" t="s">
        <v>260</v>
      </c>
      <c r="G11" s="9">
        <f>I4-H4/$F$8</f>
        <v>80149969.465069473</v>
      </c>
      <c r="H11" s="9"/>
      <c r="I11" s="9"/>
      <c r="J11" s="9"/>
      <c r="K11" s="9"/>
      <c r="L11" s="9"/>
      <c r="M11" s="9"/>
      <c r="N11" s="6"/>
    </row>
    <row r="12" spans="1:14" x14ac:dyDescent="0.2">
      <c r="A12" s="45">
        <v>552.73334260676029</v>
      </c>
      <c r="B12" s="45">
        <v>264.41786062039228</v>
      </c>
      <c r="C12" s="45">
        <v>7.3028237585199607</v>
      </c>
      <c r="D12" s="20"/>
      <c r="F12" s="5" t="s">
        <v>261</v>
      </c>
      <c r="G12" s="9">
        <f>I5-H5/$F$8</f>
        <v>544.08754144007435</v>
      </c>
      <c r="H12" s="9"/>
      <c r="I12" s="9"/>
      <c r="J12" s="9"/>
      <c r="K12" s="9"/>
      <c r="L12" s="9"/>
      <c r="M12" s="9"/>
      <c r="N12" s="6"/>
    </row>
    <row r="13" spans="1:14" x14ac:dyDescent="0.2">
      <c r="A13" s="45">
        <v>617.54289636238843</v>
      </c>
      <c r="B13" s="45">
        <v>314.5641729581331</v>
      </c>
      <c r="C13" s="45">
        <v>7.6733013040494162</v>
      </c>
      <c r="D13" s="20"/>
      <c r="F13" s="5"/>
      <c r="G13" s="9"/>
      <c r="H13" s="9"/>
      <c r="I13" s="9"/>
      <c r="J13" s="9"/>
      <c r="K13" s="9"/>
      <c r="L13" s="9"/>
      <c r="M13" s="9"/>
      <c r="N13" s="6"/>
    </row>
    <row r="14" spans="1:14" x14ac:dyDescent="0.2">
      <c r="A14" s="45">
        <v>672.48884682979588</v>
      </c>
      <c r="B14" s="45">
        <v>337.55576585102068</v>
      </c>
      <c r="C14" s="45">
        <v>7.8545356225496823</v>
      </c>
      <c r="D14" s="20"/>
      <c r="F14" s="3" t="s">
        <v>262</v>
      </c>
      <c r="G14" s="10">
        <f>G10/SQRT(G11*G12)</f>
        <v>0.97295297934713854</v>
      </c>
      <c r="H14" s="10"/>
      <c r="I14" s="10"/>
      <c r="J14" s="10"/>
      <c r="K14" s="10"/>
      <c r="L14" s="10"/>
      <c r="M14" s="10"/>
      <c r="N14" s="4"/>
    </row>
    <row r="15" spans="1:14" x14ac:dyDescent="0.2">
      <c r="A15" s="45">
        <v>706.15773374118896</v>
      </c>
      <c r="B15" s="45">
        <v>350.17954515228092</v>
      </c>
      <c r="C15" s="45">
        <v>8.1127809549142178</v>
      </c>
      <c r="D15" s="20"/>
    </row>
    <row r="16" spans="1:14" x14ac:dyDescent="0.2">
      <c r="A16" s="45">
        <v>803.7211740041929</v>
      </c>
      <c r="B16" s="45">
        <v>429.70387840670855</v>
      </c>
      <c r="C16" s="45">
        <v>8.3595387840670856</v>
      </c>
      <c r="D16" s="20"/>
      <c r="F16" s="1" t="s">
        <v>263</v>
      </c>
      <c r="G16" s="7"/>
      <c r="H16" s="7"/>
      <c r="I16" s="7"/>
      <c r="J16" s="7"/>
      <c r="K16" s="7"/>
      <c r="L16" s="7"/>
      <c r="M16" s="2"/>
    </row>
    <row r="17" spans="1:13" x14ac:dyDescent="0.2">
      <c r="A17" s="45">
        <v>908.90526043686179</v>
      </c>
      <c r="B17" s="45">
        <v>478.27323251906427</v>
      </c>
      <c r="C17" s="45">
        <v>8.7113868424453926</v>
      </c>
      <c r="D17" s="20"/>
      <c r="F17" s="5" t="s">
        <v>257</v>
      </c>
      <c r="G17" s="9" t="s">
        <v>252</v>
      </c>
      <c r="H17" s="9" t="s">
        <v>264</v>
      </c>
      <c r="I17" s="9" t="s">
        <v>265</v>
      </c>
      <c r="J17" s="9" t="s">
        <v>266</v>
      </c>
      <c r="K17" s="9"/>
      <c r="L17" s="9"/>
      <c r="M17" s="6"/>
    </row>
    <row r="18" spans="1:13" x14ac:dyDescent="0.2">
      <c r="A18" s="45">
        <v>1161.6796227857781</v>
      </c>
      <c r="B18" s="45">
        <v>575.68497514973876</v>
      </c>
      <c r="C18" s="45">
        <v>9.3029183127309807</v>
      </c>
      <c r="D18" s="20"/>
      <c r="F18" s="5">
        <v>169.1686844229217</v>
      </c>
      <c r="G18" s="9">
        <v>6.4568200161420499</v>
      </c>
      <c r="H18" s="9">
        <f>_xlfn.RANK.EQ(F18,F$18:F$47)</f>
        <v>30</v>
      </c>
      <c r="I18" s="9">
        <f>_xlfn.RANK.EQ(G18,G$18:G$47)</f>
        <v>30</v>
      </c>
      <c r="J18" s="9">
        <f>ABS(H18-I18)</f>
        <v>0</v>
      </c>
      <c r="K18" s="9"/>
      <c r="L18" s="9"/>
      <c r="M18" s="6"/>
    </row>
    <row r="19" spans="1:13" x14ac:dyDescent="0.2">
      <c r="A19" s="45">
        <v>1300.8766437069505</v>
      </c>
      <c r="B19" s="45">
        <v>629.81840951784591</v>
      </c>
      <c r="C19" s="45">
        <v>9.5428929242329374</v>
      </c>
      <c r="D19" s="20"/>
      <c r="F19" s="5">
        <v>175.61475409836063</v>
      </c>
      <c r="G19" s="9">
        <v>6.557377049180328</v>
      </c>
      <c r="H19" s="9">
        <f t="shared" ref="H19:H47" si="0">_xlfn.RANK.EQ(F19,$F$18:$F$47)</f>
        <v>29</v>
      </c>
      <c r="I19" s="9">
        <f t="shared" ref="I19:I47" si="1">_xlfn.RANK.EQ(G19,G$18:G$47)</f>
        <v>25</v>
      </c>
      <c r="J19" s="9">
        <f t="shared" ref="J19:J47" si="2">ABS(H19-I19)</f>
        <v>4</v>
      </c>
      <c r="K19" s="9"/>
      <c r="L19" s="9"/>
      <c r="M19" s="6"/>
    </row>
    <row r="20" spans="1:13" x14ac:dyDescent="0.2">
      <c r="A20" s="45">
        <v>1582.2164948453608</v>
      </c>
      <c r="B20" s="45">
        <v>748.15905743740791</v>
      </c>
      <c r="C20" s="45">
        <v>9.9165439371624942</v>
      </c>
      <c r="D20" s="20"/>
      <c r="F20" s="5">
        <v>179.607181218352</v>
      </c>
      <c r="G20" s="9">
        <v>6.521405554703084</v>
      </c>
      <c r="H20" s="9">
        <f t="shared" si="0"/>
        <v>28</v>
      </c>
      <c r="I20" s="9">
        <f t="shared" si="1"/>
        <v>28</v>
      </c>
      <c r="J20" s="9">
        <f t="shared" si="2"/>
        <v>0</v>
      </c>
      <c r="K20" s="9"/>
      <c r="L20" s="9" t="s">
        <v>268</v>
      </c>
      <c r="M20" s="6" t="s">
        <v>267</v>
      </c>
    </row>
    <row r="21" spans="1:13" x14ac:dyDescent="0.2">
      <c r="A21" s="45">
        <v>1961.7650595166526</v>
      </c>
      <c r="B21" s="45">
        <v>900.67331970662508</v>
      </c>
      <c r="C21" s="45">
        <v>10.52062041601539</v>
      </c>
      <c r="D21" s="20"/>
      <c r="F21" s="5">
        <v>180.41221603731006</v>
      </c>
      <c r="G21" s="9">
        <v>6.5443057018203703</v>
      </c>
      <c r="H21" s="9">
        <f t="shared" si="0"/>
        <v>27</v>
      </c>
      <c r="I21" s="9">
        <f t="shared" si="1"/>
        <v>26</v>
      </c>
      <c r="J21" s="9">
        <f t="shared" si="2"/>
        <v>1</v>
      </c>
      <c r="K21" s="9"/>
      <c r="L21" s="9">
        <f>SUMSQ(J18:J47)</f>
        <v>34</v>
      </c>
      <c r="M21" s="6">
        <f>1-6*L21/(F8*(F8^2-1))</f>
        <v>0.99243604004449393</v>
      </c>
    </row>
    <row r="22" spans="1:13" x14ac:dyDescent="0.2">
      <c r="A22" s="45">
        <v>2277.3878224001883</v>
      </c>
      <c r="B22" s="45">
        <v>1001.8961253091509</v>
      </c>
      <c r="C22" s="45">
        <v>10.882110469909316</v>
      </c>
      <c r="D22" s="20"/>
      <c r="F22" s="5">
        <v>189.06481207457827</v>
      </c>
      <c r="G22" s="9">
        <v>6.4960047351287367</v>
      </c>
      <c r="H22" s="9">
        <f t="shared" si="0"/>
        <v>25</v>
      </c>
      <c r="I22" s="9">
        <f t="shared" si="1"/>
        <v>29</v>
      </c>
      <c r="J22" s="9">
        <f t="shared" si="2"/>
        <v>4</v>
      </c>
      <c r="K22" s="9"/>
      <c r="L22" s="9"/>
      <c r="M22" s="6"/>
    </row>
    <row r="23" spans="1:13" x14ac:dyDescent="0.2">
      <c r="A23" s="45">
        <v>2501.919297028558</v>
      </c>
      <c r="B23" s="45">
        <v>1080.6451612903227</v>
      </c>
      <c r="C23" s="45">
        <v>11.226731414036305</v>
      </c>
      <c r="D23" s="20"/>
      <c r="F23" s="5">
        <v>183.1873905429072</v>
      </c>
      <c r="G23" s="9">
        <v>6.5382370110916517</v>
      </c>
      <c r="H23" s="9">
        <f t="shared" si="0"/>
        <v>26</v>
      </c>
      <c r="I23" s="9">
        <f t="shared" si="1"/>
        <v>27</v>
      </c>
      <c r="J23" s="9">
        <f t="shared" si="2"/>
        <v>1</v>
      </c>
      <c r="K23" s="9"/>
      <c r="L23" s="9"/>
      <c r="M23" s="6"/>
    </row>
    <row r="24" spans="1:13" x14ac:dyDescent="0.2">
      <c r="A24" s="45">
        <v>2830.206550268173</v>
      </c>
      <c r="B24" s="45">
        <v>1193.3470272737648</v>
      </c>
      <c r="C24" s="45">
        <v>11.525733196393929</v>
      </c>
      <c r="D24" s="20"/>
      <c r="F24" s="5">
        <v>207.14388385798478</v>
      </c>
      <c r="G24" s="9">
        <v>6.6264194336639353</v>
      </c>
      <c r="H24" s="9">
        <f t="shared" si="0"/>
        <v>24</v>
      </c>
      <c r="I24" s="9">
        <f t="shared" si="1"/>
        <v>24</v>
      </c>
      <c r="J24" s="9">
        <f t="shared" si="2"/>
        <v>0</v>
      </c>
      <c r="K24" s="9"/>
      <c r="L24" s="9"/>
      <c r="M24" s="6"/>
    </row>
    <row r="25" spans="1:13" x14ac:dyDescent="0.2">
      <c r="A25" s="45">
        <v>3478.8285746529737</v>
      </c>
      <c r="B25" s="45">
        <v>1444.2500846405599</v>
      </c>
      <c r="C25" s="45">
        <v>12.018959485385396</v>
      </c>
      <c r="D25" s="20"/>
      <c r="F25" s="5">
        <v>230.53629545776141</v>
      </c>
      <c r="G25" s="9">
        <v>6.8062827225130889</v>
      </c>
      <c r="H25" s="9">
        <f t="shared" si="0"/>
        <v>23</v>
      </c>
      <c r="I25" s="9">
        <f t="shared" si="1"/>
        <v>23</v>
      </c>
      <c r="J25" s="9">
        <f t="shared" si="2"/>
        <v>0</v>
      </c>
      <c r="K25" s="9"/>
      <c r="L25" s="9"/>
      <c r="M25" s="6"/>
    </row>
    <row r="26" spans="1:13" x14ac:dyDescent="0.2">
      <c r="A26" s="45">
        <v>4760.6192711826516</v>
      </c>
      <c r="B26" s="45">
        <v>1858.6630896490051</v>
      </c>
      <c r="C26" s="45">
        <v>12.810194500335346</v>
      </c>
      <c r="D26" s="20"/>
      <c r="F26" s="5">
        <v>264.41786062039228</v>
      </c>
      <c r="G26" s="9">
        <v>7.3028237585199607</v>
      </c>
      <c r="H26" s="9">
        <f t="shared" si="0"/>
        <v>22</v>
      </c>
      <c r="I26" s="9">
        <f t="shared" si="1"/>
        <v>22</v>
      </c>
      <c r="J26" s="9">
        <f t="shared" si="2"/>
        <v>0</v>
      </c>
      <c r="K26" s="9"/>
      <c r="L26" s="9"/>
      <c r="M26" s="6"/>
    </row>
    <row r="27" spans="1:13" x14ac:dyDescent="0.2">
      <c r="A27" s="45">
        <v>6369.2699678741556</v>
      </c>
      <c r="B27" s="45">
        <v>2464.196299988922</v>
      </c>
      <c r="C27" s="45">
        <v>15.697352387282598</v>
      </c>
      <c r="D27" s="20"/>
      <c r="F27" s="5">
        <v>314.5641729581331</v>
      </c>
      <c r="G27" s="9">
        <v>7.6733013040494162</v>
      </c>
      <c r="H27" s="9">
        <f t="shared" si="0"/>
        <v>21</v>
      </c>
      <c r="I27" s="9">
        <f t="shared" si="1"/>
        <v>21</v>
      </c>
      <c r="J27" s="9">
        <f t="shared" si="2"/>
        <v>0</v>
      </c>
      <c r="K27" s="9"/>
      <c r="L27" s="9"/>
      <c r="M27" s="6"/>
    </row>
    <row r="28" spans="1:13" x14ac:dyDescent="0.2">
      <c r="A28" s="45">
        <v>8733.7692307692305</v>
      </c>
      <c r="B28" s="45">
        <v>3299.7142857142853</v>
      </c>
      <c r="C28" s="45">
        <v>16.208791208791208</v>
      </c>
      <c r="D28" s="20"/>
      <c r="F28" s="5">
        <v>337.55576585102068</v>
      </c>
      <c r="G28" s="9">
        <v>7.8545356225496823</v>
      </c>
      <c r="H28" s="9">
        <f t="shared" si="0"/>
        <v>20</v>
      </c>
      <c r="I28" s="9">
        <f t="shared" si="1"/>
        <v>20</v>
      </c>
      <c r="J28" s="9">
        <f t="shared" si="2"/>
        <v>0</v>
      </c>
      <c r="K28" s="9"/>
      <c r="L28" s="9"/>
      <c r="M28" s="6"/>
    </row>
    <row r="29" spans="1:13" x14ac:dyDescent="0.2">
      <c r="A29" s="45">
        <v>10360.782817269952</v>
      </c>
      <c r="B29" s="45">
        <v>3991.6921064108151</v>
      </c>
      <c r="C29" s="45">
        <v>17.215438290449192</v>
      </c>
      <c r="D29" s="20"/>
      <c r="F29" s="5">
        <v>350.17954515228092</v>
      </c>
      <c r="G29" s="9">
        <v>8.1127809549142178</v>
      </c>
      <c r="H29" s="9">
        <f t="shared" si="0"/>
        <v>19</v>
      </c>
      <c r="I29" s="9">
        <f t="shared" si="1"/>
        <v>19</v>
      </c>
      <c r="J29" s="9">
        <f t="shared" si="2"/>
        <v>0</v>
      </c>
      <c r="K29" s="9"/>
      <c r="L29" s="9"/>
      <c r="M29" s="6"/>
    </row>
    <row r="30" spans="1:13" x14ac:dyDescent="0.2">
      <c r="A30" s="45">
        <v>11328.951639078221</v>
      </c>
      <c r="B30" s="45">
        <v>4413.3506437303913</v>
      </c>
      <c r="C30" s="45">
        <v>17.937898950557177</v>
      </c>
      <c r="D30" s="20"/>
      <c r="F30" s="5">
        <v>429.70387840670855</v>
      </c>
      <c r="G30" s="9">
        <v>8.3595387840670856</v>
      </c>
      <c r="H30" s="9">
        <f t="shared" si="0"/>
        <v>18</v>
      </c>
      <c r="I30" s="9">
        <f t="shared" si="1"/>
        <v>18</v>
      </c>
      <c r="J30" s="9">
        <f t="shared" si="2"/>
        <v>0</v>
      </c>
      <c r="K30" s="9"/>
      <c r="L30" s="9"/>
      <c r="M30" s="6"/>
    </row>
    <row r="31" spans="1:13" x14ac:dyDescent="0.2">
      <c r="A31" s="45">
        <v>11769.404186795491</v>
      </c>
      <c r="B31" s="45">
        <v>4676.9726247987119</v>
      </c>
      <c r="C31" s="45">
        <v>18.497047772410092</v>
      </c>
      <c r="D31" s="20"/>
      <c r="F31" s="5">
        <v>478.27323251906427</v>
      </c>
      <c r="G31" s="9">
        <v>8.7113868424453926</v>
      </c>
      <c r="H31" s="9">
        <f>_xlfn.RANK.EQ(F31,$F$18:$F$47)</f>
        <v>17</v>
      </c>
      <c r="I31" s="9">
        <f t="shared" si="1"/>
        <v>17</v>
      </c>
      <c r="J31" s="9">
        <f t="shared" si="2"/>
        <v>0</v>
      </c>
      <c r="K31" s="9"/>
      <c r="L31" s="9"/>
      <c r="M31" s="6"/>
    </row>
    <row r="32" spans="1:13" x14ac:dyDescent="0.2">
      <c r="A32" s="45">
        <v>12124.555235964632</v>
      </c>
      <c r="B32" s="45">
        <v>4874.9334185575799</v>
      </c>
      <c r="C32" s="45">
        <v>18.813252370299349</v>
      </c>
      <c r="D32" s="20"/>
      <c r="F32" s="5">
        <v>575.68497514973876</v>
      </c>
      <c r="G32" s="9">
        <v>9.3029183127309807</v>
      </c>
      <c r="H32" s="9">
        <f t="shared" si="0"/>
        <v>16</v>
      </c>
      <c r="I32" s="9">
        <f t="shared" si="1"/>
        <v>16</v>
      </c>
      <c r="J32" s="9">
        <f t="shared" si="2"/>
        <v>0</v>
      </c>
      <c r="K32" s="9"/>
      <c r="L32" s="9"/>
      <c r="M32" s="6"/>
    </row>
    <row r="33" spans="1:13" x14ac:dyDescent="0.2">
      <c r="A33" s="45">
        <v>13530.385750421583</v>
      </c>
      <c r="B33" s="45">
        <v>5414.9030354131537</v>
      </c>
      <c r="C33" s="45">
        <v>19.340219224283306</v>
      </c>
      <c r="D33" s="20"/>
      <c r="F33" s="5">
        <v>629.81840951784591</v>
      </c>
      <c r="G33" s="9">
        <v>9.5428929242329374</v>
      </c>
      <c r="H33" s="9">
        <f t="shared" si="0"/>
        <v>15</v>
      </c>
      <c r="I33" s="9">
        <f t="shared" si="1"/>
        <v>15</v>
      </c>
      <c r="J33" s="9">
        <f t="shared" si="2"/>
        <v>0</v>
      </c>
      <c r="K33" s="9"/>
      <c r="L33" s="9"/>
      <c r="M33" s="6"/>
    </row>
    <row r="34" spans="1:13" x14ac:dyDescent="0.2">
      <c r="F34" s="5">
        <v>748.15905743740791</v>
      </c>
      <c r="G34" s="9">
        <v>9.9165439371624942</v>
      </c>
      <c r="H34" s="9">
        <f t="shared" si="0"/>
        <v>14</v>
      </c>
      <c r="I34" s="9">
        <f t="shared" si="1"/>
        <v>14</v>
      </c>
      <c r="J34" s="9">
        <f t="shared" si="2"/>
        <v>0</v>
      </c>
      <c r="K34" s="9"/>
      <c r="L34" s="9"/>
      <c r="M34" s="6"/>
    </row>
    <row r="35" spans="1:13" x14ac:dyDescent="0.2">
      <c r="F35" s="5">
        <v>900.67331970662508</v>
      </c>
      <c r="G35" s="9">
        <v>10.52062041601539</v>
      </c>
      <c r="H35" s="9">
        <f t="shared" si="0"/>
        <v>13</v>
      </c>
      <c r="I35" s="9">
        <f t="shared" si="1"/>
        <v>13</v>
      </c>
      <c r="J35" s="9">
        <f t="shared" si="2"/>
        <v>0</v>
      </c>
      <c r="K35" s="9"/>
      <c r="L35" s="9"/>
      <c r="M35" s="6"/>
    </row>
    <row r="36" spans="1:13" x14ac:dyDescent="0.2">
      <c r="F36" s="5">
        <v>1001.8961253091509</v>
      </c>
      <c r="G36" s="9">
        <v>10.882110469909316</v>
      </c>
      <c r="H36" s="9">
        <f t="shared" si="0"/>
        <v>12</v>
      </c>
      <c r="I36" s="9">
        <f t="shared" si="1"/>
        <v>12</v>
      </c>
      <c r="J36" s="9">
        <f t="shared" si="2"/>
        <v>0</v>
      </c>
      <c r="K36" s="9"/>
      <c r="L36" s="9"/>
      <c r="M36" s="6"/>
    </row>
    <row r="37" spans="1:13" x14ac:dyDescent="0.2">
      <c r="F37" s="5">
        <v>1080.6451612903227</v>
      </c>
      <c r="G37" s="9">
        <v>11.226731414036305</v>
      </c>
      <c r="H37" s="9">
        <f t="shared" si="0"/>
        <v>11</v>
      </c>
      <c r="I37" s="9">
        <f t="shared" si="1"/>
        <v>11</v>
      </c>
      <c r="J37" s="9">
        <f t="shared" si="2"/>
        <v>0</v>
      </c>
      <c r="K37" s="9"/>
      <c r="L37" s="9"/>
      <c r="M37" s="6"/>
    </row>
    <row r="38" spans="1:13" x14ac:dyDescent="0.2">
      <c r="F38" s="5">
        <v>1193.3470272737648</v>
      </c>
      <c r="G38" s="9">
        <v>11.525733196393929</v>
      </c>
      <c r="H38" s="9">
        <f t="shared" si="0"/>
        <v>10</v>
      </c>
      <c r="I38" s="9">
        <f t="shared" si="1"/>
        <v>10</v>
      </c>
      <c r="J38" s="9">
        <f t="shared" si="2"/>
        <v>0</v>
      </c>
      <c r="K38" s="9"/>
      <c r="L38" s="9"/>
      <c r="M38" s="6"/>
    </row>
    <row r="39" spans="1:13" x14ac:dyDescent="0.2">
      <c r="F39" s="5">
        <v>1444.2500846405599</v>
      </c>
      <c r="G39" s="9">
        <v>12.018959485385396</v>
      </c>
      <c r="H39" s="9">
        <f t="shared" si="0"/>
        <v>9</v>
      </c>
      <c r="I39" s="9">
        <f t="shared" si="1"/>
        <v>9</v>
      </c>
      <c r="J39" s="9">
        <f t="shared" si="2"/>
        <v>0</v>
      </c>
      <c r="K39" s="9"/>
      <c r="L39" s="9"/>
      <c r="M39" s="6"/>
    </row>
    <row r="40" spans="1:13" x14ac:dyDescent="0.2">
      <c r="F40" s="5">
        <v>1858.6630896490051</v>
      </c>
      <c r="G40" s="9">
        <v>12.810194500335346</v>
      </c>
      <c r="H40" s="9">
        <f t="shared" si="0"/>
        <v>8</v>
      </c>
      <c r="I40" s="9">
        <f t="shared" si="1"/>
        <v>8</v>
      </c>
      <c r="J40" s="9">
        <f t="shared" si="2"/>
        <v>0</v>
      </c>
      <c r="K40" s="9"/>
      <c r="L40" s="9"/>
      <c r="M40" s="6"/>
    </row>
    <row r="41" spans="1:13" x14ac:dyDescent="0.2">
      <c r="F41" s="5">
        <v>2464.196299988922</v>
      </c>
      <c r="G41" s="9">
        <v>15.697352387282598</v>
      </c>
      <c r="H41" s="9">
        <f t="shared" si="0"/>
        <v>7</v>
      </c>
      <c r="I41" s="9">
        <f t="shared" si="1"/>
        <v>7</v>
      </c>
      <c r="J41" s="9">
        <f t="shared" si="2"/>
        <v>0</v>
      </c>
      <c r="K41" s="9"/>
      <c r="L41" s="9"/>
      <c r="M41" s="6"/>
    </row>
    <row r="42" spans="1:13" x14ac:dyDescent="0.2">
      <c r="F42" s="5">
        <v>3299.7142857142853</v>
      </c>
      <c r="G42" s="9">
        <v>16.208791208791208</v>
      </c>
      <c r="H42" s="9">
        <f t="shared" si="0"/>
        <v>6</v>
      </c>
      <c r="I42" s="9">
        <f t="shared" si="1"/>
        <v>6</v>
      </c>
      <c r="J42" s="9">
        <f t="shared" si="2"/>
        <v>0</v>
      </c>
      <c r="K42" s="9"/>
      <c r="L42" s="9"/>
      <c r="M42" s="6"/>
    </row>
    <row r="43" spans="1:13" x14ac:dyDescent="0.2">
      <c r="F43" s="5">
        <v>3991.6921064108151</v>
      </c>
      <c r="G43" s="9">
        <v>17.215438290449192</v>
      </c>
      <c r="H43" s="9">
        <f t="shared" si="0"/>
        <v>5</v>
      </c>
      <c r="I43" s="9">
        <f t="shared" si="1"/>
        <v>5</v>
      </c>
      <c r="J43" s="9">
        <f t="shared" si="2"/>
        <v>0</v>
      </c>
      <c r="K43" s="9"/>
      <c r="L43" s="9"/>
      <c r="M43" s="6"/>
    </row>
    <row r="44" spans="1:13" x14ac:dyDescent="0.2">
      <c r="F44" s="5">
        <v>4413.3506437303913</v>
      </c>
      <c r="G44" s="9">
        <v>17.937898950557177</v>
      </c>
      <c r="H44" s="9">
        <f t="shared" si="0"/>
        <v>4</v>
      </c>
      <c r="I44" s="9">
        <f t="shared" si="1"/>
        <v>4</v>
      </c>
      <c r="J44" s="9">
        <f t="shared" si="2"/>
        <v>0</v>
      </c>
      <c r="K44" s="9"/>
      <c r="L44" s="9"/>
      <c r="M44" s="6"/>
    </row>
    <row r="45" spans="1:13" x14ac:dyDescent="0.2">
      <c r="F45" s="5">
        <v>4676.9726247987119</v>
      </c>
      <c r="G45" s="9">
        <v>18.497047772410092</v>
      </c>
      <c r="H45" s="9">
        <f t="shared" si="0"/>
        <v>3</v>
      </c>
      <c r="I45" s="9">
        <f t="shared" si="1"/>
        <v>3</v>
      </c>
      <c r="J45" s="9">
        <f t="shared" si="2"/>
        <v>0</v>
      </c>
      <c r="K45" s="9"/>
      <c r="L45" s="9"/>
      <c r="M45" s="6"/>
    </row>
    <row r="46" spans="1:13" x14ac:dyDescent="0.2">
      <c r="F46" s="5">
        <v>4874.9334185575799</v>
      </c>
      <c r="G46" s="9">
        <v>18.813252370299349</v>
      </c>
      <c r="H46" s="9">
        <f t="shared" si="0"/>
        <v>2</v>
      </c>
      <c r="I46" s="9">
        <f t="shared" si="1"/>
        <v>2</v>
      </c>
      <c r="J46" s="9">
        <f t="shared" si="2"/>
        <v>0</v>
      </c>
      <c r="K46" s="9"/>
      <c r="L46" s="9"/>
      <c r="M46" s="6"/>
    </row>
    <row r="47" spans="1:13" x14ac:dyDescent="0.2">
      <c r="F47" s="3">
        <v>5414.9030354131537</v>
      </c>
      <c r="G47" s="10">
        <v>19.340219224283306</v>
      </c>
      <c r="H47" s="10">
        <f t="shared" si="0"/>
        <v>1</v>
      </c>
      <c r="I47" s="10">
        <f t="shared" si="1"/>
        <v>1</v>
      </c>
      <c r="J47" s="10">
        <f t="shared" si="2"/>
        <v>0</v>
      </c>
      <c r="K47" s="10"/>
      <c r="L47" s="10"/>
      <c r="M47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0245-9288-4162-AE08-2B041A54A78F}">
  <dimension ref="A1:U89"/>
  <sheetViews>
    <sheetView topLeftCell="E4" workbookViewId="0">
      <selection activeCell="G20" sqref="G20"/>
    </sheetView>
  </sheetViews>
  <sheetFormatPr defaultRowHeight="14.25" x14ac:dyDescent="0.2"/>
  <sheetData>
    <row r="1" spans="1:21" x14ac:dyDescent="0.2">
      <c r="A1" s="49" t="s">
        <v>270</v>
      </c>
      <c r="B1" s="49" t="s">
        <v>272</v>
      </c>
      <c r="C1" s="49" t="s">
        <v>273</v>
      </c>
      <c r="E1" s="24" t="s">
        <v>274</v>
      </c>
      <c r="H1" t="s">
        <v>279</v>
      </c>
      <c r="O1" t="s">
        <v>303</v>
      </c>
      <c r="T1" t="s">
        <v>306</v>
      </c>
    </row>
    <row r="2" spans="1:21" ht="15" thickBot="1" x14ac:dyDescent="0.25">
      <c r="A2" s="49">
        <v>0</v>
      </c>
      <c r="B2" s="49">
        <v>1</v>
      </c>
      <c r="C2" s="49">
        <v>27.6</v>
      </c>
      <c r="E2" t="s">
        <v>269</v>
      </c>
      <c r="F2" t="s">
        <v>271</v>
      </c>
    </row>
    <row r="3" spans="1:21" x14ac:dyDescent="0.2">
      <c r="A3" s="49">
        <v>1.1000000000000001</v>
      </c>
      <c r="B3" s="49">
        <v>0.6</v>
      </c>
      <c r="C3" s="49">
        <v>38.4</v>
      </c>
      <c r="E3">
        <f>A2</f>
        <v>0</v>
      </c>
      <c r="F3">
        <f>B2</f>
        <v>1</v>
      </c>
      <c r="H3" s="53" t="s">
        <v>280</v>
      </c>
      <c r="I3" s="53"/>
      <c r="K3" t="s">
        <v>153</v>
      </c>
      <c r="L3">
        <v>0.05</v>
      </c>
      <c r="O3" s="52" t="s">
        <v>285</v>
      </c>
      <c r="P3" s="52" t="s">
        <v>304</v>
      </c>
      <c r="Q3" s="52" t="s">
        <v>288</v>
      </c>
      <c r="R3" s="52" t="s">
        <v>305</v>
      </c>
      <c r="T3" s="52" t="s">
        <v>307</v>
      </c>
      <c r="U3" s="52" t="s">
        <v>308</v>
      </c>
    </row>
    <row r="4" spans="1:21" x14ac:dyDescent="0.2">
      <c r="A4" s="49">
        <v>1.8</v>
      </c>
      <c r="B4" s="49">
        <v>0</v>
      </c>
      <c r="C4" s="49">
        <v>24</v>
      </c>
      <c r="E4">
        <f t="shared" ref="E4:F15" si="0">A3</f>
        <v>1.1000000000000001</v>
      </c>
      <c r="F4">
        <f t="shared" si="0"/>
        <v>0.6</v>
      </c>
      <c r="H4" s="50" t="s">
        <v>281</v>
      </c>
      <c r="I4" s="50">
        <v>0.50662247677599026</v>
      </c>
      <c r="K4" t="s">
        <v>309</v>
      </c>
      <c r="L4">
        <f>I12</f>
        <v>2</v>
      </c>
      <c r="O4" s="50">
        <v>1</v>
      </c>
      <c r="P4" s="50">
        <v>31.322457955108497</v>
      </c>
      <c r="Q4" s="50">
        <v>-3.7224579551084958</v>
      </c>
      <c r="R4" s="50">
        <v>-0.41841488201223198</v>
      </c>
      <c r="T4" s="50">
        <v>4.166666666666667</v>
      </c>
      <c r="U4" s="50">
        <v>24</v>
      </c>
    </row>
    <row r="5" spans="1:21" x14ac:dyDescent="0.2">
      <c r="A5" s="49">
        <v>2.95</v>
      </c>
      <c r="B5" s="49">
        <v>0</v>
      </c>
      <c r="C5" s="49">
        <v>24.7</v>
      </c>
      <c r="E5">
        <f t="shared" si="0"/>
        <v>1.8</v>
      </c>
      <c r="F5">
        <f t="shared" si="0"/>
        <v>0</v>
      </c>
      <c r="H5" s="50" t="s">
        <v>282</v>
      </c>
      <c r="I5" s="50">
        <v>0.25666633397463884</v>
      </c>
      <c r="K5" t="s">
        <v>310</v>
      </c>
      <c r="L5">
        <f>I13</f>
        <v>9</v>
      </c>
      <c r="O5" s="50">
        <v>2</v>
      </c>
      <c r="P5" s="50">
        <v>31.733775450910834</v>
      </c>
      <c r="Q5" s="50">
        <v>6.666224549089165</v>
      </c>
      <c r="R5" s="50">
        <v>0.74930263600328328</v>
      </c>
      <c r="T5" s="50">
        <v>12.5</v>
      </c>
      <c r="U5" s="50">
        <v>24.7</v>
      </c>
    </row>
    <row r="6" spans="1:21" x14ac:dyDescent="0.2">
      <c r="A6" s="49">
        <v>3.4</v>
      </c>
      <c r="B6" s="49">
        <v>0.2</v>
      </c>
      <c r="C6" s="49">
        <v>32</v>
      </c>
      <c r="E6">
        <f t="shared" si="0"/>
        <v>2.95</v>
      </c>
      <c r="F6">
        <f t="shared" si="0"/>
        <v>0</v>
      </c>
      <c r="H6" s="50" t="s">
        <v>283</v>
      </c>
      <c r="I6" s="50">
        <v>9.1481074857891906E-2</v>
      </c>
      <c r="K6" t="s">
        <v>155</v>
      </c>
      <c r="L6">
        <f>FINV(L3,L4,L5)</f>
        <v>4.2564947290937507</v>
      </c>
      <c r="O6" s="50">
        <v>3</v>
      </c>
      <c r="P6" s="50">
        <v>30.63539794793888</v>
      </c>
      <c r="Q6" s="50">
        <v>-6.6353979479388805</v>
      </c>
      <c r="R6" s="50">
        <v>-0.74583763818767768</v>
      </c>
      <c r="T6" s="50">
        <v>20.833333333333336</v>
      </c>
      <c r="U6" s="50">
        <v>27.6</v>
      </c>
    </row>
    <row r="7" spans="1:21" x14ac:dyDescent="0.2">
      <c r="A7" s="49">
        <v>1.8</v>
      </c>
      <c r="B7" s="49">
        <v>1.7</v>
      </c>
      <c r="C7" s="49">
        <v>55.5</v>
      </c>
      <c r="E7">
        <f t="shared" si="0"/>
        <v>3.4</v>
      </c>
      <c r="F7">
        <f t="shared" si="0"/>
        <v>0.2</v>
      </c>
      <c r="H7" s="50" t="s">
        <v>284</v>
      </c>
      <c r="I7" s="50">
        <v>9.8355299693567311</v>
      </c>
      <c r="K7" t="s">
        <v>150</v>
      </c>
      <c r="L7">
        <f>L12</f>
        <v>1.553808949703172</v>
      </c>
      <c r="O7" s="50">
        <v>4</v>
      </c>
      <c r="P7" s="50">
        <v>32.711878799177597</v>
      </c>
      <c r="Q7" s="50">
        <v>-8.0118787991775982</v>
      </c>
      <c r="R7" s="50">
        <v>-0.90055800841315103</v>
      </c>
      <c r="T7" s="50">
        <v>29.166666666666668</v>
      </c>
      <c r="U7" s="50">
        <v>31</v>
      </c>
    </row>
    <row r="8" spans="1:21" ht="15" thickBot="1" x14ac:dyDescent="0.25">
      <c r="A8" s="49">
        <v>0.7</v>
      </c>
      <c r="B8" s="49">
        <v>1.3</v>
      </c>
      <c r="C8" s="49">
        <v>40.4</v>
      </c>
      <c r="E8">
        <f t="shared" si="0"/>
        <v>1.8</v>
      </c>
      <c r="F8">
        <f t="shared" si="0"/>
        <v>1.7</v>
      </c>
      <c r="H8" s="51" t="s">
        <v>285</v>
      </c>
      <c r="I8" s="51">
        <v>12</v>
      </c>
      <c r="K8" t="s">
        <v>311</v>
      </c>
      <c r="O8" s="50">
        <v>5</v>
      </c>
      <c r="P8" s="50">
        <v>34.311855574092696</v>
      </c>
      <c r="Q8" s="50">
        <v>-2.3118555740926965</v>
      </c>
      <c r="R8" s="50">
        <v>-0.25985915460396997</v>
      </c>
      <c r="T8" s="50">
        <v>37.5</v>
      </c>
      <c r="U8" s="50">
        <v>31.7</v>
      </c>
    </row>
    <row r="9" spans="1:21" x14ac:dyDescent="0.2">
      <c r="A9" s="49">
        <v>0.2</v>
      </c>
      <c r="B9" s="49">
        <v>2</v>
      </c>
      <c r="C9" s="49">
        <v>37.5</v>
      </c>
      <c r="E9">
        <f t="shared" si="0"/>
        <v>0.7</v>
      </c>
      <c r="F9">
        <f t="shared" si="0"/>
        <v>1.3</v>
      </c>
      <c r="O9" s="50">
        <v>6</v>
      </c>
      <c r="P9" s="50">
        <v>37.32864465994502</v>
      </c>
      <c r="Q9" s="50">
        <v>18.17135534005498</v>
      </c>
      <c r="R9" s="50">
        <v>2.0425121229851051</v>
      </c>
      <c r="T9" s="50">
        <v>45.833333333333336</v>
      </c>
      <c r="U9" s="50">
        <v>32</v>
      </c>
    </row>
    <row r="10" spans="1:21" ht="15" thickBot="1" x14ac:dyDescent="0.25">
      <c r="A10" s="49">
        <v>0.85</v>
      </c>
      <c r="B10" s="49">
        <v>3.35</v>
      </c>
      <c r="C10" s="49">
        <v>31</v>
      </c>
      <c r="E10">
        <f t="shared" si="0"/>
        <v>0.2</v>
      </c>
      <c r="F10">
        <f t="shared" si="0"/>
        <v>2</v>
      </c>
      <c r="H10" t="s">
        <v>286</v>
      </c>
      <c r="O10" s="50">
        <v>7</v>
      </c>
      <c r="P10" s="50">
        <v>33.767564005551563</v>
      </c>
      <c r="Q10" s="50">
        <v>6.6324359944484357</v>
      </c>
      <c r="R10" s="50">
        <v>0.745504706174697</v>
      </c>
      <c r="T10" s="50">
        <v>54.166666666666664</v>
      </c>
      <c r="U10" s="50">
        <v>37.5</v>
      </c>
    </row>
    <row r="11" spans="1:21" x14ac:dyDescent="0.2">
      <c r="A11" s="49">
        <v>1.65</v>
      </c>
      <c r="B11" s="49">
        <v>3.15</v>
      </c>
      <c r="C11" s="49">
        <v>31.7</v>
      </c>
      <c r="E11">
        <f t="shared" si="0"/>
        <v>0.85</v>
      </c>
      <c r="F11">
        <f t="shared" si="0"/>
        <v>3.35</v>
      </c>
      <c r="H11" s="52"/>
      <c r="I11" s="52" t="s">
        <v>291</v>
      </c>
      <c r="J11" s="52" t="s">
        <v>292</v>
      </c>
      <c r="K11" s="52" t="s">
        <v>293</v>
      </c>
      <c r="L11" s="52" t="s">
        <v>294</v>
      </c>
      <c r="M11" s="52" t="s">
        <v>295</v>
      </c>
      <c r="O11" s="50">
        <v>8</v>
      </c>
      <c r="P11" s="50">
        <v>35.620789007910659</v>
      </c>
      <c r="Q11" s="50">
        <v>1.8792109920893409</v>
      </c>
      <c r="R11" s="50">
        <v>0.21122867068306042</v>
      </c>
      <c r="T11" s="50">
        <v>62.5</v>
      </c>
      <c r="U11" s="50">
        <v>38.4</v>
      </c>
    </row>
    <row r="12" spans="1:21" x14ac:dyDescent="0.2">
      <c r="A12" s="49">
        <v>2.65</v>
      </c>
      <c r="B12" s="49">
        <v>3.1</v>
      </c>
      <c r="C12" s="49">
        <v>53</v>
      </c>
      <c r="E12">
        <f t="shared" si="0"/>
        <v>1.65</v>
      </c>
      <c r="F12">
        <f t="shared" si="0"/>
        <v>3.15</v>
      </c>
      <c r="H12" s="50" t="s">
        <v>287</v>
      </c>
      <c r="I12" s="50">
        <v>2</v>
      </c>
      <c r="J12" s="50">
        <v>300.62365199697047</v>
      </c>
      <c r="K12" s="50">
        <v>150.31182599848523</v>
      </c>
      <c r="L12" s="50">
        <v>1.553808949703172</v>
      </c>
      <c r="M12" s="50">
        <v>0.26322498655219562</v>
      </c>
      <c r="O12" s="50">
        <v>9</v>
      </c>
      <c r="P12" s="50">
        <v>42.109677427863758</v>
      </c>
      <c r="Q12" s="50">
        <v>-11.109677427863758</v>
      </c>
      <c r="R12" s="50">
        <v>-1.248759402048931</v>
      </c>
      <c r="T12" s="50">
        <v>70.833333333333343</v>
      </c>
      <c r="U12" s="50">
        <v>40.4</v>
      </c>
    </row>
    <row r="13" spans="1:21" x14ac:dyDescent="0.2">
      <c r="A13" s="49">
        <v>3.65</v>
      </c>
      <c r="B13" s="49">
        <v>2.5499999999999998</v>
      </c>
      <c r="C13" s="49">
        <v>44.9</v>
      </c>
      <c r="E13">
        <f t="shared" si="0"/>
        <v>2.65</v>
      </c>
      <c r="F13">
        <f t="shared" si="0"/>
        <v>3.1</v>
      </c>
      <c r="H13" s="50" t="s">
        <v>288</v>
      </c>
      <c r="I13" s="50">
        <v>9</v>
      </c>
      <c r="J13" s="50">
        <v>870.63884800302958</v>
      </c>
      <c r="K13" s="50">
        <v>96.737649778114402</v>
      </c>
      <c r="L13" s="50"/>
      <c r="M13" s="50"/>
      <c r="O13" s="50">
        <v>10</v>
      </c>
      <c r="P13" s="50">
        <v>42.766745056468991</v>
      </c>
      <c r="Q13" s="50">
        <v>-11.066745056468992</v>
      </c>
      <c r="R13" s="50">
        <v>-1.2439336811601311</v>
      </c>
      <c r="T13" s="50">
        <v>79.166666666666671</v>
      </c>
      <c r="U13" s="50">
        <v>44.9</v>
      </c>
    </row>
    <row r="14" spans="1:21" ht="15" thickBot="1" x14ac:dyDescent="0.25">
      <c r="E14">
        <f t="shared" si="0"/>
        <v>3.65</v>
      </c>
      <c r="F14">
        <f t="shared" si="0"/>
        <v>2.5499999999999998</v>
      </c>
      <c r="H14" s="51" t="s">
        <v>289</v>
      </c>
      <c r="I14" s="51">
        <v>11</v>
      </c>
      <c r="J14" s="51">
        <v>1171.2625</v>
      </c>
      <c r="K14" s="51"/>
      <c r="L14" s="51"/>
      <c r="M14" s="51"/>
      <c r="O14" s="50">
        <v>11</v>
      </c>
      <c r="P14" s="50">
        <v>44.375520381873315</v>
      </c>
      <c r="Q14" s="50">
        <v>8.624479618126685</v>
      </c>
      <c r="R14" s="50">
        <v>0.9694160861865796</v>
      </c>
      <c r="T14" s="50">
        <v>87.500000000000014</v>
      </c>
      <c r="U14" s="50">
        <v>53</v>
      </c>
    </row>
    <row r="15" spans="1:21" ht="15" thickBot="1" x14ac:dyDescent="0.25">
      <c r="O15" s="51">
        <v>12</v>
      </c>
      <c r="P15" s="51">
        <v>44.015693733158194</v>
      </c>
      <c r="Q15" s="51">
        <v>0.88430626684180424</v>
      </c>
      <c r="R15" s="51">
        <v>9.9398544393366164E-2</v>
      </c>
      <c r="T15" s="51">
        <v>95.833333333333343</v>
      </c>
      <c r="U15" s="51">
        <v>55.5</v>
      </c>
    </row>
    <row r="16" spans="1:21" x14ac:dyDescent="0.2">
      <c r="H16" s="52"/>
      <c r="I16" s="52" t="s">
        <v>296</v>
      </c>
      <c r="J16" s="52" t="s">
        <v>284</v>
      </c>
      <c r="K16" s="52" t="s">
        <v>297</v>
      </c>
      <c r="L16" s="52" t="s">
        <v>298</v>
      </c>
      <c r="M16" s="52" t="s">
        <v>299</v>
      </c>
      <c r="N16" s="52" t="s">
        <v>300</v>
      </c>
      <c r="O16" s="52" t="s">
        <v>301</v>
      </c>
      <c r="P16" s="52" t="s">
        <v>302</v>
      </c>
    </row>
    <row r="17" spans="1:21" x14ac:dyDescent="0.2">
      <c r="H17" s="50" t="s">
        <v>290</v>
      </c>
      <c r="I17" s="50">
        <v>27.385254006869591</v>
      </c>
      <c r="J17" s="50">
        <v>6.5335024977920648</v>
      </c>
      <c r="K17" s="50">
        <v>4.191511982451094</v>
      </c>
      <c r="L17" s="50">
        <v>2.3358774092965256E-3</v>
      </c>
      <c r="M17" s="50">
        <v>12.605444533329306</v>
      </c>
      <c r="N17" s="50">
        <v>42.165063480409877</v>
      </c>
      <c r="O17" s="50">
        <v>12.605444533329306</v>
      </c>
      <c r="P17" s="50">
        <v>42.165063480409877</v>
      </c>
    </row>
    <row r="18" spans="1:21" x14ac:dyDescent="0.2">
      <c r="H18" s="50" t="s">
        <v>275</v>
      </c>
      <c r="I18" s="50">
        <v>1.8056355228162728</v>
      </c>
      <c r="J18" s="50">
        <v>2.4388430382938004</v>
      </c>
      <c r="K18" s="50">
        <v>0.74036561372128495</v>
      </c>
      <c r="L18" s="50">
        <v>0.47794707154688243</v>
      </c>
      <c r="M18" s="50">
        <v>-3.7114107252005857</v>
      </c>
      <c r="N18" s="50">
        <v>7.3226817708331309</v>
      </c>
      <c r="O18" s="50">
        <v>-3.7114107252005857</v>
      </c>
      <c r="P18" s="50">
        <v>7.3226817708331309</v>
      </c>
    </row>
    <row r="19" spans="1:21" ht="15" thickBot="1" x14ac:dyDescent="0.25">
      <c r="H19" s="51" t="s">
        <v>276</v>
      </c>
      <c r="I19" s="51">
        <v>3.9372039482389054</v>
      </c>
      <c r="J19" s="51">
        <v>2.3731566508897761</v>
      </c>
      <c r="K19" s="51">
        <v>1.6590577561589603</v>
      </c>
      <c r="L19" s="51">
        <v>0.13147775078404836</v>
      </c>
      <c r="M19" s="51">
        <v>-1.431249368013602</v>
      </c>
      <c r="N19" s="51">
        <v>9.305657264491412</v>
      </c>
      <c r="O19" s="51">
        <v>-1.431249368013602</v>
      </c>
      <c r="P19" s="51">
        <v>9.305657264491412</v>
      </c>
    </row>
    <row r="21" spans="1:21" x14ac:dyDescent="0.2">
      <c r="A21" s="24" t="s">
        <v>312</v>
      </c>
    </row>
    <row r="22" spans="1:21" x14ac:dyDescent="0.2">
      <c r="A22" t="s">
        <v>269</v>
      </c>
      <c r="B22" t="s">
        <v>271</v>
      </c>
      <c r="C22" t="s">
        <v>314</v>
      </c>
      <c r="D22" t="s">
        <v>316</v>
      </c>
      <c r="E22" t="s">
        <v>278</v>
      </c>
      <c r="H22" t="s">
        <v>279</v>
      </c>
      <c r="O22" t="s">
        <v>303</v>
      </c>
      <c r="T22" t="s">
        <v>306</v>
      </c>
    </row>
    <row r="23" spans="1:21" ht="15" thickBot="1" x14ac:dyDescent="0.25">
      <c r="A23">
        <f>E3</f>
        <v>0</v>
      </c>
      <c r="B23">
        <f>F3</f>
        <v>1</v>
      </c>
      <c r="C23">
        <f>A23^2</f>
        <v>0</v>
      </c>
      <c r="D23">
        <f>B23^2</f>
        <v>1</v>
      </c>
      <c r="E23">
        <f>A23*B23</f>
        <v>0</v>
      </c>
    </row>
    <row r="24" spans="1:21" x14ac:dyDescent="0.2">
      <c r="A24">
        <f t="shared" ref="A24:B35" si="1">E4</f>
        <v>1.1000000000000001</v>
      </c>
      <c r="B24">
        <f t="shared" si="1"/>
        <v>0.6</v>
      </c>
      <c r="C24">
        <f t="shared" ref="C24:C34" si="2">A24^2</f>
        <v>1.2100000000000002</v>
      </c>
      <c r="D24">
        <f t="shared" ref="D24:D34" si="3">B24^2</f>
        <v>0.36</v>
      </c>
      <c r="E24">
        <f t="shared" ref="E24:E34" si="4">A24*B24</f>
        <v>0.66</v>
      </c>
      <c r="H24" s="53" t="s">
        <v>280</v>
      </c>
      <c r="I24" s="53"/>
      <c r="K24" t="s">
        <v>153</v>
      </c>
      <c r="L24">
        <v>0.05</v>
      </c>
      <c r="O24" s="52" t="s">
        <v>285</v>
      </c>
      <c r="P24" s="52" t="s">
        <v>304</v>
      </c>
      <c r="Q24" s="52" t="s">
        <v>288</v>
      </c>
      <c r="R24" s="52" t="s">
        <v>305</v>
      </c>
      <c r="T24" s="52" t="s">
        <v>307</v>
      </c>
      <c r="U24" s="52" t="s">
        <v>308</v>
      </c>
    </row>
    <row r="25" spans="1:21" x14ac:dyDescent="0.2">
      <c r="A25">
        <f t="shared" si="1"/>
        <v>1.8</v>
      </c>
      <c r="B25">
        <f t="shared" si="1"/>
        <v>0</v>
      </c>
      <c r="C25">
        <f t="shared" si="2"/>
        <v>3.24</v>
      </c>
      <c r="D25">
        <f t="shared" si="3"/>
        <v>0</v>
      </c>
      <c r="E25">
        <f t="shared" si="4"/>
        <v>0</v>
      </c>
      <c r="H25" s="50" t="s">
        <v>281</v>
      </c>
      <c r="I25" s="50">
        <v>0.91576200293295529</v>
      </c>
      <c r="K25" t="s">
        <v>309</v>
      </c>
      <c r="L25">
        <f>I33</f>
        <v>5</v>
      </c>
      <c r="O25" s="50">
        <v>1</v>
      </c>
      <c r="P25" s="50">
        <v>27.715941583384797</v>
      </c>
      <c r="Q25" s="50">
        <v>-0.11594158338479588</v>
      </c>
      <c r="R25" s="50">
        <v>-2.7969432630386665E-2</v>
      </c>
      <c r="T25" s="50">
        <v>4.166666666666667</v>
      </c>
      <c r="U25" s="50">
        <v>24</v>
      </c>
    </row>
    <row r="26" spans="1:21" x14ac:dyDescent="0.2">
      <c r="A26">
        <f t="shared" si="1"/>
        <v>2.95</v>
      </c>
      <c r="B26">
        <f t="shared" si="1"/>
        <v>0</v>
      </c>
      <c r="C26">
        <f t="shared" si="2"/>
        <v>8.7025000000000006</v>
      </c>
      <c r="D26">
        <f t="shared" si="3"/>
        <v>0</v>
      </c>
      <c r="E26">
        <f t="shared" si="4"/>
        <v>0</v>
      </c>
      <c r="H26" s="50" t="s">
        <v>282</v>
      </c>
      <c r="I26" s="50">
        <v>0.838620046015778</v>
      </c>
      <c r="K26" t="s">
        <v>310</v>
      </c>
      <c r="L26">
        <f>I34</f>
        <v>6</v>
      </c>
      <c r="O26" s="50">
        <v>2</v>
      </c>
      <c r="P26" s="50">
        <v>36.041119716818152</v>
      </c>
      <c r="Q26" s="50">
        <v>2.3588802831818469</v>
      </c>
      <c r="R26" s="50">
        <v>0.56904987181893185</v>
      </c>
      <c r="T26" s="50">
        <v>12.5</v>
      </c>
      <c r="U26" s="50">
        <v>24.7</v>
      </c>
    </row>
    <row r="27" spans="1:21" x14ac:dyDescent="0.2">
      <c r="A27">
        <f t="shared" si="1"/>
        <v>3.4</v>
      </c>
      <c r="B27">
        <f t="shared" si="1"/>
        <v>0.2</v>
      </c>
      <c r="C27">
        <f t="shared" si="2"/>
        <v>11.559999999999999</v>
      </c>
      <c r="D27">
        <f t="shared" si="3"/>
        <v>4.0000000000000008E-2</v>
      </c>
      <c r="E27">
        <f t="shared" si="4"/>
        <v>0.68</v>
      </c>
      <c r="H27" s="50" t="s">
        <v>283</v>
      </c>
      <c r="I27" s="50">
        <v>0.70413675102892626</v>
      </c>
      <c r="K27" t="s">
        <v>155</v>
      </c>
      <c r="L27">
        <f>FINV(L24,L25,L26)</f>
        <v>4.3873741874061292</v>
      </c>
      <c r="O27" s="50">
        <v>3</v>
      </c>
      <c r="P27" s="50">
        <v>25.760543009073455</v>
      </c>
      <c r="Q27" s="50">
        <v>-1.7605430090734551</v>
      </c>
      <c r="R27" s="50">
        <v>-0.4247086131448809</v>
      </c>
      <c r="T27" s="50">
        <v>20.833333333333336</v>
      </c>
      <c r="U27" s="50">
        <v>27.6</v>
      </c>
    </row>
    <row r="28" spans="1:21" x14ac:dyDescent="0.2">
      <c r="A28">
        <f t="shared" si="1"/>
        <v>1.8</v>
      </c>
      <c r="B28">
        <f t="shared" si="1"/>
        <v>1.7</v>
      </c>
      <c r="C28">
        <f t="shared" si="2"/>
        <v>3.24</v>
      </c>
      <c r="D28">
        <f t="shared" si="3"/>
        <v>2.8899999999999997</v>
      </c>
      <c r="E28">
        <f t="shared" si="4"/>
        <v>3.06</v>
      </c>
      <c r="H28" s="50" t="s">
        <v>284</v>
      </c>
      <c r="I28" s="50">
        <v>5.6127576162620345</v>
      </c>
      <c r="K28" t="s">
        <v>150</v>
      </c>
      <c r="L28">
        <f>L33</f>
        <v>6.2358677789517953</v>
      </c>
      <c r="O28" s="50">
        <v>4</v>
      </c>
      <c r="P28" s="50">
        <v>26.21326602595617</v>
      </c>
      <c r="Q28" s="50">
        <v>-1.5132660259561703</v>
      </c>
      <c r="R28" s="50">
        <v>-0.36505618544437118</v>
      </c>
      <c r="T28" s="50">
        <v>29.166666666666668</v>
      </c>
      <c r="U28" s="50">
        <v>31</v>
      </c>
    </row>
    <row r="29" spans="1:21" ht="15" thickBot="1" x14ac:dyDescent="0.25">
      <c r="A29">
        <f t="shared" si="1"/>
        <v>0.7</v>
      </c>
      <c r="B29">
        <f t="shared" si="1"/>
        <v>1.3</v>
      </c>
      <c r="C29">
        <f t="shared" si="2"/>
        <v>0.48999999999999994</v>
      </c>
      <c r="D29">
        <f t="shared" si="3"/>
        <v>1.6900000000000002</v>
      </c>
      <c r="E29">
        <f t="shared" si="4"/>
        <v>0.90999999999999992</v>
      </c>
      <c r="H29" s="51" t="s">
        <v>285</v>
      </c>
      <c r="I29" s="51">
        <v>12</v>
      </c>
      <c r="K29" t="s">
        <v>317</v>
      </c>
      <c r="O29" s="50">
        <v>5</v>
      </c>
      <c r="P29" s="50">
        <v>29.684245085315904</v>
      </c>
      <c r="Q29" s="50">
        <v>2.3157549146840957</v>
      </c>
      <c r="R29" s="50">
        <v>0.55864642506889695</v>
      </c>
      <c r="T29" s="50">
        <v>37.5</v>
      </c>
      <c r="U29" s="50">
        <v>31.7</v>
      </c>
    </row>
    <row r="30" spans="1:21" x14ac:dyDescent="0.2">
      <c r="A30">
        <f t="shared" si="1"/>
        <v>0.2</v>
      </c>
      <c r="B30">
        <f t="shared" si="1"/>
        <v>2</v>
      </c>
      <c r="C30">
        <f t="shared" si="2"/>
        <v>4.0000000000000008E-2</v>
      </c>
      <c r="D30">
        <f t="shared" si="3"/>
        <v>4</v>
      </c>
      <c r="E30">
        <f t="shared" si="4"/>
        <v>0.4</v>
      </c>
      <c r="O30" s="50">
        <v>6</v>
      </c>
      <c r="P30" s="50">
        <v>54.170499086396141</v>
      </c>
      <c r="Q30" s="50">
        <v>1.3295009136038587</v>
      </c>
      <c r="R30" s="50">
        <v>0.320725188922657</v>
      </c>
      <c r="T30" s="50">
        <v>45.833333333333336</v>
      </c>
      <c r="U30" s="50">
        <v>32</v>
      </c>
    </row>
    <row r="31" spans="1:21" ht="15" thickBot="1" x14ac:dyDescent="0.25">
      <c r="A31">
        <f t="shared" si="1"/>
        <v>0.85</v>
      </c>
      <c r="B31">
        <f t="shared" si="1"/>
        <v>3.35</v>
      </c>
      <c r="C31">
        <f t="shared" si="2"/>
        <v>0.72249999999999992</v>
      </c>
      <c r="D31">
        <f t="shared" si="3"/>
        <v>11.2225</v>
      </c>
      <c r="E31">
        <f t="shared" si="4"/>
        <v>2.8475000000000001</v>
      </c>
      <c r="H31" t="s">
        <v>286</v>
      </c>
      <c r="O31" s="50">
        <v>7</v>
      </c>
      <c r="P31" s="50">
        <v>41.857446069019332</v>
      </c>
      <c r="Q31" s="50">
        <v>-1.4574460690193334</v>
      </c>
      <c r="R31" s="50">
        <v>-0.35159033066305134</v>
      </c>
      <c r="T31" s="50">
        <v>54.166666666666664</v>
      </c>
      <c r="U31" s="50">
        <v>37.5</v>
      </c>
    </row>
    <row r="32" spans="1:21" x14ac:dyDescent="0.2">
      <c r="A32">
        <f>E12</f>
        <v>1.65</v>
      </c>
      <c r="B32">
        <f>F12</f>
        <v>3.15</v>
      </c>
      <c r="C32">
        <f t="shared" si="2"/>
        <v>2.7224999999999997</v>
      </c>
      <c r="D32">
        <f t="shared" si="3"/>
        <v>9.9224999999999994</v>
      </c>
      <c r="E32">
        <f t="shared" si="4"/>
        <v>5.1974999999999998</v>
      </c>
      <c r="H32" s="52"/>
      <c r="I32" s="52" t="s">
        <v>291</v>
      </c>
      <c r="J32" s="52" t="s">
        <v>292</v>
      </c>
      <c r="K32" s="52" t="s">
        <v>293</v>
      </c>
      <c r="L32" s="52" t="s">
        <v>294</v>
      </c>
      <c r="M32" s="52" t="s">
        <v>295</v>
      </c>
      <c r="O32" s="50">
        <v>8</v>
      </c>
      <c r="P32" s="50">
        <v>36.781745016280063</v>
      </c>
      <c r="Q32" s="50">
        <v>0.71825498371993746</v>
      </c>
      <c r="R32" s="50">
        <v>0.17326988119457301</v>
      </c>
      <c r="T32" s="50">
        <v>62.5</v>
      </c>
      <c r="U32" s="50">
        <v>38.4</v>
      </c>
    </row>
    <row r="33" spans="1:21" x14ac:dyDescent="0.2">
      <c r="A33">
        <f t="shared" si="1"/>
        <v>2.65</v>
      </c>
      <c r="B33">
        <f t="shared" si="1"/>
        <v>3.1</v>
      </c>
      <c r="C33">
        <f t="shared" si="2"/>
        <v>7.0225</v>
      </c>
      <c r="D33">
        <f t="shared" si="3"/>
        <v>9.6100000000000012</v>
      </c>
      <c r="E33">
        <f t="shared" si="4"/>
        <v>8.2149999999999999</v>
      </c>
      <c r="H33" s="50" t="s">
        <v>287</v>
      </c>
      <c r="I33" s="50">
        <v>5</v>
      </c>
      <c r="J33" s="50">
        <v>982.24421164655519</v>
      </c>
      <c r="K33" s="50">
        <v>196.44884232931105</v>
      </c>
      <c r="L33" s="50">
        <v>6.2358677789517953</v>
      </c>
      <c r="M33" s="50">
        <v>2.2739468101504866E-2</v>
      </c>
      <c r="O33" s="50">
        <v>9</v>
      </c>
      <c r="P33" s="50">
        <v>28.472139928198999</v>
      </c>
      <c r="Q33" s="50">
        <v>2.5278600718010011</v>
      </c>
      <c r="R33" s="50">
        <v>0.60981409700632216</v>
      </c>
      <c r="T33" s="50">
        <v>70.833333333333343</v>
      </c>
      <c r="U33" s="50">
        <v>40.4</v>
      </c>
    </row>
    <row r="34" spans="1:21" x14ac:dyDescent="0.2">
      <c r="A34">
        <f t="shared" si="1"/>
        <v>3.65</v>
      </c>
      <c r="B34">
        <f t="shared" si="1"/>
        <v>2.5499999999999998</v>
      </c>
      <c r="C34">
        <f t="shared" si="2"/>
        <v>13.3225</v>
      </c>
      <c r="D34">
        <f t="shared" si="3"/>
        <v>6.5024999999999995</v>
      </c>
      <c r="E34">
        <f t="shared" si="4"/>
        <v>9.3074999999999992</v>
      </c>
      <c r="H34" s="50" t="s">
        <v>288</v>
      </c>
      <c r="I34" s="50">
        <v>6</v>
      </c>
      <c r="J34" s="50">
        <v>189.01828835344486</v>
      </c>
      <c r="K34" s="50">
        <v>31.503048058907478</v>
      </c>
      <c r="L34" s="50"/>
      <c r="M34" s="50"/>
      <c r="O34" s="50">
        <v>10</v>
      </c>
      <c r="P34" s="50">
        <v>40.617651988772245</v>
      </c>
      <c r="Q34" s="50">
        <v>-8.9176519887722456</v>
      </c>
      <c r="R34" s="50">
        <v>-2.1512701417350764</v>
      </c>
      <c r="T34" s="50">
        <v>79.166666666666671</v>
      </c>
      <c r="U34" s="50">
        <v>44.9</v>
      </c>
    </row>
    <row r="35" spans="1:21" ht="15" thickBot="1" x14ac:dyDescent="0.25">
      <c r="H35" s="51" t="s">
        <v>289</v>
      </c>
      <c r="I35" s="51">
        <v>11</v>
      </c>
      <c r="J35" s="51">
        <v>1171.2625</v>
      </c>
      <c r="K35" s="51"/>
      <c r="L35" s="51"/>
      <c r="M35" s="51"/>
      <c r="O35" s="50">
        <v>11</v>
      </c>
      <c r="P35" s="50">
        <v>44.735400590367206</v>
      </c>
      <c r="Q35" s="50">
        <v>8.2645994096327939</v>
      </c>
      <c r="R35" s="50">
        <v>1.9937295115047631</v>
      </c>
      <c r="T35" s="50">
        <v>87.500000000000014</v>
      </c>
      <c r="U35" s="50">
        <v>53</v>
      </c>
    </row>
    <row r="36" spans="1:21" ht="15" thickBot="1" x14ac:dyDescent="0.25">
      <c r="O36" s="51">
        <v>12</v>
      </c>
      <c r="P36" s="51">
        <v>48.650001900417521</v>
      </c>
      <c r="Q36" s="51">
        <v>-3.7500019004175229</v>
      </c>
      <c r="R36" s="51">
        <v>-0.90464027189837515</v>
      </c>
      <c r="T36" s="51">
        <v>95.833333333333343</v>
      </c>
      <c r="U36" s="51">
        <v>55.5</v>
      </c>
    </row>
    <row r="37" spans="1:21" x14ac:dyDescent="0.2">
      <c r="H37" s="52"/>
      <c r="I37" s="52" t="s">
        <v>296</v>
      </c>
      <c r="J37" s="52" t="s">
        <v>284</v>
      </c>
      <c r="K37" s="52" t="s">
        <v>297</v>
      </c>
      <c r="L37" s="52" t="s">
        <v>298</v>
      </c>
      <c r="M37" s="52" t="s">
        <v>299</v>
      </c>
      <c r="N37" s="52" t="s">
        <v>300</v>
      </c>
      <c r="O37" s="52" t="s">
        <v>301</v>
      </c>
      <c r="P37" s="52" t="s">
        <v>302</v>
      </c>
    </row>
    <row r="38" spans="1:21" x14ac:dyDescent="0.2">
      <c r="H38" s="50" t="s">
        <v>290</v>
      </c>
      <c r="I38" s="50">
        <v>5.9979962834333671</v>
      </c>
      <c r="J38" s="50">
        <v>10.023562570888423</v>
      </c>
      <c r="K38" s="50">
        <v>0.59838966844517283</v>
      </c>
      <c r="L38" s="50">
        <v>0.57146204667567679</v>
      </c>
      <c r="M38" s="50">
        <v>-18.528777761966655</v>
      </c>
      <c r="N38" s="50">
        <v>30.524770328833387</v>
      </c>
      <c r="O38" s="50">
        <v>-18.528777761966655</v>
      </c>
      <c r="P38" s="50">
        <v>30.524770328833387</v>
      </c>
    </row>
    <row r="39" spans="1:21" x14ac:dyDescent="0.2">
      <c r="H39" s="50" t="s">
        <v>275</v>
      </c>
      <c r="I39" s="50">
        <v>17.438154247786617</v>
      </c>
      <c r="J39" s="50">
        <v>6.8156887893946489</v>
      </c>
      <c r="K39" s="50">
        <v>2.5585314685906346</v>
      </c>
      <c r="L39" s="50">
        <v>4.2993624821727611E-2</v>
      </c>
      <c r="M39" s="50">
        <v>0.76076457530093933</v>
      </c>
      <c r="N39" s="50">
        <v>34.115543920272295</v>
      </c>
      <c r="O39" s="50">
        <v>0.76076457530093933</v>
      </c>
      <c r="P39" s="50">
        <v>34.115543920272295</v>
      </c>
    </row>
    <row r="40" spans="1:21" x14ac:dyDescent="0.2">
      <c r="H40" s="50" t="s">
        <v>276</v>
      </c>
      <c r="I40" s="50">
        <v>29.787448267611616</v>
      </c>
      <c r="J40" s="50">
        <v>9.1327806920591481</v>
      </c>
      <c r="K40" s="50">
        <v>3.2615967986082786</v>
      </c>
      <c r="L40" s="50">
        <v>1.7214343120760225E-2</v>
      </c>
      <c r="M40" s="50">
        <v>7.4403389583041282</v>
      </c>
      <c r="N40" s="50">
        <v>52.134557576919107</v>
      </c>
      <c r="O40" s="50">
        <v>7.4403389583041282</v>
      </c>
      <c r="P40" s="50">
        <v>52.134557576919107</v>
      </c>
    </row>
    <row r="41" spans="1:21" x14ac:dyDescent="0.2">
      <c r="H41" s="50" t="s">
        <v>313</v>
      </c>
      <c r="I41" s="50">
        <v>-3.5883120124616741</v>
      </c>
      <c r="J41" s="50">
        <v>1.488108528130706</v>
      </c>
      <c r="K41" s="50">
        <v>-2.4113241370702632</v>
      </c>
      <c r="L41" s="50">
        <v>5.2479185186671856E-2</v>
      </c>
      <c r="M41" s="50">
        <v>-7.2295824057345968</v>
      </c>
      <c r="N41" s="50">
        <v>5.2958380811248151E-2</v>
      </c>
      <c r="O41" s="50">
        <v>-7.2295824057345968</v>
      </c>
      <c r="P41" s="50">
        <v>5.2958380811248151E-2</v>
      </c>
    </row>
    <row r="42" spans="1:21" x14ac:dyDescent="0.2">
      <c r="H42" s="50" t="s">
        <v>315</v>
      </c>
      <c r="I42" s="50">
        <v>-8.069502967660183</v>
      </c>
      <c r="J42" s="50">
        <v>2.084411906871968</v>
      </c>
      <c r="K42" s="50">
        <v>-3.8713571636471373</v>
      </c>
      <c r="L42" s="50">
        <v>8.2528891993982889E-3</v>
      </c>
      <c r="M42" s="50">
        <v>-13.169875165252886</v>
      </c>
      <c r="N42" s="50">
        <v>-2.9691307700674798</v>
      </c>
      <c r="O42" s="50">
        <v>-13.169875165252886</v>
      </c>
      <c r="P42" s="50">
        <v>-2.9691307700674798</v>
      </c>
    </row>
    <row r="43" spans="1:21" ht="15" thickBot="1" x14ac:dyDescent="0.25">
      <c r="H43" s="51" t="s">
        <v>277</v>
      </c>
      <c r="I43" s="51">
        <v>0.35691424801336202</v>
      </c>
      <c r="J43" s="51">
        <v>1.610077866442956</v>
      </c>
      <c r="K43" s="51">
        <v>0.22167514717898101</v>
      </c>
      <c r="L43" s="51">
        <v>0.83191890972997773</v>
      </c>
      <c r="M43" s="51">
        <v>-3.5828043646521146</v>
      </c>
      <c r="N43" s="51">
        <v>4.2966328606788391</v>
      </c>
      <c r="O43" s="51">
        <v>-3.5828043646521146</v>
      </c>
      <c r="P43" s="51">
        <v>4.2966328606788391</v>
      </c>
    </row>
    <row r="45" spans="1:21" x14ac:dyDescent="0.2">
      <c r="A45" t="s">
        <v>318</v>
      </c>
    </row>
    <row r="46" spans="1:21" x14ac:dyDescent="0.2">
      <c r="A46" t="s">
        <v>269</v>
      </c>
      <c r="B46" t="s">
        <v>271</v>
      </c>
      <c r="C46" t="s">
        <v>314</v>
      </c>
      <c r="D46" t="s">
        <v>316</v>
      </c>
      <c r="E46" t="s">
        <v>278</v>
      </c>
      <c r="F46" t="s">
        <v>320</v>
      </c>
      <c r="G46" t="s">
        <v>322</v>
      </c>
      <c r="H46" t="s">
        <v>324</v>
      </c>
      <c r="I46" t="s">
        <v>326</v>
      </c>
      <c r="K46" t="s">
        <v>279</v>
      </c>
    </row>
    <row r="47" spans="1:21" ht="15" thickBot="1" x14ac:dyDescent="0.25">
      <c r="A47">
        <f>A23</f>
        <v>0</v>
      </c>
      <c r="B47">
        <f t="shared" ref="B47:E47" si="5">B23</f>
        <v>1</v>
      </c>
      <c r="C47">
        <f t="shared" si="5"/>
        <v>0</v>
      </c>
      <c r="D47">
        <f t="shared" si="5"/>
        <v>1</v>
      </c>
      <c r="E47">
        <f t="shared" si="5"/>
        <v>0</v>
      </c>
      <c r="F47">
        <f>C47*B47</f>
        <v>0</v>
      </c>
      <c r="G47">
        <f>A47*D47</f>
        <v>0</v>
      </c>
      <c r="H47">
        <f>A47^3</f>
        <v>0</v>
      </c>
      <c r="I47">
        <f>B47^3</f>
        <v>1</v>
      </c>
    </row>
    <row r="48" spans="1:21" x14ac:dyDescent="0.2">
      <c r="A48">
        <f t="shared" ref="A48:E48" si="6">A24</f>
        <v>1.1000000000000001</v>
      </c>
      <c r="B48">
        <f t="shared" si="6"/>
        <v>0.6</v>
      </c>
      <c r="C48">
        <f t="shared" si="6"/>
        <v>1.2100000000000002</v>
      </c>
      <c r="D48">
        <f t="shared" si="6"/>
        <v>0.36</v>
      </c>
      <c r="E48">
        <f t="shared" si="6"/>
        <v>0.66</v>
      </c>
      <c r="F48">
        <f t="shared" ref="F48:F58" si="7">C48*B48</f>
        <v>0.72600000000000009</v>
      </c>
      <c r="G48">
        <f t="shared" ref="G48:G58" si="8">A48*D48</f>
        <v>0.39600000000000002</v>
      </c>
      <c r="H48">
        <f t="shared" ref="H48:H58" si="9">A48^3</f>
        <v>1.3310000000000004</v>
      </c>
      <c r="I48">
        <f t="shared" ref="I48:I58" si="10">B48^3</f>
        <v>0.216</v>
      </c>
      <c r="K48" s="53" t="s">
        <v>280</v>
      </c>
      <c r="L48" s="53"/>
      <c r="N48" t="s">
        <v>153</v>
      </c>
      <c r="O48">
        <f>0.05</f>
        <v>0.05</v>
      </c>
    </row>
    <row r="49" spans="1:19" x14ac:dyDescent="0.2">
      <c r="A49">
        <f t="shared" ref="A49:E49" si="11">A25</f>
        <v>1.8</v>
      </c>
      <c r="B49">
        <f t="shared" si="11"/>
        <v>0</v>
      </c>
      <c r="C49">
        <f t="shared" si="11"/>
        <v>3.24</v>
      </c>
      <c r="D49">
        <f t="shared" si="11"/>
        <v>0</v>
      </c>
      <c r="E49">
        <f t="shared" si="11"/>
        <v>0</v>
      </c>
      <c r="F49">
        <f t="shared" si="7"/>
        <v>0</v>
      </c>
      <c r="G49">
        <f t="shared" si="8"/>
        <v>0</v>
      </c>
      <c r="H49">
        <f t="shared" si="9"/>
        <v>5.8320000000000007</v>
      </c>
      <c r="I49">
        <f t="shared" si="10"/>
        <v>0</v>
      </c>
      <c r="K49" s="50" t="s">
        <v>281</v>
      </c>
      <c r="L49" s="50">
        <v>0.98213577743240321</v>
      </c>
      <c r="N49" t="s">
        <v>309</v>
      </c>
      <c r="O49">
        <f>L57</f>
        <v>9</v>
      </c>
    </row>
    <row r="50" spans="1:19" x14ac:dyDescent="0.2">
      <c r="A50">
        <f t="shared" ref="A50:E50" si="12">A26</f>
        <v>2.95</v>
      </c>
      <c r="B50">
        <f t="shared" si="12"/>
        <v>0</v>
      </c>
      <c r="C50">
        <f t="shared" si="12"/>
        <v>8.7025000000000006</v>
      </c>
      <c r="D50">
        <f t="shared" si="12"/>
        <v>0</v>
      </c>
      <c r="E50">
        <f t="shared" si="12"/>
        <v>0</v>
      </c>
      <c r="F50">
        <f t="shared" si="7"/>
        <v>0</v>
      </c>
      <c r="G50">
        <f t="shared" si="8"/>
        <v>0</v>
      </c>
      <c r="H50">
        <f t="shared" si="9"/>
        <v>25.672375000000002</v>
      </c>
      <c r="I50">
        <f t="shared" si="10"/>
        <v>0</v>
      </c>
      <c r="K50" s="50" t="s">
        <v>282</v>
      </c>
      <c r="L50" s="50">
        <v>0.96459068531275105</v>
      </c>
      <c r="N50" t="s">
        <v>310</v>
      </c>
      <c r="O50">
        <f>L58</f>
        <v>2</v>
      </c>
    </row>
    <row r="51" spans="1:19" x14ac:dyDescent="0.2">
      <c r="A51">
        <f t="shared" ref="A51:E51" si="13">A27</f>
        <v>3.4</v>
      </c>
      <c r="B51">
        <f t="shared" si="13"/>
        <v>0.2</v>
      </c>
      <c r="C51">
        <f t="shared" si="13"/>
        <v>11.559999999999999</v>
      </c>
      <c r="D51">
        <f t="shared" si="13"/>
        <v>4.0000000000000008E-2</v>
      </c>
      <c r="E51">
        <f t="shared" si="13"/>
        <v>0.68</v>
      </c>
      <c r="F51">
        <f t="shared" si="7"/>
        <v>2.3119999999999998</v>
      </c>
      <c r="G51">
        <f t="shared" si="8"/>
        <v>0.13600000000000001</v>
      </c>
      <c r="H51">
        <f t="shared" si="9"/>
        <v>39.303999999999995</v>
      </c>
      <c r="I51">
        <f t="shared" si="10"/>
        <v>8.0000000000000019E-3</v>
      </c>
      <c r="K51" s="50" t="s">
        <v>283</v>
      </c>
      <c r="L51" s="50">
        <v>0.80524876922013089</v>
      </c>
      <c r="N51" t="s">
        <v>155</v>
      </c>
      <c r="O51">
        <f>FINV(O48,O49,O50)</f>
        <v>19.384825718171481</v>
      </c>
    </row>
    <row r="52" spans="1:19" x14ac:dyDescent="0.2">
      <c r="A52">
        <f t="shared" ref="A52:E52" si="14">A28</f>
        <v>1.8</v>
      </c>
      <c r="B52">
        <f t="shared" si="14"/>
        <v>1.7</v>
      </c>
      <c r="C52">
        <f t="shared" si="14"/>
        <v>3.24</v>
      </c>
      <c r="D52">
        <f t="shared" si="14"/>
        <v>2.8899999999999997</v>
      </c>
      <c r="E52">
        <f t="shared" si="14"/>
        <v>3.06</v>
      </c>
      <c r="F52">
        <f t="shared" si="7"/>
        <v>5.508</v>
      </c>
      <c r="G52">
        <f t="shared" si="8"/>
        <v>5.202</v>
      </c>
      <c r="H52">
        <f t="shared" si="9"/>
        <v>5.8320000000000007</v>
      </c>
      <c r="I52">
        <f t="shared" si="10"/>
        <v>4.9129999999999994</v>
      </c>
      <c r="K52" s="50" t="s">
        <v>284</v>
      </c>
      <c r="L52" s="50">
        <v>4.5537678050090538</v>
      </c>
      <c r="N52" t="s">
        <v>150</v>
      </c>
      <c r="O52">
        <f>O57</f>
        <v>6.0535903481420741</v>
      </c>
    </row>
    <row r="53" spans="1:19" ht="15" thickBot="1" x14ac:dyDescent="0.25">
      <c r="A53">
        <f t="shared" ref="A53:E53" si="15">A29</f>
        <v>0.7</v>
      </c>
      <c r="B53">
        <f t="shared" si="15"/>
        <v>1.3</v>
      </c>
      <c r="C53">
        <f t="shared" si="15"/>
        <v>0.48999999999999994</v>
      </c>
      <c r="D53">
        <f t="shared" si="15"/>
        <v>1.6900000000000002</v>
      </c>
      <c r="E53">
        <f t="shared" si="15"/>
        <v>0.90999999999999992</v>
      </c>
      <c r="F53">
        <f t="shared" si="7"/>
        <v>0.6369999999999999</v>
      </c>
      <c r="G53">
        <f t="shared" si="8"/>
        <v>1.1830000000000001</v>
      </c>
      <c r="H53">
        <f t="shared" si="9"/>
        <v>0.34299999999999992</v>
      </c>
      <c r="I53">
        <f t="shared" si="10"/>
        <v>2.1970000000000005</v>
      </c>
      <c r="K53" s="51" t="s">
        <v>285</v>
      </c>
      <c r="L53" s="51">
        <v>12</v>
      </c>
      <c r="N53" t="s">
        <v>327</v>
      </c>
    </row>
    <row r="54" spans="1:19" x14ac:dyDescent="0.2">
      <c r="A54">
        <f t="shared" ref="A54:E54" si="16">A30</f>
        <v>0.2</v>
      </c>
      <c r="B54">
        <f t="shared" si="16"/>
        <v>2</v>
      </c>
      <c r="C54">
        <f t="shared" si="16"/>
        <v>4.0000000000000008E-2</v>
      </c>
      <c r="D54">
        <f t="shared" si="16"/>
        <v>4</v>
      </c>
      <c r="E54">
        <f t="shared" si="16"/>
        <v>0.4</v>
      </c>
      <c r="F54">
        <f t="shared" si="7"/>
        <v>8.0000000000000016E-2</v>
      </c>
      <c r="G54">
        <f t="shared" si="8"/>
        <v>0.8</v>
      </c>
      <c r="H54">
        <f t="shared" si="9"/>
        <v>8.0000000000000019E-3</v>
      </c>
      <c r="I54">
        <f t="shared" si="10"/>
        <v>8</v>
      </c>
    </row>
    <row r="55" spans="1:19" ht="15" thickBot="1" x14ac:dyDescent="0.25">
      <c r="A55">
        <f t="shared" ref="A55:E55" si="17">A31</f>
        <v>0.85</v>
      </c>
      <c r="B55">
        <f t="shared" si="17"/>
        <v>3.35</v>
      </c>
      <c r="C55">
        <f t="shared" si="17"/>
        <v>0.72249999999999992</v>
      </c>
      <c r="D55">
        <f t="shared" si="17"/>
        <v>11.2225</v>
      </c>
      <c r="E55">
        <f t="shared" si="17"/>
        <v>2.8475000000000001</v>
      </c>
      <c r="F55">
        <f t="shared" si="7"/>
        <v>2.4203749999999999</v>
      </c>
      <c r="G55">
        <f t="shared" si="8"/>
        <v>9.5391250000000003</v>
      </c>
      <c r="H55">
        <f t="shared" si="9"/>
        <v>0.61412499999999992</v>
      </c>
      <c r="I55">
        <f t="shared" si="10"/>
        <v>37.595375000000004</v>
      </c>
      <c r="K55" t="s">
        <v>286</v>
      </c>
    </row>
    <row r="56" spans="1:19" x14ac:dyDescent="0.2">
      <c r="A56">
        <f t="shared" ref="A56:E56" si="18">A32</f>
        <v>1.65</v>
      </c>
      <c r="B56">
        <f t="shared" si="18"/>
        <v>3.15</v>
      </c>
      <c r="C56">
        <f t="shared" si="18"/>
        <v>2.7224999999999997</v>
      </c>
      <c r="D56">
        <f t="shared" si="18"/>
        <v>9.9224999999999994</v>
      </c>
      <c r="E56">
        <f t="shared" si="18"/>
        <v>5.1974999999999998</v>
      </c>
      <c r="F56">
        <f t="shared" si="7"/>
        <v>8.5758749999999981</v>
      </c>
      <c r="G56">
        <f t="shared" si="8"/>
        <v>16.372124999999997</v>
      </c>
      <c r="H56">
        <f t="shared" si="9"/>
        <v>4.4921249999999997</v>
      </c>
      <c r="I56">
        <f t="shared" si="10"/>
        <v>31.255874999999996</v>
      </c>
      <c r="K56" s="52"/>
      <c r="L56" s="52" t="s">
        <v>291</v>
      </c>
      <c r="M56" s="52" t="s">
        <v>292</v>
      </c>
      <c r="N56" s="52" t="s">
        <v>293</v>
      </c>
      <c r="O56" s="52" t="s">
        <v>294</v>
      </c>
      <c r="P56" s="52" t="s">
        <v>295</v>
      </c>
    </row>
    <row r="57" spans="1:19" x14ac:dyDescent="0.2">
      <c r="A57">
        <f t="shared" ref="A57:E57" si="19">A33</f>
        <v>2.65</v>
      </c>
      <c r="B57">
        <f t="shared" si="19"/>
        <v>3.1</v>
      </c>
      <c r="C57">
        <f t="shared" si="19"/>
        <v>7.0225</v>
      </c>
      <c r="D57">
        <f t="shared" si="19"/>
        <v>9.6100000000000012</v>
      </c>
      <c r="E57">
        <f t="shared" si="19"/>
        <v>8.2149999999999999</v>
      </c>
      <c r="F57">
        <f t="shared" si="7"/>
        <v>21.769750000000002</v>
      </c>
      <c r="G57">
        <f t="shared" si="8"/>
        <v>25.466500000000003</v>
      </c>
      <c r="H57">
        <f t="shared" si="9"/>
        <v>18.609624999999998</v>
      </c>
      <c r="I57">
        <f t="shared" si="10"/>
        <v>29.791000000000004</v>
      </c>
      <c r="K57" s="50" t="s">
        <v>287</v>
      </c>
      <c r="L57" s="50">
        <v>9</v>
      </c>
      <c r="M57" s="50">
        <v>1129.7888975561261</v>
      </c>
      <c r="N57" s="50">
        <v>125.53209972845846</v>
      </c>
      <c r="O57" s="50">
        <v>6.0535903481420741</v>
      </c>
      <c r="P57" s="50">
        <v>0.14975558659625654</v>
      </c>
    </row>
    <row r="58" spans="1:19" x14ac:dyDescent="0.2">
      <c r="A58">
        <f>A34</f>
        <v>3.65</v>
      </c>
      <c r="B58">
        <f t="shared" ref="B58:E58" si="20">B34</f>
        <v>2.5499999999999998</v>
      </c>
      <c r="C58">
        <f t="shared" si="20"/>
        <v>13.3225</v>
      </c>
      <c r="D58">
        <f t="shared" si="20"/>
        <v>6.5024999999999995</v>
      </c>
      <c r="E58">
        <f t="shared" si="20"/>
        <v>9.3074999999999992</v>
      </c>
      <c r="F58">
        <f t="shared" si="7"/>
        <v>33.972375</v>
      </c>
      <c r="G58">
        <f t="shared" si="8"/>
        <v>23.734124999999999</v>
      </c>
      <c r="H58">
        <f t="shared" si="9"/>
        <v>48.627124999999999</v>
      </c>
      <c r="I58">
        <f t="shared" si="10"/>
        <v>16.581374999999998</v>
      </c>
      <c r="K58" s="50" t="s">
        <v>288</v>
      </c>
      <c r="L58" s="50">
        <v>2</v>
      </c>
      <c r="M58" s="50">
        <v>41.473602443873958</v>
      </c>
      <c r="N58" s="50">
        <v>20.736801221936979</v>
      </c>
      <c r="O58" s="50"/>
      <c r="P58" s="50"/>
    </row>
    <row r="59" spans="1:19" ht="15" thickBot="1" x14ac:dyDescent="0.25">
      <c r="K59" s="51" t="s">
        <v>289</v>
      </c>
      <c r="L59" s="51">
        <v>11</v>
      </c>
      <c r="M59" s="51">
        <v>1171.2625</v>
      </c>
      <c r="N59" s="51"/>
      <c r="O59" s="51"/>
      <c r="P59" s="51"/>
    </row>
    <row r="60" spans="1:19" ht="15" thickBot="1" x14ac:dyDescent="0.25"/>
    <row r="61" spans="1:19" x14ac:dyDescent="0.2">
      <c r="K61" s="52"/>
      <c r="L61" s="52" t="s">
        <v>296</v>
      </c>
      <c r="M61" s="52" t="s">
        <v>284</v>
      </c>
      <c r="N61" s="52" t="s">
        <v>297</v>
      </c>
      <c r="O61" s="52" t="s">
        <v>298</v>
      </c>
      <c r="P61" s="52" t="s">
        <v>299</v>
      </c>
      <c r="Q61" s="52" t="s">
        <v>300</v>
      </c>
      <c r="R61" s="52" t="s">
        <v>301</v>
      </c>
      <c r="S61" s="52" t="s">
        <v>302</v>
      </c>
    </row>
    <row r="62" spans="1:19" x14ac:dyDescent="0.2">
      <c r="K62" s="50" t="s">
        <v>290</v>
      </c>
      <c r="L62" s="50">
        <v>-48.809687197278819</v>
      </c>
      <c r="M62" s="50">
        <v>26.92178140478709</v>
      </c>
      <c r="N62" s="50">
        <v>-1.8130184798469442</v>
      </c>
      <c r="O62" s="50">
        <v>0.21151016898909603</v>
      </c>
      <c r="P62" s="50">
        <v>-164.64476344830433</v>
      </c>
      <c r="Q62" s="50">
        <v>67.025389053746707</v>
      </c>
      <c r="R62" s="50">
        <v>-164.64476344830433</v>
      </c>
      <c r="S62" s="50">
        <v>67.025389053746707</v>
      </c>
    </row>
    <row r="63" spans="1:19" x14ac:dyDescent="0.2">
      <c r="K63" s="50" t="s">
        <v>275</v>
      </c>
      <c r="L63" s="50">
        <v>37.557247230611431</v>
      </c>
      <c r="M63" s="50">
        <v>22.633406410463891</v>
      </c>
      <c r="N63" s="50">
        <v>1.6593722813746647</v>
      </c>
      <c r="O63" s="50">
        <v>0.23890944160923422</v>
      </c>
      <c r="P63" s="50">
        <v>-59.826440644900039</v>
      </c>
      <c r="Q63" s="50">
        <v>134.94093510612291</v>
      </c>
      <c r="R63" s="50">
        <v>-59.826440644900039</v>
      </c>
      <c r="S63" s="50">
        <v>134.94093510612291</v>
      </c>
    </row>
    <row r="64" spans="1:19" x14ac:dyDescent="0.2">
      <c r="K64" s="50" t="s">
        <v>276</v>
      </c>
      <c r="L64" s="50">
        <v>130.12968339551216</v>
      </c>
      <c r="M64" s="50">
        <v>43.036035262362148</v>
      </c>
      <c r="N64" s="50">
        <v>3.0237377258894282</v>
      </c>
      <c r="O64" s="50">
        <v>9.417719289670512E-2</v>
      </c>
      <c r="P64" s="50">
        <v>-55.039431203684501</v>
      </c>
      <c r="Q64" s="50">
        <v>315.29879799470882</v>
      </c>
      <c r="R64" s="50">
        <v>-55.039431203684501</v>
      </c>
      <c r="S64" s="50">
        <v>315.29879799470882</v>
      </c>
    </row>
    <row r="65" spans="11:19" x14ac:dyDescent="0.2">
      <c r="K65" s="50" t="s">
        <v>313</v>
      </c>
      <c r="L65" s="50">
        <v>8.3891364158812642</v>
      </c>
      <c r="M65" s="50">
        <v>10.751744803436813</v>
      </c>
      <c r="N65" s="50">
        <v>0.78025814128323279</v>
      </c>
      <c r="O65" s="50">
        <v>0.51692152613740294</v>
      </c>
      <c r="P65" s="50">
        <v>-37.871887712195743</v>
      </c>
      <c r="Q65" s="50">
        <v>54.650160543958279</v>
      </c>
      <c r="R65" s="50">
        <v>-37.871887712195743</v>
      </c>
      <c r="S65" s="50">
        <v>54.650160543958279</v>
      </c>
    </row>
    <row r="66" spans="11:19" x14ac:dyDescent="0.2">
      <c r="K66" s="50" t="s">
        <v>315</v>
      </c>
      <c r="L66" s="50">
        <v>-62.739815174580073</v>
      </c>
      <c r="M66" s="50">
        <v>22.299129587977138</v>
      </c>
      <c r="N66" s="50">
        <v>-2.8135544451209005</v>
      </c>
      <c r="O66" s="50">
        <v>0.1065194065306303</v>
      </c>
      <c r="P66" s="50">
        <v>-158.68522596732694</v>
      </c>
      <c r="Q66" s="50">
        <v>33.205595618166797</v>
      </c>
      <c r="R66" s="50">
        <v>-158.68522596732694</v>
      </c>
      <c r="S66" s="50">
        <v>33.205595618166797</v>
      </c>
    </row>
    <row r="67" spans="11:19" x14ac:dyDescent="0.2">
      <c r="K67" s="50" t="s">
        <v>277</v>
      </c>
      <c r="L67" s="50">
        <v>-33.166396741490829</v>
      </c>
      <c r="M67" s="50">
        <v>17.635903590961732</v>
      </c>
      <c r="N67" s="50">
        <v>-1.8806179434144989</v>
      </c>
      <c r="O67" s="50">
        <v>0.20076564456292945</v>
      </c>
      <c r="P67" s="50">
        <v>-109.04756546874069</v>
      </c>
      <c r="Q67" s="50">
        <v>42.714771985759029</v>
      </c>
      <c r="R67" s="50">
        <v>-109.04756546874069</v>
      </c>
      <c r="S67" s="50">
        <v>42.714771985759029</v>
      </c>
    </row>
    <row r="68" spans="11:19" x14ac:dyDescent="0.2">
      <c r="K68" s="50" t="s">
        <v>319</v>
      </c>
      <c r="L68" s="50">
        <v>6.1376213511459934</v>
      </c>
      <c r="M68" s="50">
        <v>2.7667143094038291</v>
      </c>
      <c r="N68" s="50">
        <v>2.2183791547557821</v>
      </c>
      <c r="O68" s="50">
        <v>0.15677225941612327</v>
      </c>
      <c r="P68" s="50">
        <v>-5.7665895246472942</v>
      </c>
      <c r="Q68" s="50">
        <v>18.041832226939281</v>
      </c>
      <c r="R68" s="50">
        <v>-5.7665895246472942</v>
      </c>
      <c r="S68" s="50">
        <v>18.041832226939281</v>
      </c>
    </row>
    <row r="69" spans="11:19" x14ac:dyDescent="0.2">
      <c r="K69" s="50" t="s">
        <v>321</v>
      </c>
      <c r="L69" s="50">
        <v>2.5661854641040964</v>
      </c>
      <c r="M69" s="50">
        <v>2.9905672238279699</v>
      </c>
      <c r="N69" s="50">
        <v>0.85809322180002412</v>
      </c>
      <c r="O69" s="50">
        <v>0.48125883454601304</v>
      </c>
      <c r="P69" s="50">
        <v>-10.301186764998594</v>
      </c>
      <c r="Q69" s="50">
        <v>15.433557693206787</v>
      </c>
      <c r="R69" s="50">
        <v>-10.301186764998594</v>
      </c>
      <c r="S69" s="50">
        <v>15.433557693206787</v>
      </c>
    </row>
    <row r="70" spans="11:19" x14ac:dyDescent="0.2">
      <c r="K70" s="50" t="s">
        <v>323</v>
      </c>
      <c r="L70" s="50">
        <v>-4.1325585523681339</v>
      </c>
      <c r="M70" s="50">
        <v>2.229937536350898</v>
      </c>
      <c r="N70" s="50">
        <v>-1.8532171798546035</v>
      </c>
      <c r="O70" s="50">
        <v>0.20503142617666148</v>
      </c>
      <c r="P70" s="50">
        <v>-13.72720538031912</v>
      </c>
      <c r="Q70" s="50">
        <v>5.4620882755828513</v>
      </c>
      <c r="R70" s="50">
        <v>-13.72720538031912</v>
      </c>
      <c r="S70" s="50">
        <v>5.4620882755828513</v>
      </c>
    </row>
    <row r="71" spans="11:19" ht="15" thickBot="1" x14ac:dyDescent="0.25">
      <c r="K71" s="51" t="s">
        <v>325</v>
      </c>
      <c r="L71" s="51">
        <v>9.7848398611004743</v>
      </c>
      <c r="M71" s="51">
        <v>3.904589116647589</v>
      </c>
      <c r="N71" s="51">
        <v>2.5059845143197972</v>
      </c>
      <c r="O71" s="51">
        <v>0.12910799044767862</v>
      </c>
      <c r="P71" s="51">
        <v>-7.015251160193321</v>
      </c>
      <c r="Q71" s="51">
        <v>26.584930882394268</v>
      </c>
      <c r="R71" s="51">
        <v>-7.015251160193321</v>
      </c>
      <c r="S71" s="51">
        <v>26.584930882394268</v>
      </c>
    </row>
    <row r="75" spans="11:19" x14ac:dyDescent="0.2">
      <c r="K75" t="s">
        <v>303</v>
      </c>
      <c r="P75" t="s">
        <v>306</v>
      </c>
    </row>
    <row r="76" spans="11:19" ht="15" thickBot="1" x14ac:dyDescent="0.25"/>
    <row r="77" spans="11:19" x14ac:dyDescent="0.2">
      <c r="K77" s="52" t="s">
        <v>285</v>
      </c>
      <c r="L77" s="52" t="s">
        <v>304</v>
      </c>
      <c r="M77" s="52" t="s">
        <v>288</v>
      </c>
      <c r="N77" s="52" t="s">
        <v>305</v>
      </c>
      <c r="P77" s="52" t="s">
        <v>307</v>
      </c>
      <c r="Q77" s="52" t="s">
        <v>308</v>
      </c>
    </row>
    <row r="78" spans="11:19" x14ac:dyDescent="0.2">
      <c r="K78" s="50">
        <v>1</v>
      </c>
      <c r="L78" s="50">
        <v>28.36502088475374</v>
      </c>
      <c r="M78" s="50">
        <v>-0.76502088475373853</v>
      </c>
      <c r="N78" s="50">
        <v>-0.39398868893754602</v>
      </c>
      <c r="P78" s="50">
        <v>4.166666666666667</v>
      </c>
      <c r="Q78" s="50">
        <v>24</v>
      </c>
    </row>
    <row r="79" spans="11:19" x14ac:dyDescent="0.2">
      <c r="K79" s="50">
        <v>2</v>
      </c>
      <c r="L79" s="50">
        <v>38.341007066197534</v>
      </c>
      <c r="M79" s="50">
        <v>5.899293380246462E-2</v>
      </c>
      <c r="N79" s="50">
        <v>3.0381587102545956E-2</v>
      </c>
      <c r="P79" s="50">
        <v>12.5</v>
      </c>
      <c r="Q79" s="50">
        <v>24.7</v>
      </c>
    </row>
    <row r="80" spans="11:19" x14ac:dyDescent="0.2">
      <c r="K80" s="50">
        <v>3</v>
      </c>
      <c r="L80" s="50">
        <v>21.873078327866093</v>
      </c>
      <c r="M80" s="50">
        <v>2.126921672133907</v>
      </c>
      <c r="N80" s="50">
        <v>1.0953728163207457</v>
      </c>
      <c r="P80" s="50">
        <v>20.833333333333336</v>
      </c>
      <c r="Q80" s="50">
        <v>27.6</v>
      </c>
    </row>
    <row r="81" spans="11:17" x14ac:dyDescent="0.2">
      <c r="K81" s="50">
        <v>4</v>
      </c>
      <c r="L81" s="50">
        <v>28.898058926379747</v>
      </c>
      <c r="M81" s="50">
        <v>-4.1980589263797476</v>
      </c>
      <c r="N81" s="50">
        <v>-2.1620164435371465</v>
      </c>
      <c r="P81" s="50">
        <v>29.166666666666668</v>
      </c>
      <c r="Q81" s="50">
        <v>31</v>
      </c>
    </row>
    <row r="82" spans="11:17" x14ac:dyDescent="0.2">
      <c r="K82" s="50">
        <v>5</v>
      </c>
      <c r="L82" s="50">
        <v>29.017943805872299</v>
      </c>
      <c r="M82" s="50">
        <v>2.9820561941277006</v>
      </c>
      <c r="N82" s="50">
        <v>1.5357703739560811</v>
      </c>
      <c r="P82" s="50">
        <v>37.5</v>
      </c>
      <c r="Q82" s="50">
        <v>31.7</v>
      </c>
    </row>
    <row r="83" spans="11:17" x14ac:dyDescent="0.2">
      <c r="K83" s="50">
        <v>6</v>
      </c>
      <c r="L83" s="50">
        <v>55.514533640706716</v>
      </c>
      <c r="M83" s="50">
        <v>-1.4533640706716255E-2</v>
      </c>
      <c r="N83" s="50">
        <v>-7.4848806897235562E-3</v>
      </c>
      <c r="P83" s="50">
        <v>45.833333333333336</v>
      </c>
      <c r="Q83" s="50">
        <v>32</v>
      </c>
    </row>
    <row r="84" spans="11:17" x14ac:dyDescent="0.2">
      <c r="K84" s="50">
        <v>7</v>
      </c>
      <c r="L84" s="50">
        <v>41.573230238390451</v>
      </c>
      <c r="M84" s="50">
        <v>-1.1732302383904525</v>
      </c>
      <c r="N84" s="50">
        <v>-0.60421807124145976</v>
      </c>
      <c r="P84" s="50">
        <v>54.166666666666664</v>
      </c>
      <c r="Q84" s="50">
        <v>37.5</v>
      </c>
    </row>
    <row r="85" spans="11:17" x14ac:dyDescent="0.2">
      <c r="K85" s="50">
        <v>8</v>
      </c>
      <c r="L85" s="50">
        <v>35.860491601346205</v>
      </c>
      <c r="M85" s="50">
        <v>1.6395083986537955</v>
      </c>
      <c r="N85" s="50">
        <v>0.84435311160901982</v>
      </c>
      <c r="P85" s="50">
        <v>62.5</v>
      </c>
      <c r="Q85" s="50">
        <v>38.4</v>
      </c>
    </row>
    <row r="86" spans="11:17" x14ac:dyDescent="0.2">
      <c r="K86" s="50">
        <v>9</v>
      </c>
      <c r="L86" s="50">
        <v>31.231998431160093</v>
      </c>
      <c r="M86" s="50">
        <v>-0.23199843116009333</v>
      </c>
      <c r="N86" s="50">
        <v>-0.11948008158987194</v>
      </c>
      <c r="P86" s="50">
        <v>70.833333333333343</v>
      </c>
      <c r="Q86" s="50">
        <v>40.4</v>
      </c>
    </row>
    <row r="87" spans="11:17" x14ac:dyDescent="0.2">
      <c r="K87" s="50">
        <v>10</v>
      </c>
      <c r="L87" s="50">
        <v>32.908678890432327</v>
      </c>
      <c r="M87" s="50">
        <v>-1.2086788904323278</v>
      </c>
      <c r="N87" s="50">
        <v>-0.62247426296239239</v>
      </c>
      <c r="P87" s="50">
        <v>79.166666666666671</v>
      </c>
      <c r="Q87" s="50">
        <v>44.9</v>
      </c>
    </row>
    <row r="88" spans="11:17" x14ac:dyDescent="0.2">
      <c r="K88" s="50">
        <v>11</v>
      </c>
      <c r="L88" s="50">
        <v>51.20121779404144</v>
      </c>
      <c r="M88" s="50">
        <v>1.7987822059585596</v>
      </c>
      <c r="N88" s="50">
        <v>0.92637973306824362</v>
      </c>
      <c r="P88" s="50">
        <v>87.500000000000014</v>
      </c>
      <c r="Q88" s="50">
        <v>53</v>
      </c>
    </row>
    <row r="89" spans="11:17" ht="15" thickBot="1" x14ac:dyDescent="0.25">
      <c r="K89" s="51">
        <v>12</v>
      </c>
      <c r="L89" s="51">
        <v>45.914740392852764</v>
      </c>
      <c r="M89" s="51">
        <v>-1.0147403928527652</v>
      </c>
      <c r="N89" s="51">
        <v>-0.52259519309819424</v>
      </c>
      <c r="P89" s="51">
        <v>95.833333333333343</v>
      </c>
      <c r="Q89" s="51">
        <v>55.5</v>
      </c>
    </row>
  </sheetData>
  <sortState xmlns:xlrd2="http://schemas.microsoft.com/office/spreadsheetml/2017/richdata2" ref="Q78:Q89">
    <sortCondition ref="Q78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E5E0-DB43-4C39-94E1-AE75D41ADE40}">
  <dimension ref="A1:O76"/>
  <sheetViews>
    <sheetView tabSelected="1" topLeftCell="A58" workbookViewId="0">
      <selection activeCell="B80" sqref="B80"/>
    </sheetView>
  </sheetViews>
  <sheetFormatPr defaultRowHeight="14.25" x14ac:dyDescent="0.2"/>
  <sheetData>
    <row r="1" spans="1:15" x14ac:dyDescent="0.2">
      <c r="A1" s="54"/>
      <c r="B1" s="54" t="s">
        <v>328</v>
      </c>
      <c r="C1" s="54" t="s">
        <v>329</v>
      </c>
      <c r="D1" s="54" t="s">
        <v>330</v>
      </c>
      <c r="E1" s="20" t="s">
        <v>331</v>
      </c>
      <c r="F1" s="54" t="s">
        <v>332</v>
      </c>
      <c r="G1" s="54" t="s">
        <v>333</v>
      </c>
      <c r="H1" s="54" t="s">
        <v>334</v>
      </c>
      <c r="I1" s="54" t="s">
        <v>335</v>
      </c>
      <c r="J1" s="54" t="s">
        <v>336</v>
      </c>
      <c r="K1" s="54"/>
      <c r="L1" s="54"/>
      <c r="M1" s="54"/>
      <c r="N1" s="54"/>
      <c r="O1" s="54"/>
    </row>
    <row r="2" spans="1:15" x14ac:dyDescent="0.2">
      <c r="A2" s="54" t="s">
        <v>328</v>
      </c>
      <c r="B2" s="54"/>
      <c r="C2" s="54"/>
      <c r="D2" s="54"/>
      <c r="E2" s="20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x14ac:dyDescent="0.2">
      <c r="A3" s="54" t="s">
        <v>329</v>
      </c>
      <c r="B3" s="54">
        <v>1.52</v>
      </c>
      <c r="C3" s="54"/>
      <c r="D3" s="54"/>
      <c r="E3" s="20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x14ac:dyDescent="0.2">
      <c r="A4" s="54" t="s">
        <v>330</v>
      </c>
      <c r="B4" s="54">
        <v>3.1</v>
      </c>
      <c r="C4" s="54">
        <v>2.7</v>
      </c>
      <c r="D4" s="54"/>
      <c r="E4" s="20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15" x14ac:dyDescent="0.2">
      <c r="A5" s="20" t="s">
        <v>331</v>
      </c>
      <c r="B5" s="20">
        <v>2.19</v>
      </c>
      <c r="C5" s="20">
        <v>1.47</v>
      </c>
      <c r="D5" s="20">
        <v>1.23</v>
      </c>
      <c r="E5" s="20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1:15" x14ac:dyDescent="0.2">
      <c r="A6" s="54" t="s">
        <v>332</v>
      </c>
      <c r="B6" s="54">
        <v>5.86</v>
      </c>
      <c r="C6" s="54">
        <v>6.02</v>
      </c>
      <c r="D6" s="54">
        <v>3.64</v>
      </c>
      <c r="E6" s="20">
        <v>4.7699999999999996</v>
      </c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5" x14ac:dyDescent="0.2">
      <c r="A7" s="54" t="s">
        <v>333</v>
      </c>
      <c r="B7" s="54">
        <v>4.72</v>
      </c>
      <c r="C7" s="54">
        <v>4.46</v>
      </c>
      <c r="D7" s="54">
        <v>1.86</v>
      </c>
      <c r="E7" s="20">
        <v>2.99</v>
      </c>
      <c r="F7" s="54">
        <v>1.78</v>
      </c>
      <c r="G7" s="54"/>
      <c r="H7" s="54"/>
      <c r="I7" s="54"/>
      <c r="J7" s="54"/>
      <c r="K7" s="54"/>
      <c r="L7" s="54"/>
      <c r="M7" s="54"/>
      <c r="N7" s="54"/>
      <c r="O7" s="54"/>
    </row>
    <row r="8" spans="1:15" x14ac:dyDescent="0.2">
      <c r="A8" s="54" t="s">
        <v>334</v>
      </c>
      <c r="B8" s="54">
        <v>5.79</v>
      </c>
      <c r="C8" s="54">
        <v>5.53</v>
      </c>
      <c r="D8" s="54">
        <v>2.93</v>
      </c>
      <c r="E8" s="20">
        <v>4.0599999999999996</v>
      </c>
      <c r="F8" s="54">
        <v>0.83</v>
      </c>
      <c r="G8" s="54">
        <v>1.07</v>
      </c>
      <c r="H8" s="54"/>
      <c r="I8" s="54"/>
      <c r="J8" s="54"/>
      <c r="K8" s="54"/>
      <c r="L8" s="54"/>
      <c r="M8" s="54"/>
      <c r="N8" s="54"/>
      <c r="O8" s="54"/>
    </row>
    <row r="9" spans="1:15" x14ac:dyDescent="0.2">
      <c r="A9" s="54" t="s">
        <v>335</v>
      </c>
      <c r="B9" s="54">
        <v>1.32</v>
      </c>
      <c r="C9" s="54">
        <v>0.88</v>
      </c>
      <c r="D9" s="54">
        <v>2.2400000000000002</v>
      </c>
      <c r="E9" s="20">
        <v>1.29</v>
      </c>
      <c r="F9" s="54">
        <v>5.14</v>
      </c>
      <c r="G9" s="54">
        <v>3.96</v>
      </c>
      <c r="H9" s="54">
        <v>5.03</v>
      </c>
      <c r="I9" s="54"/>
      <c r="J9" s="54"/>
      <c r="K9" s="54"/>
      <c r="L9" s="54"/>
      <c r="M9" s="54"/>
      <c r="N9" s="54"/>
      <c r="O9" s="54"/>
    </row>
    <row r="10" spans="1:15" x14ac:dyDescent="0.2">
      <c r="A10" s="20" t="s">
        <v>336</v>
      </c>
      <c r="B10" s="20">
        <v>2.62</v>
      </c>
      <c r="C10" s="20">
        <v>1.66</v>
      </c>
      <c r="D10" s="20">
        <v>1.2</v>
      </c>
      <c r="E10" s="46">
        <v>0.51</v>
      </c>
      <c r="F10" s="20">
        <v>4.84</v>
      </c>
      <c r="G10" s="20">
        <v>3.06</v>
      </c>
      <c r="H10" s="20">
        <v>3.32</v>
      </c>
      <c r="I10" s="20">
        <v>1.4</v>
      </c>
      <c r="J10" s="54"/>
      <c r="K10" s="54"/>
      <c r="L10" s="54"/>
      <c r="M10" s="54"/>
      <c r="N10" s="54"/>
      <c r="O10" s="54"/>
    </row>
    <row r="11" spans="1:15" x14ac:dyDescent="0.2">
      <c r="A11" s="54" t="s">
        <v>60</v>
      </c>
      <c r="B11" s="54">
        <f>MIN(B2:B10)</f>
        <v>1.32</v>
      </c>
      <c r="C11" s="54">
        <f t="shared" ref="C11:J11" si="0">MIN(C2:C10)</f>
        <v>0.88</v>
      </c>
      <c r="D11" s="54">
        <f t="shared" si="0"/>
        <v>1.2</v>
      </c>
      <c r="E11" s="55">
        <f t="shared" si="0"/>
        <v>0.51</v>
      </c>
      <c r="F11" s="54">
        <f t="shared" si="0"/>
        <v>0.83</v>
      </c>
      <c r="G11" s="54">
        <f t="shared" si="0"/>
        <v>1.07</v>
      </c>
      <c r="H11" s="54">
        <f t="shared" si="0"/>
        <v>3.32</v>
      </c>
      <c r="I11" s="54">
        <f t="shared" si="0"/>
        <v>1.4</v>
      </c>
      <c r="J11" s="54"/>
      <c r="K11" s="54"/>
      <c r="L11" s="54"/>
      <c r="M11" s="54"/>
      <c r="N11" s="54"/>
      <c r="O11" s="54"/>
    </row>
    <row r="12" spans="1:15" x14ac:dyDescent="0.2">
      <c r="A12" s="54"/>
      <c r="B12" s="54"/>
      <c r="C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5" x14ac:dyDescent="0.2">
      <c r="A13" s="54" t="s">
        <v>337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1:15" x14ac:dyDescent="0.2">
      <c r="B14" s="54" t="s">
        <v>328</v>
      </c>
      <c r="C14" s="54" t="s">
        <v>329</v>
      </c>
      <c r="D14" s="54" t="s">
        <v>330</v>
      </c>
      <c r="E14" s="20" t="s">
        <v>332</v>
      </c>
      <c r="F14" s="54" t="s">
        <v>333</v>
      </c>
      <c r="G14" s="20" t="s">
        <v>334</v>
      </c>
      <c r="H14" s="54" t="s">
        <v>335</v>
      </c>
      <c r="I14" s="54" t="s">
        <v>338</v>
      </c>
      <c r="J14" s="54"/>
      <c r="K14" s="54"/>
      <c r="L14" s="54"/>
      <c r="M14" s="54"/>
      <c r="N14" s="54"/>
      <c r="O14" s="54"/>
    </row>
    <row r="15" spans="1:15" x14ac:dyDescent="0.2">
      <c r="A15" s="54" t="s">
        <v>328</v>
      </c>
      <c r="B15" s="54"/>
      <c r="C15" s="54"/>
      <c r="D15" s="54"/>
      <c r="E15" s="20"/>
      <c r="F15" s="54"/>
      <c r="G15" s="20"/>
      <c r="H15" s="54"/>
      <c r="I15" s="54"/>
      <c r="J15" s="54"/>
      <c r="K15" s="54"/>
      <c r="L15" s="54"/>
      <c r="M15" s="54"/>
      <c r="N15" s="54"/>
      <c r="O15" s="54"/>
    </row>
    <row r="16" spans="1:15" x14ac:dyDescent="0.2">
      <c r="A16" s="54" t="s">
        <v>329</v>
      </c>
      <c r="B16" s="54">
        <v>1.52</v>
      </c>
      <c r="C16" s="54"/>
      <c r="D16" s="54"/>
      <c r="E16" s="20"/>
      <c r="F16" s="54"/>
      <c r="G16" s="20"/>
      <c r="H16" s="54"/>
      <c r="I16" s="54"/>
      <c r="J16" s="54"/>
      <c r="K16" s="54"/>
      <c r="L16" s="54"/>
      <c r="M16" s="54"/>
      <c r="N16" s="54"/>
      <c r="O16" s="54"/>
    </row>
    <row r="17" spans="1:8" x14ac:dyDescent="0.2">
      <c r="A17" s="54" t="s">
        <v>330</v>
      </c>
      <c r="B17" s="54">
        <v>3.1</v>
      </c>
      <c r="C17" s="54">
        <v>2.7</v>
      </c>
      <c r="E17" s="20"/>
      <c r="G17" s="20"/>
    </row>
    <row r="18" spans="1:8" x14ac:dyDescent="0.2">
      <c r="A18" s="20" t="s">
        <v>332</v>
      </c>
      <c r="B18" s="20">
        <v>5.86</v>
      </c>
      <c r="C18" s="20">
        <v>6.02</v>
      </c>
      <c r="D18" s="20">
        <v>3.64</v>
      </c>
      <c r="E18" s="20"/>
      <c r="G18" s="20"/>
    </row>
    <row r="19" spans="1:8" x14ac:dyDescent="0.2">
      <c r="A19" s="54" t="s">
        <v>333</v>
      </c>
      <c r="B19" s="54">
        <v>4.72</v>
      </c>
      <c r="C19" s="54">
        <v>4.46</v>
      </c>
      <c r="D19" s="54">
        <v>1.86</v>
      </c>
      <c r="E19" s="20">
        <v>1.78</v>
      </c>
      <c r="G19" s="20"/>
    </row>
    <row r="20" spans="1:8" x14ac:dyDescent="0.2">
      <c r="A20" s="20" t="s">
        <v>334</v>
      </c>
      <c r="B20" s="20">
        <v>5.79</v>
      </c>
      <c r="C20" s="20">
        <v>5.53</v>
      </c>
      <c r="D20" s="20">
        <v>2.93</v>
      </c>
      <c r="E20" s="46">
        <v>0.83</v>
      </c>
      <c r="F20" s="20">
        <v>1.07</v>
      </c>
      <c r="G20" s="20"/>
    </row>
    <row r="21" spans="1:8" x14ac:dyDescent="0.2">
      <c r="A21" s="54" t="s">
        <v>335</v>
      </c>
      <c r="B21" s="54">
        <v>1.32</v>
      </c>
      <c r="C21" s="54">
        <v>0.88</v>
      </c>
      <c r="D21" s="54">
        <v>2.2400000000000002</v>
      </c>
      <c r="E21" s="20">
        <v>5.14</v>
      </c>
      <c r="F21" s="54">
        <v>3.96</v>
      </c>
      <c r="G21" s="20">
        <v>5.03</v>
      </c>
    </row>
    <row r="22" spans="1:8" x14ac:dyDescent="0.2">
      <c r="A22" s="54" t="s">
        <v>338</v>
      </c>
      <c r="B22">
        <f>B5</f>
        <v>2.19</v>
      </c>
      <c r="C22">
        <f>C5</f>
        <v>1.47</v>
      </c>
      <c r="D22">
        <f>D10</f>
        <v>1.2</v>
      </c>
      <c r="E22" s="20">
        <f>E6</f>
        <v>4.7699999999999996</v>
      </c>
      <c r="F22">
        <f>E7</f>
        <v>2.99</v>
      </c>
      <c r="G22" s="20">
        <f>H10</f>
        <v>3.32</v>
      </c>
      <c r="H22">
        <f>E9</f>
        <v>1.29</v>
      </c>
    </row>
    <row r="23" spans="1:8" x14ac:dyDescent="0.2">
      <c r="A23" s="54" t="s">
        <v>60</v>
      </c>
      <c r="B23">
        <f>MIN(B15:B22)</f>
        <v>1.32</v>
      </c>
      <c r="C23" s="54">
        <f t="shared" ref="C23:H23" si="1">MIN(C15:C22)</f>
        <v>0.88</v>
      </c>
      <c r="D23" s="54">
        <f t="shared" si="1"/>
        <v>1.2</v>
      </c>
      <c r="E23" s="55">
        <f t="shared" si="1"/>
        <v>0.83</v>
      </c>
      <c r="F23" s="54">
        <f t="shared" si="1"/>
        <v>1.07</v>
      </c>
      <c r="G23" s="54">
        <f t="shared" si="1"/>
        <v>3.32</v>
      </c>
      <c r="H23" s="54">
        <f t="shared" si="1"/>
        <v>1.29</v>
      </c>
    </row>
    <row r="25" spans="1:8" x14ac:dyDescent="0.2">
      <c r="A25" t="s">
        <v>339</v>
      </c>
    </row>
    <row r="26" spans="1:8" x14ac:dyDescent="0.2">
      <c r="B26" s="54" t="s">
        <v>328</v>
      </c>
      <c r="C26" s="20" t="s">
        <v>329</v>
      </c>
      <c r="D26" s="54" t="s">
        <v>330</v>
      </c>
      <c r="E26" s="54" t="s">
        <v>333</v>
      </c>
      <c r="F26" s="20" t="s">
        <v>335</v>
      </c>
      <c r="G26" s="54" t="s">
        <v>338</v>
      </c>
      <c r="H26" t="s">
        <v>340</v>
      </c>
    </row>
    <row r="27" spans="1:8" x14ac:dyDescent="0.2">
      <c r="A27" s="54" t="s">
        <v>328</v>
      </c>
      <c r="C27" s="20"/>
      <c r="F27" s="20"/>
    </row>
    <row r="28" spans="1:8" x14ac:dyDescent="0.2">
      <c r="A28" s="20" t="s">
        <v>329</v>
      </c>
      <c r="B28" s="20">
        <v>1.52</v>
      </c>
      <c r="C28" s="20"/>
      <c r="F28" s="20"/>
    </row>
    <row r="29" spans="1:8" x14ac:dyDescent="0.2">
      <c r="A29" s="54" t="s">
        <v>330</v>
      </c>
      <c r="B29" s="54">
        <v>3.1</v>
      </c>
      <c r="C29" s="20">
        <v>2.7</v>
      </c>
      <c r="F29" s="20"/>
    </row>
    <row r="30" spans="1:8" x14ac:dyDescent="0.2">
      <c r="A30" s="54" t="s">
        <v>333</v>
      </c>
      <c r="B30" s="54">
        <v>4.72</v>
      </c>
      <c r="C30" s="20">
        <v>4.46</v>
      </c>
      <c r="D30" s="54">
        <v>1.86</v>
      </c>
      <c r="F30" s="20"/>
    </row>
    <row r="31" spans="1:8" x14ac:dyDescent="0.2">
      <c r="A31" s="20" t="s">
        <v>335</v>
      </c>
      <c r="B31" s="20">
        <v>1.32</v>
      </c>
      <c r="C31" s="46">
        <v>0.88</v>
      </c>
      <c r="D31" s="20">
        <v>2.2400000000000002</v>
      </c>
      <c r="E31" s="20">
        <v>3.96</v>
      </c>
      <c r="F31" s="20"/>
    </row>
    <row r="32" spans="1:8" x14ac:dyDescent="0.2">
      <c r="A32" s="54" t="s">
        <v>338</v>
      </c>
      <c r="B32" s="54">
        <v>2.19</v>
      </c>
      <c r="C32" s="20">
        <v>1.47</v>
      </c>
      <c r="D32" s="54">
        <v>1.2</v>
      </c>
      <c r="E32" s="54">
        <v>2.99</v>
      </c>
      <c r="F32" s="20">
        <v>1.29</v>
      </c>
    </row>
    <row r="33" spans="1:7" x14ac:dyDescent="0.2">
      <c r="A33" s="54" t="s">
        <v>340</v>
      </c>
      <c r="B33">
        <f>B20</f>
        <v>5.79</v>
      </c>
      <c r="C33" s="20">
        <f>C20</f>
        <v>5.53</v>
      </c>
      <c r="D33">
        <f>D20</f>
        <v>2.93</v>
      </c>
      <c r="E33">
        <f>F20</f>
        <v>1.07</v>
      </c>
      <c r="F33" s="20">
        <f>G21</f>
        <v>5.03</v>
      </c>
      <c r="G33">
        <f>G22</f>
        <v>3.32</v>
      </c>
    </row>
    <row r="34" spans="1:7" x14ac:dyDescent="0.2">
      <c r="A34" t="s">
        <v>60</v>
      </c>
      <c r="B34">
        <f>MIN(B27:B33)</f>
        <v>1.32</v>
      </c>
      <c r="C34" s="55">
        <f t="shared" ref="C34:G34" si="2">MIN(C27:C33)</f>
        <v>0.88</v>
      </c>
      <c r="D34" s="54">
        <f t="shared" si="2"/>
        <v>1.2</v>
      </c>
      <c r="E34" s="54">
        <f t="shared" si="2"/>
        <v>1.07</v>
      </c>
      <c r="F34" s="54">
        <f t="shared" si="2"/>
        <v>1.29</v>
      </c>
      <c r="G34" s="54">
        <f t="shared" si="2"/>
        <v>3.32</v>
      </c>
    </row>
    <row r="36" spans="1:7" x14ac:dyDescent="0.2">
      <c r="A36" t="s">
        <v>341</v>
      </c>
    </row>
    <row r="37" spans="1:7" x14ac:dyDescent="0.2">
      <c r="B37" s="54" t="s">
        <v>328</v>
      </c>
      <c r="C37" s="54" t="s">
        <v>330</v>
      </c>
      <c r="D37" s="20" t="s">
        <v>333</v>
      </c>
      <c r="E37" s="54" t="s">
        <v>338</v>
      </c>
      <c r="F37" s="20" t="s">
        <v>340</v>
      </c>
      <c r="G37" t="s">
        <v>342</v>
      </c>
    </row>
    <row r="38" spans="1:7" x14ac:dyDescent="0.2">
      <c r="A38" s="54" t="s">
        <v>328</v>
      </c>
      <c r="D38" s="20"/>
      <c r="F38" s="20"/>
    </row>
    <row r="39" spans="1:7" x14ac:dyDescent="0.2">
      <c r="A39" s="54" t="s">
        <v>330</v>
      </c>
      <c r="B39" s="54">
        <v>3.1</v>
      </c>
      <c r="D39" s="20"/>
      <c r="F39" s="20"/>
    </row>
    <row r="40" spans="1:7" x14ac:dyDescent="0.2">
      <c r="A40" s="20" t="s">
        <v>333</v>
      </c>
      <c r="B40" s="20">
        <v>4.72</v>
      </c>
      <c r="C40" s="20">
        <v>1.86</v>
      </c>
      <c r="D40" s="20"/>
      <c r="F40" s="20"/>
    </row>
    <row r="41" spans="1:7" x14ac:dyDescent="0.2">
      <c r="A41" s="54" t="s">
        <v>338</v>
      </c>
      <c r="B41" s="54">
        <v>2.19</v>
      </c>
      <c r="C41" s="54">
        <v>1.2</v>
      </c>
      <c r="D41" s="20">
        <v>2.99</v>
      </c>
      <c r="F41" s="20"/>
    </row>
    <row r="42" spans="1:7" x14ac:dyDescent="0.2">
      <c r="A42" s="20" t="s">
        <v>340</v>
      </c>
      <c r="B42" s="20">
        <v>5.79</v>
      </c>
      <c r="C42" s="20">
        <v>2.93</v>
      </c>
      <c r="D42" s="46">
        <v>1.07</v>
      </c>
      <c r="E42" s="20">
        <v>3.32</v>
      </c>
      <c r="F42" s="20"/>
    </row>
    <row r="43" spans="1:7" x14ac:dyDescent="0.2">
      <c r="A43" s="54" t="s">
        <v>342</v>
      </c>
      <c r="B43" s="54">
        <f>B31</f>
        <v>1.32</v>
      </c>
      <c r="C43">
        <f>D31</f>
        <v>2.2400000000000002</v>
      </c>
      <c r="D43" s="20">
        <f>E31</f>
        <v>3.96</v>
      </c>
      <c r="E43">
        <f>F32</f>
        <v>1.29</v>
      </c>
      <c r="F43" s="20">
        <f>F33</f>
        <v>5.03</v>
      </c>
    </row>
    <row r="44" spans="1:7" x14ac:dyDescent="0.2">
      <c r="A44" t="s">
        <v>60</v>
      </c>
      <c r="B44">
        <f>MIN(B38:B43)</f>
        <v>1.32</v>
      </c>
      <c r="C44" s="54">
        <f t="shared" ref="C44:F44" si="3">MIN(C38:C43)</f>
        <v>1.2</v>
      </c>
      <c r="D44" s="55">
        <f t="shared" si="3"/>
        <v>1.07</v>
      </c>
      <c r="E44" s="54">
        <f t="shared" si="3"/>
        <v>1.29</v>
      </c>
      <c r="F44" s="54">
        <f t="shared" si="3"/>
        <v>5.03</v>
      </c>
    </row>
    <row r="46" spans="1:7" x14ac:dyDescent="0.2">
      <c r="A46" t="s">
        <v>343</v>
      </c>
    </row>
    <row r="47" spans="1:7" x14ac:dyDescent="0.2">
      <c r="B47" s="54" t="s">
        <v>328</v>
      </c>
      <c r="C47" s="20" t="s">
        <v>330</v>
      </c>
      <c r="D47" s="20" t="s">
        <v>338</v>
      </c>
      <c r="E47" s="54" t="s">
        <v>342</v>
      </c>
      <c r="F47" t="s">
        <v>344</v>
      </c>
    </row>
    <row r="48" spans="1:7" x14ac:dyDescent="0.2">
      <c r="A48" s="54" t="s">
        <v>328</v>
      </c>
      <c r="C48" s="20"/>
      <c r="D48" s="20"/>
    </row>
    <row r="49" spans="1:5" x14ac:dyDescent="0.2">
      <c r="A49" s="20" t="s">
        <v>330</v>
      </c>
      <c r="B49" s="20">
        <v>3.1</v>
      </c>
      <c r="C49" s="20"/>
      <c r="D49" s="20"/>
    </row>
    <row r="50" spans="1:5" x14ac:dyDescent="0.2">
      <c r="A50" s="20" t="s">
        <v>338</v>
      </c>
      <c r="B50" s="20">
        <v>2.19</v>
      </c>
      <c r="C50" s="46">
        <v>1.2</v>
      </c>
      <c r="D50" s="20"/>
    </row>
    <row r="51" spans="1:5" x14ac:dyDescent="0.2">
      <c r="A51" s="54" t="s">
        <v>342</v>
      </c>
      <c r="B51" s="54">
        <v>1.32</v>
      </c>
      <c r="C51" s="20">
        <v>2.2400000000000002</v>
      </c>
      <c r="D51" s="20">
        <v>1.29</v>
      </c>
    </row>
    <row r="52" spans="1:5" x14ac:dyDescent="0.2">
      <c r="A52" s="54" t="s">
        <v>344</v>
      </c>
      <c r="B52">
        <f>B40</f>
        <v>4.72</v>
      </c>
      <c r="C52" s="20">
        <f>C40</f>
        <v>1.86</v>
      </c>
      <c r="D52" s="20">
        <f>D41</f>
        <v>2.99</v>
      </c>
      <c r="E52">
        <f>D43</f>
        <v>3.96</v>
      </c>
    </row>
    <row r="53" spans="1:5" x14ac:dyDescent="0.2">
      <c r="A53" t="s">
        <v>60</v>
      </c>
      <c r="B53">
        <f>MIN(B48:B52)</f>
        <v>1.32</v>
      </c>
      <c r="C53" s="55">
        <f t="shared" ref="C53:E53" si="4">MIN(C48:C52)</f>
        <v>1.2</v>
      </c>
      <c r="D53" s="54">
        <f t="shared" si="4"/>
        <v>1.29</v>
      </c>
      <c r="E53" s="54">
        <f t="shared" si="4"/>
        <v>3.96</v>
      </c>
    </row>
    <row r="55" spans="1:5" x14ac:dyDescent="0.2">
      <c r="A55" t="s">
        <v>345</v>
      </c>
    </row>
    <row r="56" spans="1:5" x14ac:dyDescent="0.2">
      <c r="B56" s="54" t="s">
        <v>328</v>
      </c>
      <c r="C56" s="20" t="s">
        <v>342</v>
      </c>
      <c r="D56" s="54" t="s">
        <v>344</v>
      </c>
      <c r="E56" s="20" t="s">
        <v>346</v>
      </c>
    </row>
    <row r="57" spans="1:5" x14ac:dyDescent="0.2">
      <c r="A57" s="54" t="s">
        <v>328</v>
      </c>
      <c r="C57" s="20"/>
    </row>
    <row r="58" spans="1:5" x14ac:dyDescent="0.2">
      <c r="A58" s="20" t="s">
        <v>342</v>
      </c>
      <c r="B58" s="20">
        <v>1.32</v>
      </c>
      <c r="C58" s="20"/>
    </row>
    <row r="59" spans="1:5" x14ac:dyDescent="0.2">
      <c r="A59" s="54" t="s">
        <v>344</v>
      </c>
      <c r="B59" s="54">
        <v>4.72</v>
      </c>
      <c r="C59" s="20">
        <v>3.96</v>
      </c>
    </row>
    <row r="60" spans="1:5" x14ac:dyDescent="0.2">
      <c r="A60" s="20" t="s">
        <v>346</v>
      </c>
      <c r="B60" s="20">
        <f>B50</f>
        <v>2.19</v>
      </c>
      <c r="C60" s="46">
        <f>D51</f>
        <v>1.29</v>
      </c>
      <c r="D60" s="20">
        <f>C52</f>
        <v>1.86</v>
      </c>
    </row>
    <row r="61" spans="1:5" x14ac:dyDescent="0.2">
      <c r="A61" t="s">
        <v>60</v>
      </c>
      <c r="B61">
        <f>MIN(B57:B60)</f>
        <v>1.32</v>
      </c>
      <c r="C61" s="55">
        <f t="shared" ref="C61:D61" si="5">MIN(C57:C60)</f>
        <v>1.29</v>
      </c>
      <c r="D61" s="54">
        <f t="shared" si="5"/>
        <v>1.86</v>
      </c>
    </row>
    <row r="63" spans="1:5" x14ac:dyDescent="0.2">
      <c r="A63" t="s">
        <v>347</v>
      </c>
    </row>
    <row r="64" spans="1:5" x14ac:dyDescent="0.2">
      <c r="B64" s="20" t="s">
        <v>328</v>
      </c>
      <c r="C64" s="54" t="s">
        <v>344</v>
      </c>
      <c r="D64" s="20" t="s">
        <v>348</v>
      </c>
    </row>
    <row r="65" spans="1:3" x14ac:dyDescent="0.2">
      <c r="A65" s="20" t="s">
        <v>328</v>
      </c>
      <c r="B65" s="20"/>
    </row>
    <row r="66" spans="1:3" x14ac:dyDescent="0.2">
      <c r="A66" s="54" t="s">
        <v>344</v>
      </c>
      <c r="B66" s="20">
        <v>4.72</v>
      </c>
    </row>
    <row r="67" spans="1:3" x14ac:dyDescent="0.2">
      <c r="A67" s="20" t="s">
        <v>348</v>
      </c>
      <c r="B67" s="46">
        <f>B58</f>
        <v>1.32</v>
      </c>
      <c r="C67" s="20">
        <f>D60</f>
        <v>1.86</v>
      </c>
    </row>
    <row r="68" spans="1:3" x14ac:dyDescent="0.2">
      <c r="A68" t="s">
        <v>60</v>
      </c>
      <c r="B68" s="55">
        <f>MIN(B65:B67)</f>
        <v>1.32</v>
      </c>
      <c r="C68" s="54">
        <f>MIN(C65:C67)</f>
        <v>1.86</v>
      </c>
    </row>
    <row r="70" spans="1:3" x14ac:dyDescent="0.2">
      <c r="A70" t="s">
        <v>349</v>
      </c>
    </row>
    <row r="71" spans="1:3" x14ac:dyDescent="0.2">
      <c r="A71" s="20"/>
      <c r="B71" s="20" t="s">
        <v>344</v>
      </c>
      <c r="C71" s="20" t="s">
        <v>350</v>
      </c>
    </row>
    <row r="72" spans="1:3" x14ac:dyDescent="0.2">
      <c r="A72" s="20" t="s">
        <v>344</v>
      </c>
      <c r="B72" s="20"/>
      <c r="C72" s="20"/>
    </row>
    <row r="73" spans="1:3" x14ac:dyDescent="0.2">
      <c r="A73" s="20" t="s">
        <v>350</v>
      </c>
      <c r="B73" s="46">
        <f>C67</f>
        <v>1.86</v>
      </c>
      <c r="C73" s="20"/>
    </row>
    <row r="74" spans="1:3" x14ac:dyDescent="0.2">
      <c r="A74" t="s">
        <v>60</v>
      </c>
      <c r="B74" s="55">
        <f>MIN(B72:B73)</f>
        <v>1.86</v>
      </c>
    </row>
    <row r="76" spans="1:3" x14ac:dyDescent="0.2">
      <c r="A76" s="54" t="s">
        <v>351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workbookViewId="0"/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workbookViewId="0"/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workbookViewId="0"/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workbookViewId="0"/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 t="shared" ref="L18:O18" si="0">$I$18*C18+$I$19*C19+$I$20*C20+$I$21*C21+$I$22*C22</f>
        <v>612</v>
      </c>
      <c r="M18">
        <f t="shared" si="0"/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workbookViewId="0"/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 t="shared" ref="C9:L9" si="1">C2/C$5</f>
        <v>0.88636363636363624</v>
      </c>
      <c r="D9" s="9">
        <f t="shared" si="1"/>
        <v>1.2666666666666666</v>
      </c>
      <c r="E9" s="9">
        <f t="shared" si="1"/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 t="shared" si="2"/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7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</row>
    <row r="34" spans="1:7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</row>
    <row r="35" spans="1:7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</row>
    <row r="36" spans="1:7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7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7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7" x14ac:dyDescent="0.2">
      <c r="C39" s="5"/>
      <c r="D39" s="9"/>
      <c r="E39" s="9"/>
      <c r="F39" s="9"/>
      <c r="G39" s="6"/>
    </row>
    <row r="40" spans="1:7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</row>
    <row r="41" spans="1:7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</row>
    <row r="42" spans="1:7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</row>
    <row r="43" spans="1:7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</row>
    <row r="44" spans="1:7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</row>
    <row r="45" spans="1:7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</row>
    <row r="46" spans="1:7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</row>
    <row r="47" spans="1:7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</row>
    <row r="48" spans="1:7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</row>
    <row r="49" spans="1:7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</row>
    <row r="50" spans="1:7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</row>
    <row r="51" spans="1:7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xmlns:xlrd2="http://schemas.microsoft.com/office/spreadsheetml/2017/richdata2" ref="A41:F51">
    <sortCondition descending="1" ref="B4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100-A7AD-4B73-9AE9-8B165B717FBF}">
  <dimension ref="A1:H30"/>
  <sheetViews>
    <sheetView workbookViewId="0"/>
  </sheetViews>
  <sheetFormatPr defaultRowHeight="14.25" x14ac:dyDescent="0.2"/>
  <cols>
    <col min="2" max="2" width="16.125" customWidth="1"/>
  </cols>
  <sheetData>
    <row r="1" spans="1:8" x14ac:dyDescent="0.2">
      <c r="A1" s="20" t="s">
        <v>54</v>
      </c>
      <c r="B1" s="20" t="s">
        <v>135</v>
      </c>
      <c r="D1" s="1" t="s">
        <v>136</v>
      </c>
      <c r="E1" s="7"/>
      <c r="F1" s="23" t="s">
        <v>137</v>
      </c>
      <c r="G1" s="7"/>
      <c r="H1" s="34" t="s">
        <v>138</v>
      </c>
    </row>
    <row r="2" spans="1:8" x14ac:dyDescent="0.2">
      <c r="A2" s="20">
        <v>1940</v>
      </c>
      <c r="B2" s="20">
        <v>9.8000000000000007</v>
      </c>
      <c r="D2" s="5">
        <f>AVERAGE(B2:B4)</f>
        <v>6.6000000000000005</v>
      </c>
      <c r="E2" s="9"/>
      <c r="F2" s="9">
        <f t="shared" ref="F2:F26" si="0">AVERAGE(B2:B6)</f>
        <v>6.08</v>
      </c>
      <c r="G2" s="9"/>
      <c r="H2" s="6">
        <f>B2-AVERAGE($B$2:$B$30)</f>
        <v>-0.53793103448275836</v>
      </c>
    </row>
    <row r="3" spans="1:8" x14ac:dyDescent="0.2">
      <c r="A3" s="20">
        <v>1941</v>
      </c>
      <c r="B3" s="20">
        <v>3</v>
      </c>
      <c r="D3" s="5">
        <f t="shared" ref="D3:D27" si="1">AVERAGE(B3:B5)</f>
        <v>4.9333333333333336</v>
      </c>
      <c r="E3" s="9"/>
      <c r="F3" s="9">
        <f t="shared" si="0"/>
        <v>5.28</v>
      </c>
      <c r="G3" s="9"/>
      <c r="H3" s="6">
        <f t="shared" ref="H3:H28" si="2">B3-AVERAGE($B$2:$B$30)</f>
        <v>-7.3379310344827591</v>
      </c>
    </row>
    <row r="4" spans="1:8" x14ac:dyDescent="0.2">
      <c r="A4" s="20">
        <v>1942</v>
      </c>
      <c r="B4" s="20">
        <v>7</v>
      </c>
      <c r="D4" s="5">
        <f t="shared" si="1"/>
        <v>5.8666666666666671</v>
      </c>
      <c r="E4" s="9"/>
      <c r="F4" s="9">
        <f t="shared" si="0"/>
        <v>7.080000000000001</v>
      </c>
      <c r="G4" s="9"/>
      <c r="H4" s="6">
        <f t="shared" si="2"/>
        <v>-3.3379310344827591</v>
      </c>
    </row>
    <row r="5" spans="1:8" x14ac:dyDescent="0.2">
      <c r="A5" s="20">
        <v>1943</v>
      </c>
      <c r="B5" s="20">
        <v>4.8</v>
      </c>
      <c r="D5" s="5">
        <f t="shared" si="1"/>
        <v>5.4666666666666659</v>
      </c>
      <c r="E5" s="9"/>
      <c r="F5" s="9">
        <f t="shared" si="0"/>
        <v>7.4599999999999991</v>
      </c>
      <c r="G5" s="9"/>
      <c r="H5" s="6">
        <f t="shared" si="2"/>
        <v>-5.5379310344827593</v>
      </c>
    </row>
    <row r="6" spans="1:8" x14ac:dyDescent="0.2">
      <c r="A6" s="20">
        <v>1944</v>
      </c>
      <c r="B6" s="20">
        <v>5.8</v>
      </c>
      <c r="D6" s="5">
        <f t="shared" si="1"/>
        <v>7.8666666666666671</v>
      </c>
      <c r="E6" s="9"/>
      <c r="F6" s="9">
        <f t="shared" si="0"/>
        <v>8.1</v>
      </c>
      <c r="G6" s="9"/>
      <c r="H6" s="6">
        <f t="shared" si="2"/>
        <v>-4.5379310344827593</v>
      </c>
    </row>
    <row r="7" spans="1:8" x14ac:dyDescent="0.2">
      <c r="A7" s="20">
        <v>1945</v>
      </c>
      <c r="B7" s="20">
        <v>5.8</v>
      </c>
      <c r="D7" s="5">
        <f t="shared" si="1"/>
        <v>8.9</v>
      </c>
      <c r="E7" s="9"/>
      <c r="F7" s="9">
        <f t="shared" si="0"/>
        <v>7.1800000000000015</v>
      </c>
      <c r="G7" s="9"/>
      <c r="H7" s="6">
        <f t="shared" si="2"/>
        <v>-4.5379310344827593</v>
      </c>
    </row>
    <row r="8" spans="1:8" x14ac:dyDescent="0.2">
      <c r="A8" s="20">
        <v>1946</v>
      </c>
      <c r="B8" s="20">
        <v>12</v>
      </c>
      <c r="D8" s="5">
        <f t="shared" si="1"/>
        <v>9.6333333333333329</v>
      </c>
      <c r="E8" s="9"/>
      <c r="F8" s="9">
        <f t="shared" si="0"/>
        <v>8.1199999999999992</v>
      </c>
      <c r="G8" s="9"/>
      <c r="H8" s="6">
        <f t="shared" si="2"/>
        <v>1.6620689655172409</v>
      </c>
    </row>
    <row r="9" spans="1:8" x14ac:dyDescent="0.2">
      <c r="A9" s="20">
        <v>1947</v>
      </c>
      <c r="B9" s="20">
        <v>8.9</v>
      </c>
      <c r="D9" s="5">
        <f t="shared" si="1"/>
        <v>6.0333333333333323</v>
      </c>
      <c r="E9" s="9"/>
      <c r="F9" s="9">
        <f t="shared" si="0"/>
        <v>9.3199999999999985</v>
      </c>
      <c r="G9" s="9"/>
      <c r="H9" s="6">
        <f t="shared" si="2"/>
        <v>-1.4379310344827587</v>
      </c>
    </row>
    <row r="10" spans="1:8" x14ac:dyDescent="0.2">
      <c r="A10" s="20">
        <v>1948</v>
      </c>
      <c r="B10" s="20">
        <v>8</v>
      </c>
      <c r="D10" s="5">
        <f t="shared" si="1"/>
        <v>6.5666666666666664</v>
      </c>
      <c r="E10" s="9"/>
      <c r="F10" s="9">
        <f t="shared" si="0"/>
        <v>11.540000000000001</v>
      </c>
      <c r="G10" s="9"/>
      <c r="H10" s="6">
        <f t="shared" si="2"/>
        <v>-2.3379310344827591</v>
      </c>
    </row>
    <row r="11" spans="1:8" x14ac:dyDescent="0.2">
      <c r="A11" s="20">
        <v>1949</v>
      </c>
      <c r="B11" s="20">
        <v>1.2</v>
      </c>
      <c r="D11" s="5">
        <f t="shared" si="1"/>
        <v>9.9</v>
      </c>
      <c r="E11" s="9"/>
      <c r="F11" s="9">
        <f t="shared" si="0"/>
        <v>10.540000000000001</v>
      </c>
      <c r="G11" s="9"/>
      <c r="H11" s="6">
        <f t="shared" si="2"/>
        <v>-9.1379310344827598</v>
      </c>
    </row>
    <row r="12" spans="1:8" x14ac:dyDescent="0.2">
      <c r="A12" s="20">
        <v>1950</v>
      </c>
      <c r="B12" s="20">
        <v>10.5</v>
      </c>
      <c r="D12" s="5">
        <f t="shared" si="1"/>
        <v>16.166666666666668</v>
      </c>
      <c r="E12" s="9"/>
      <c r="F12" s="9">
        <f t="shared" si="0"/>
        <v>13.7</v>
      </c>
      <c r="G12" s="9"/>
      <c r="H12" s="6">
        <f t="shared" si="2"/>
        <v>0.16206896551724093</v>
      </c>
    </row>
    <row r="13" spans="1:8" x14ac:dyDescent="0.2">
      <c r="A13" s="20">
        <v>1951</v>
      </c>
      <c r="B13" s="20">
        <v>18</v>
      </c>
      <c r="D13" s="5">
        <f t="shared" si="1"/>
        <v>13.666666666666666</v>
      </c>
      <c r="E13" s="9"/>
      <c r="F13" s="9">
        <f t="shared" si="0"/>
        <v>13</v>
      </c>
      <c r="G13" s="9"/>
      <c r="H13" s="6">
        <f t="shared" si="2"/>
        <v>7.6620689655172409</v>
      </c>
    </row>
    <row r="14" spans="1:8" x14ac:dyDescent="0.2">
      <c r="A14" s="20">
        <v>1952</v>
      </c>
      <c r="B14" s="20">
        <v>20</v>
      </c>
      <c r="D14" s="5">
        <f t="shared" si="1"/>
        <v>13.333333333333334</v>
      </c>
      <c r="E14" s="9"/>
      <c r="F14" s="9">
        <f t="shared" si="0"/>
        <v>10.6</v>
      </c>
      <c r="G14" s="9"/>
      <c r="H14" s="6">
        <f t="shared" si="2"/>
        <v>9.6620689655172409</v>
      </c>
    </row>
    <row r="15" spans="1:8" x14ac:dyDescent="0.2">
      <c r="A15" s="20">
        <v>1953</v>
      </c>
      <c r="B15" s="20">
        <v>3</v>
      </c>
      <c r="D15" s="5">
        <f t="shared" si="1"/>
        <v>9</v>
      </c>
      <c r="E15" s="9"/>
      <c r="F15" s="9">
        <f t="shared" si="0"/>
        <v>7.6</v>
      </c>
      <c r="G15" s="9"/>
      <c r="H15" s="6">
        <f t="shared" si="2"/>
        <v>-7.3379310344827591</v>
      </c>
    </row>
    <row r="16" spans="1:8" x14ac:dyDescent="0.2">
      <c r="A16" s="20">
        <v>1954</v>
      </c>
      <c r="B16" s="20">
        <v>17</v>
      </c>
      <c r="D16" s="5">
        <f t="shared" si="1"/>
        <v>10</v>
      </c>
      <c r="E16" s="9"/>
      <c r="F16" s="9">
        <f t="shared" si="0"/>
        <v>8.4</v>
      </c>
      <c r="G16" s="9"/>
      <c r="H16" s="6">
        <f t="shared" si="2"/>
        <v>6.6620689655172409</v>
      </c>
    </row>
    <row r="17" spans="1:8" x14ac:dyDescent="0.2">
      <c r="A17" s="20">
        <v>1955</v>
      </c>
      <c r="B17" s="20">
        <v>7</v>
      </c>
      <c r="D17" s="5">
        <f t="shared" si="1"/>
        <v>6</v>
      </c>
      <c r="E17" s="9"/>
      <c r="F17" s="9">
        <f t="shared" si="0"/>
        <v>8.3000000000000007</v>
      </c>
      <c r="G17" s="9"/>
      <c r="H17" s="6">
        <f t="shared" si="2"/>
        <v>-3.3379310344827591</v>
      </c>
    </row>
    <row r="18" spans="1:8" x14ac:dyDescent="0.2">
      <c r="A18" s="20">
        <v>1956</v>
      </c>
      <c r="B18" s="20">
        <v>6</v>
      </c>
      <c r="D18" s="5">
        <f t="shared" si="1"/>
        <v>6</v>
      </c>
      <c r="E18" s="9"/>
      <c r="F18" s="9">
        <f t="shared" si="0"/>
        <v>9.9</v>
      </c>
      <c r="G18" s="9"/>
      <c r="H18" s="6">
        <f t="shared" si="2"/>
        <v>-4.3379310344827591</v>
      </c>
    </row>
    <row r="19" spans="1:8" x14ac:dyDescent="0.2">
      <c r="A19" s="20">
        <v>1957</v>
      </c>
      <c r="B19" s="20">
        <v>5</v>
      </c>
      <c r="D19" s="5">
        <f t="shared" si="1"/>
        <v>9.5</v>
      </c>
      <c r="E19" s="9"/>
      <c r="F19" s="9">
        <f t="shared" si="0"/>
        <v>12.3</v>
      </c>
      <c r="G19" s="9"/>
      <c r="H19" s="6">
        <f t="shared" si="2"/>
        <v>-5.3379310344827591</v>
      </c>
    </row>
    <row r="20" spans="1:8" x14ac:dyDescent="0.2">
      <c r="A20" s="20">
        <v>1958</v>
      </c>
      <c r="B20" s="20">
        <v>7</v>
      </c>
      <c r="D20" s="5">
        <f t="shared" si="1"/>
        <v>12.833333333333334</v>
      </c>
      <c r="E20" s="9"/>
      <c r="F20" s="9">
        <f t="shared" si="0"/>
        <v>12.2</v>
      </c>
      <c r="G20" s="9"/>
      <c r="H20" s="6">
        <f t="shared" si="2"/>
        <v>-3.3379310344827591</v>
      </c>
    </row>
    <row r="21" spans="1:8" x14ac:dyDescent="0.2">
      <c r="A21" s="20">
        <v>1959</v>
      </c>
      <c r="B21" s="20">
        <v>16.5</v>
      </c>
      <c r="D21" s="5">
        <f t="shared" si="1"/>
        <v>16.5</v>
      </c>
      <c r="E21" s="9"/>
      <c r="F21" s="9">
        <f t="shared" si="0"/>
        <v>13.6</v>
      </c>
      <c r="G21" s="9"/>
      <c r="H21" s="6">
        <f t="shared" si="2"/>
        <v>6.1620689655172409</v>
      </c>
    </row>
    <row r="22" spans="1:8" x14ac:dyDescent="0.2">
      <c r="A22" s="20">
        <v>1960</v>
      </c>
      <c r="B22" s="20">
        <v>15</v>
      </c>
      <c r="D22" s="5">
        <f t="shared" si="1"/>
        <v>12.5</v>
      </c>
      <c r="E22" s="9"/>
      <c r="F22" s="9">
        <f t="shared" si="0"/>
        <v>13.1</v>
      </c>
      <c r="G22" s="9"/>
      <c r="H22" s="6">
        <f t="shared" si="2"/>
        <v>4.6620689655172409</v>
      </c>
    </row>
    <row r="23" spans="1:8" x14ac:dyDescent="0.2">
      <c r="A23" s="20">
        <v>1961</v>
      </c>
      <c r="B23" s="20">
        <v>18</v>
      </c>
      <c r="D23" s="5">
        <f t="shared" si="1"/>
        <v>12.166666666666666</v>
      </c>
      <c r="E23" s="9"/>
      <c r="F23" s="9">
        <f t="shared" si="0"/>
        <v>12.7</v>
      </c>
      <c r="G23" s="9"/>
      <c r="H23" s="6">
        <f t="shared" si="2"/>
        <v>7.6620689655172409</v>
      </c>
    </row>
    <row r="24" spans="1:8" x14ac:dyDescent="0.2">
      <c r="A24" s="20">
        <v>1962</v>
      </c>
      <c r="B24" s="20">
        <v>4.5</v>
      </c>
      <c r="D24" s="5">
        <f t="shared" si="1"/>
        <v>10.833333333333334</v>
      </c>
      <c r="E24" s="9"/>
      <c r="F24" s="9">
        <f t="shared" si="0"/>
        <v>12</v>
      </c>
      <c r="G24" s="9"/>
      <c r="H24" s="6">
        <f t="shared" si="2"/>
        <v>-5.8379310344827591</v>
      </c>
    </row>
    <row r="25" spans="1:8" x14ac:dyDescent="0.2">
      <c r="A25" s="20">
        <v>1963</v>
      </c>
      <c r="B25" s="20">
        <v>14</v>
      </c>
      <c r="D25" s="5">
        <f t="shared" si="1"/>
        <v>13.666666666666666</v>
      </c>
      <c r="E25" s="9"/>
      <c r="F25" s="9">
        <f t="shared" si="0"/>
        <v>14</v>
      </c>
      <c r="G25" s="9"/>
      <c r="H25" s="6">
        <f t="shared" si="2"/>
        <v>3.6620689655172409</v>
      </c>
    </row>
    <row r="26" spans="1:8" x14ac:dyDescent="0.2">
      <c r="A26" s="20">
        <v>1964</v>
      </c>
      <c r="B26" s="20">
        <v>14</v>
      </c>
      <c r="D26" s="5">
        <f t="shared" si="1"/>
        <v>13.833333333333334</v>
      </c>
      <c r="E26" s="9"/>
      <c r="F26" s="9">
        <f t="shared" si="0"/>
        <v>14.4</v>
      </c>
      <c r="G26" s="9"/>
      <c r="H26" s="6">
        <f t="shared" si="2"/>
        <v>3.6620689655172409</v>
      </c>
    </row>
    <row r="27" spans="1:8" x14ac:dyDescent="0.2">
      <c r="A27" s="20">
        <v>1965</v>
      </c>
      <c r="B27" s="20">
        <v>13</v>
      </c>
      <c r="D27" s="5">
        <f t="shared" si="1"/>
        <v>14</v>
      </c>
      <c r="E27" s="9"/>
      <c r="F27" s="9"/>
      <c r="G27" s="9"/>
      <c r="H27" s="6">
        <f t="shared" si="2"/>
        <v>2.6620689655172409</v>
      </c>
    </row>
    <row r="28" spans="1:8" x14ac:dyDescent="0.2">
      <c r="A28" s="20">
        <v>1966</v>
      </c>
      <c r="B28" s="20">
        <v>14.5</v>
      </c>
      <c r="D28" s="5">
        <f>AVERAGE(B28:B30)</f>
        <v>15</v>
      </c>
      <c r="E28" s="9"/>
      <c r="F28" s="9"/>
      <c r="G28" s="9"/>
      <c r="H28" s="6">
        <f t="shared" si="2"/>
        <v>4.1620689655172409</v>
      </c>
    </row>
    <row r="29" spans="1:8" x14ac:dyDescent="0.2">
      <c r="A29" s="20">
        <v>1967</v>
      </c>
      <c r="B29" s="20">
        <v>14.5</v>
      </c>
      <c r="D29" s="5"/>
      <c r="E29" s="9"/>
      <c r="F29" s="9"/>
      <c r="G29" s="9"/>
      <c r="H29" s="6">
        <f>B29-AVERAGE($B$2:$B$30)</f>
        <v>4.1620689655172409</v>
      </c>
    </row>
    <row r="30" spans="1:8" x14ac:dyDescent="0.2">
      <c r="A30" s="20">
        <v>1968</v>
      </c>
      <c r="B30" s="20">
        <v>16</v>
      </c>
      <c r="D30" s="3"/>
      <c r="E30" s="10"/>
      <c r="F30" s="10"/>
      <c r="G30" s="10"/>
      <c r="H30" s="4">
        <f>B30-AVERAGE($B$2:$B$30)</f>
        <v>5.6620689655172409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0ADA-3513-4CC9-9333-75C0927798CB}">
  <dimension ref="A1:L84"/>
  <sheetViews>
    <sheetView workbookViewId="0"/>
  </sheetViews>
  <sheetFormatPr defaultRowHeight="14.25" x14ac:dyDescent="0.2"/>
  <cols>
    <col min="3" max="3" width="13" bestFit="1" customWidth="1"/>
  </cols>
  <sheetData>
    <row r="1" spans="1:11" x14ac:dyDescent="0.2">
      <c r="A1" s="20" t="s">
        <v>141</v>
      </c>
      <c r="B1" s="20" t="s">
        <v>139</v>
      </c>
      <c r="C1" s="20" t="s">
        <v>140</v>
      </c>
      <c r="E1" s="1" t="s">
        <v>143</v>
      </c>
      <c r="F1" s="7"/>
      <c r="G1" s="7"/>
      <c r="H1" s="7"/>
      <c r="I1" s="7"/>
      <c r="J1" s="7"/>
      <c r="K1" s="2"/>
    </row>
    <row r="2" spans="1:11" x14ac:dyDescent="0.2">
      <c r="A2" s="20">
        <v>1995</v>
      </c>
      <c r="B2" s="20">
        <v>2462.5700000000002</v>
      </c>
      <c r="C2" s="20">
        <v>1301.3699999999999</v>
      </c>
      <c r="E2" s="5"/>
      <c r="F2" s="9" t="s">
        <v>142</v>
      </c>
      <c r="G2" s="9" t="s">
        <v>141</v>
      </c>
      <c r="H2" s="9"/>
      <c r="I2" s="9"/>
      <c r="J2" s="9"/>
      <c r="K2" s="6"/>
    </row>
    <row r="3" spans="1:11" x14ac:dyDescent="0.2">
      <c r="A3" s="20">
        <v>1996</v>
      </c>
      <c r="B3" s="20">
        <v>2902.2</v>
      </c>
      <c r="C3" s="20">
        <v>1304.43</v>
      </c>
      <c r="E3" s="5" t="s">
        <v>28</v>
      </c>
      <c r="F3" s="9">
        <f>COUNT(A2:A7)</f>
        <v>6</v>
      </c>
      <c r="G3" s="9">
        <f>COUNT(A10:A15)</f>
        <v>6</v>
      </c>
      <c r="H3" s="9"/>
      <c r="I3" s="9"/>
      <c r="J3" s="9"/>
      <c r="K3" s="6"/>
    </row>
    <row r="4" spans="1:11" x14ac:dyDescent="0.2">
      <c r="A4" s="20">
        <v>1997</v>
      </c>
      <c r="B4" s="20">
        <v>3360.21</v>
      </c>
      <c r="C4" s="20">
        <v>1305.46</v>
      </c>
      <c r="E4" s="37" t="s">
        <v>149</v>
      </c>
      <c r="F4" s="9"/>
      <c r="G4" s="9"/>
      <c r="H4" s="9"/>
      <c r="I4" s="9"/>
      <c r="J4" s="9"/>
      <c r="K4" s="6"/>
    </row>
    <row r="5" spans="1:11" x14ac:dyDescent="0.2">
      <c r="A5" s="20">
        <v>1998</v>
      </c>
      <c r="B5" s="20">
        <v>3688.2</v>
      </c>
      <c r="C5" s="20">
        <v>1306.58</v>
      </c>
      <c r="E5" s="5" t="s">
        <v>159</v>
      </c>
      <c r="F5" s="9"/>
      <c r="G5" s="9"/>
      <c r="H5" s="9"/>
      <c r="I5" s="9"/>
      <c r="J5" s="9"/>
      <c r="K5" s="6"/>
    </row>
    <row r="6" spans="1:11" x14ac:dyDescent="0.2">
      <c r="A6" s="20">
        <v>1999</v>
      </c>
      <c r="B6" s="20">
        <v>4034.96</v>
      </c>
      <c r="C6" s="20">
        <v>1313.12</v>
      </c>
      <c r="E6" s="17" t="s">
        <v>144</v>
      </c>
      <c r="F6" s="9"/>
      <c r="G6" s="9"/>
      <c r="H6" s="9"/>
      <c r="I6" s="9"/>
      <c r="J6" s="9"/>
      <c r="K6" s="6"/>
    </row>
    <row r="7" spans="1:11" x14ac:dyDescent="0.2">
      <c r="A7" s="20">
        <v>2000</v>
      </c>
      <c r="B7" s="20">
        <v>4551.1499999999996</v>
      </c>
      <c r="C7" s="20">
        <v>1321.63</v>
      </c>
      <c r="E7" s="5" t="s">
        <v>147</v>
      </c>
      <c r="F7" s="9" t="s">
        <v>145</v>
      </c>
      <c r="G7" s="9" t="s">
        <v>146</v>
      </c>
      <c r="H7" s="9"/>
      <c r="I7" s="9"/>
      <c r="J7" s="9"/>
      <c r="K7" s="6"/>
    </row>
    <row r="8" spans="1:11" x14ac:dyDescent="0.2">
      <c r="A8" s="20"/>
      <c r="B8" s="20"/>
      <c r="C8" s="20"/>
      <c r="E8" s="5" t="s">
        <v>141</v>
      </c>
      <c r="F8" s="9">
        <f>_xlfn.VAR.S(B2:B7)</f>
        <v>575936.9538166672</v>
      </c>
      <c r="G8" s="9">
        <f>_xlfn.VAR.S(C2:C7)</f>
        <v>54.729950000000599</v>
      </c>
      <c r="H8" s="9"/>
      <c r="I8" s="9"/>
      <c r="J8" s="9"/>
      <c r="K8" s="6"/>
    </row>
    <row r="9" spans="1:11" x14ac:dyDescent="0.2">
      <c r="A9" s="20" t="s">
        <v>142</v>
      </c>
      <c r="B9" s="20" t="s">
        <v>139</v>
      </c>
      <c r="C9" s="20" t="s">
        <v>140</v>
      </c>
      <c r="E9" s="5" t="s">
        <v>142</v>
      </c>
      <c r="F9" s="9">
        <f>_xlfn.VAR.S(B10:B15)</f>
        <v>202522.50176000223</v>
      </c>
      <c r="G9" s="9">
        <f>_xlfn.VAR.S(C10:C15)</f>
        <v>4085.4496666666701</v>
      </c>
      <c r="H9" s="9"/>
      <c r="I9" s="9"/>
      <c r="J9" s="9"/>
      <c r="K9" s="6"/>
    </row>
    <row r="10" spans="1:11" x14ac:dyDescent="0.2">
      <c r="A10" s="20">
        <v>1996</v>
      </c>
      <c r="B10" s="20">
        <v>1615.73</v>
      </c>
      <c r="C10" s="20">
        <v>1184</v>
      </c>
      <c r="E10" s="37" t="s">
        <v>148</v>
      </c>
      <c r="F10" s="9"/>
      <c r="G10" s="9"/>
      <c r="H10" s="9"/>
      <c r="I10" s="9"/>
      <c r="J10" s="9"/>
      <c r="K10" s="6"/>
    </row>
    <row r="11" spans="1:11" x14ac:dyDescent="0.2">
      <c r="A11" s="20">
        <v>1997</v>
      </c>
      <c r="B11" s="20">
        <v>1810.09</v>
      </c>
      <c r="C11" s="20">
        <v>1217</v>
      </c>
      <c r="E11" s="5"/>
      <c r="F11" s="9" t="s">
        <v>145</v>
      </c>
      <c r="G11" s="9" t="s">
        <v>146</v>
      </c>
      <c r="H11" s="9"/>
      <c r="I11" s="9"/>
      <c r="J11" s="9"/>
      <c r="K11" s="6"/>
    </row>
    <row r="12" spans="1:11" x14ac:dyDescent="0.2">
      <c r="A12" s="20">
        <v>1998</v>
      </c>
      <c r="B12" s="20">
        <v>2011.31</v>
      </c>
      <c r="C12" s="20">
        <v>1223.4000000000001</v>
      </c>
      <c r="E12" s="5" t="s">
        <v>150</v>
      </c>
      <c r="F12" s="9">
        <f>F8/F9</f>
        <v>2.8438171008729536</v>
      </c>
      <c r="G12" s="9">
        <f>G8/G9</f>
        <v>1.3396309945155907E-2</v>
      </c>
      <c r="H12" s="9"/>
      <c r="I12" s="9"/>
      <c r="J12" s="9"/>
      <c r="K12" s="6"/>
    </row>
    <row r="13" spans="1:11" x14ac:dyDescent="0.2">
      <c r="A13" s="20">
        <v>1999</v>
      </c>
      <c r="B13" s="20">
        <v>2174.46</v>
      </c>
      <c r="C13" s="20">
        <v>1249.9000000000001</v>
      </c>
      <c r="E13" s="37" t="s">
        <v>151</v>
      </c>
      <c r="F13" s="9"/>
      <c r="G13" s="9"/>
      <c r="H13" s="9"/>
      <c r="I13" s="9"/>
      <c r="J13" s="9"/>
      <c r="K13" s="6"/>
    </row>
    <row r="14" spans="1:11" x14ac:dyDescent="0.2">
      <c r="A14" s="20">
        <v>2000</v>
      </c>
      <c r="B14" s="20">
        <v>2478.7600000000002</v>
      </c>
      <c r="C14" s="20">
        <v>1278</v>
      </c>
      <c r="E14" s="5"/>
      <c r="F14" s="9" t="s">
        <v>145</v>
      </c>
      <c r="G14" s="9" t="s">
        <v>146</v>
      </c>
      <c r="H14" s="9"/>
      <c r="I14" s="9"/>
      <c r="J14" s="9"/>
      <c r="K14" s="6"/>
    </row>
    <row r="15" spans="1:11" x14ac:dyDescent="0.2">
      <c r="A15" s="20">
        <v>2001</v>
      </c>
      <c r="B15" s="20">
        <v>2845.65</v>
      </c>
      <c r="C15" s="20">
        <v>1366.4</v>
      </c>
      <c r="E15" s="5" t="s">
        <v>152</v>
      </c>
      <c r="F15" s="9">
        <f>F3-1</f>
        <v>5</v>
      </c>
      <c r="G15" s="9">
        <f>G3-1</f>
        <v>5</v>
      </c>
      <c r="H15" s="9" t="s">
        <v>154</v>
      </c>
      <c r="I15" s="9"/>
      <c r="J15" s="9"/>
      <c r="K15" s="6"/>
    </row>
    <row r="16" spans="1:11" x14ac:dyDescent="0.2">
      <c r="E16" s="5" t="s">
        <v>153</v>
      </c>
      <c r="F16" s="9">
        <v>0.1</v>
      </c>
      <c r="G16" s="9">
        <v>0.1</v>
      </c>
      <c r="H16" s="9"/>
      <c r="I16" s="9"/>
      <c r="J16" s="9"/>
      <c r="K16" s="6"/>
    </row>
    <row r="17" spans="2:11" x14ac:dyDescent="0.2">
      <c r="E17" s="5" t="s">
        <v>155</v>
      </c>
      <c r="F17" s="9">
        <f>FINV(F16/2,F15,G15)</f>
        <v>5.0503290576326485</v>
      </c>
      <c r="G17" s="9" t="s">
        <v>156</v>
      </c>
      <c r="H17" s="9"/>
      <c r="I17" s="9"/>
      <c r="J17" s="9"/>
      <c r="K17" s="6"/>
    </row>
    <row r="18" spans="2:11" x14ac:dyDescent="0.2">
      <c r="E18" s="37" t="s">
        <v>157</v>
      </c>
      <c r="F18" s="9"/>
      <c r="G18" s="9"/>
      <c r="H18" s="9"/>
      <c r="I18" s="9"/>
      <c r="J18" s="9"/>
      <c r="K18" s="6"/>
    </row>
    <row r="19" spans="2:11" x14ac:dyDescent="0.2">
      <c r="E19" s="5" t="s">
        <v>145</v>
      </c>
      <c r="F19" s="9" t="s">
        <v>158</v>
      </c>
      <c r="G19" s="9" t="s">
        <v>160</v>
      </c>
      <c r="H19" s="9"/>
      <c r="I19" s="9"/>
      <c r="J19" s="9"/>
      <c r="K19" s="6"/>
    </row>
    <row r="20" spans="2:11" x14ac:dyDescent="0.2">
      <c r="E20" s="3" t="s">
        <v>146</v>
      </c>
      <c r="F20" s="10" t="s">
        <v>158</v>
      </c>
      <c r="G20" s="10" t="s">
        <v>161</v>
      </c>
      <c r="H20" s="10"/>
      <c r="I20" s="10"/>
      <c r="J20" s="10"/>
      <c r="K20" s="4"/>
    </row>
    <row r="23" spans="2:11" ht="39" customHeight="1" x14ac:dyDescent="0.2">
      <c r="B23" s="41" t="s">
        <v>173</v>
      </c>
      <c r="C23" s="41"/>
      <c r="D23" s="41"/>
      <c r="E23" s="41"/>
      <c r="F23" s="41"/>
      <c r="G23" s="41"/>
      <c r="H23" s="41"/>
      <c r="I23" s="41"/>
      <c r="J23" s="41"/>
    </row>
    <row r="24" spans="2:11" x14ac:dyDescent="0.2">
      <c r="B24" s="20" t="s">
        <v>162</v>
      </c>
      <c r="C24" s="20" t="s">
        <v>163</v>
      </c>
      <c r="D24" s="20"/>
      <c r="E24" s="20"/>
      <c r="F24" s="20"/>
      <c r="G24" s="35" t="s">
        <v>174</v>
      </c>
      <c r="H24" s="20"/>
      <c r="I24" s="20"/>
      <c r="J24" s="20"/>
    </row>
    <row r="25" spans="2:11" x14ac:dyDescent="0.2">
      <c r="B25" s="20" t="s">
        <v>164</v>
      </c>
      <c r="C25" s="20" t="s">
        <v>165</v>
      </c>
      <c r="D25" s="20" t="s">
        <v>166</v>
      </c>
      <c r="E25" s="20" t="s">
        <v>167</v>
      </c>
      <c r="F25" s="20" t="s">
        <v>168</v>
      </c>
      <c r="G25" s="36" t="s">
        <v>169</v>
      </c>
      <c r="H25" s="20" t="s">
        <v>169</v>
      </c>
      <c r="I25" s="20" t="s">
        <v>170</v>
      </c>
      <c r="J25" s="20" t="s">
        <v>171</v>
      </c>
    </row>
    <row r="26" spans="2:11" x14ac:dyDescent="0.2">
      <c r="B26" s="20" t="s">
        <v>172</v>
      </c>
      <c r="C26" s="20">
        <v>4.1000000000000003E-3</v>
      </c>
      <c r="D26" s="20">
        <v>6.1999999999999998E-3</v>
      </c>
      <c r="E26" s="20">
        <v>5.4000000000000003E-3</v>
      </c>
      <c r="F26" s="20">
        <v>7.0000000000000001E-3</v>
      </c>
      <c r="G26" s="36">
        <v>6.0000000000000001E-3</v>
      </c>
      <c r="H26" s="20">
        <v>8.0000000000000002E-3</v>
      </c>
      <c r="I26" s="20">
        <v>1.03E-2</v>
      </c>
      <c r="J26" s="20">
        <v>0.01</v>
      </c>
    </row>
    <row r="27" spans="2:11" x14ac:dyDescent="0.2">
      <c r="B27" s="11" t="s">
        <v>177</v>
      </c>
      <c r="C27" s="7"/>
      <c r="D27" s="7"/>
      <c r="E27" s="7"/>
      <c r="F27" s="7"/>
      <c r="G27" s="7"/>
      <c r="H27" s="7"/>
      <c r="I27" s="2"/>
    </row>
    <row r="28" spans="2:11" x14ac:dyDescent="0.2">
      <c r="B28" s="37" t="s">
        <v>175</v>
      </c>
      <c r="C28" s="9"/>
      <c r="D28" s="9"/>
      <c r="E28" s="9"/>
      <c r="F28" s="9"/>
      <c r="G28" s="9"/>
      <c r="H28" s="9"/>
      <c r="I28" s="6"/>
    </row>
    <row r="29" spans="2:11" x14ac:dyDescent="0.2">
      <c r="B29" s="5" t="s">
        <v>176</v>
      </c>
      <c r="C29" s="9"/>
      <c r="D29" s="9"/>
      <c r="E29" s="9"/>
      <c r="F29" s="9"/>
      <c r="G29" s="9"/>
      <c r="H29" s="9"/>
      <c r="I29" s="6"/>
    </row>
    <row r="30" spans="2:11" x14ac:dyDescent="0.2">
      <c r="B30" s="37" t="s">
        <v>179</v>
      </c>
      <c r="C30" s="9"/>
      <c r="D30" s="9"/>
      <c r="E30" s="9"/>
      <c r="F30" s="9"/>
      <c r="G30" s="9"/>
      <c r="H30" s="9"/>
      <c r="I30" s="6"/>
    </row>
    <row r="31" spans="2:11" x14ac:dyDescent="0.2">
      <c r="B31" s="5"/>
      <c r="C31" s="9" t="s">
        <v>28</v>
      </c>
      <c r="D31" s="9" t="s">
        <v>32</v>
      </c>
      <c r="E31" s="9" t="s">
        <v>147</v>
      </c>
      <c r="F31" s="9"/>
      <c r="G31" s="9"/>
      <c r="H31" s="9"/>
      <c r="I31" s="6"/>
    </row>
    <row r="32" spans="2:11" x14ac:dyDescent="0.2">
      <c r="B32" s="5" t="s">
        <v>178</v>
      </c>
      <c r="C32" s="9">
        <f>COUNT(C26:F26)</f>
        <v>4</v>
      </c>
      <c r="D32" s="9">
        <f>AVERAGE(C26:F26)</f>
        <v>5.6749999999999995E-3</v>
      </c>
      <c r="E32" s="9">
        <f>_xlfn.VAR.S(C26:F26)</f>
        <v>1.5291666666666663E-6</v>
      </c>
      <c r="F32" s="9"/>
      <c r="G32" s="9"/>
      <c r="H32" s="9"/>
      <c r="I32" s="6"/>
    </row>
    <row r="33" spans="1:11" x14ac:dyDescent="0.2">
      <c r="B33" s="5" t="s">
        <v>174</v>
      </c>
      <c r="C33" s="9">
        <f>COUNT(G26:J26)</f>
        <v>4</v>
      </c>
      <c r="D33" s="9">
        <f>AVERAGE(G26:J26)</f>
        <v>8.575000000000001E-3</v>
      </c>
      <c r="E33" s="9">
        <f>_xlfn.VAR.S(G26:J26)</f>
        <v>3.9891666666666664E-6</v>
      </c>
      <c r="F33" s="9"/>
      <c r="G33" s="9"/>
      <c r="H33" s="9"/>
      <c r="I33" s="6"/>
    </row>
    <row r="34" spans="1:11" x14ac:dyDescent="0.2">
      <c r="B34" s="37" t="s">
        <v>180</v>
      </c>
      <c r="C34" s="9"/>
      <c r="D34" s="9"/>
      <c r="E34" s="9"/>
      <c r="F34" s="9"/>
      <c r="G34" s="9"/>
      <c r="H34" s="9"/>
      <c r="I34" s="6"/>
    </row>
    <row r="35" spans="1:11" x14ac:dyDescent="0.2">
      <c r="B35" s="5" t="s">
        <v>181</v>
      </c>
      <c r="C35" s="9">
        <f>(D32-D33)/(SQRT((C32*E32+C33*E33)/(C32+C33-2))*SQRT(1/C32+1/C33))</f>
        <v>-2.1382311892179131</v>
      </c>
      <c r="D35" s="9"/>
      <c r="E35" s="9"/>
      <c r="F35" s="9"/>
      <c r="G35" s="9"/>
      <c r="H35" s="9"/>
      <c r="I35" s="6"/>
    </row>
    <row r="36" spans="1:11" x14ac:dyDescent="0.2">
      <c r="B36" s="37" t="s">
        <v>183</v>
      </c>
      <c r="C36" s="9"/>
      <c r="D36" s="9"/>
      <c r="E36" s="9"/>
      <c r="F36" s="9"/>
      <c r="G36" s="9"/>
      <c r="H36" s="9"/>
      <c r="I36" s="6"/>
    </row>
    <row r="37" spans="1:11" x14ac:dyDescent="0.2">
      <c r="B37" s="5" t="s">
        <v>152</v>
      </c>
      <c r="C37" s="9">
        <f>C32+C33-2</f>
        <v>6</v>
      </c>
      <c r="D37" s="9"/>
      <c r="E37" s="9"/>
      <c r="F37" s="9"/>
      <c r="G37" s="9"/>
      <c r="H37" s="9"/>
      <c r="I37" s="6"/>
    </row>
    <row r="38" spans="1:11" x14ac:dyDescent="0.2">
      <c r="B38" s="5" t="s">
        <v>153</v>
      </c>
      <c r="C38" s="9">
        <v>0.1</v>
      </c>
      <c r="D38" s="9"/>
      <c r="E38" s="9"/>
      <c r="F38" s="9"/>
      <c r="G38" s="9"/>
      <c r="H38" s="9"/>
      <c r="I38" s="6"/>
    </row>
    <row r="39" spans="1:11" x14ac:dyDescent="0.2">
      <c r="B39" s="5" t="s">
        <v>184</v>
      </c>
      <c r="C39" s="9">
        <f>TINV(C38,C37)</f>
        <v>1.9431802805153031</v>
      </c>
      <c r="D39" s="9"/>
      <c r="E39" s="9"/>
      <c r="F39" s="9"/>
      <c r="G39" s="9"/>
      <c r="H39" s="9"/>
      <c r="I39" s="6"/>
    </row>
    <row r="40" spans="1:11" x14ac:dyDescent="0.2">
      <c r="B40" s="5" t="s">
        <v>182</v>
      </c>
      <c r="C40" s="9">
        <f>ABS(C35)</f>
        <v>2.1382311892179131</v>
      </c>
      <c r="D40" s="9"/>
      <c r="E40" s="9"/>
      <c r="F40" s="9"/>
      <c r="G40" s="9"/>
      <c r="H40" s="9"/>
      <c r="I40" s="6"/>
    </row>
    <row r="41" spans="1:11" x14ac:dyDescent="0.2">
      <c r="B41" s="3" t="s">
        <v>185</v>
      </c>
      <c r="C41" s="10" t="s">
        <v>186</v>
      </c>
      <c r="D41" s="10"/>
      <c r="E41" s="10"/>
      <c r="F41" s="10"/>
      <c r="G41" s="10"/>
      <c r="H41" s="10"/>
      <c r="I41" s="4"/>
    </row>
    <row r="44" spans="1:11" x14ac:dyDescent="0.2">
      <c r="A44" s="42" t="s">
        <v>187</v>
      </c>
      <c r="B44" s="42"/>
      <c r="C44" s="42"/>
      <c r="D44" s="42"/>
      <c r="E44" s="42"/>
      <c r="F44" s="42"/>
      <c r="G44" s="42"/>
      <c r="H44" s="42"/>
      <c r="I44" s="18"/>
      <c r="J44" s="18"/>
      <c r="K44" s="18"/>
    </row>
    <row r="45" spans="1:11" x14ac:dyDescent="0.2">
      <c r="A45" s="38" t="s">
        <v>188</v>
      </c>
      <c r="B45" s="39">
        <v>1</v>
      </c>
      <c r="C45" s="39">
        <v>2</v>
      </c>
      <c r="D45" s="39">
        <v>3</v>
      </c>
      <c r="E45" s="39">
        <v>4</v>
      </c>
      <c r="F45" s="39">
        <v>5</v>
      </c>
      <c r="G45" s="39">
        <v>6</v>
      </c>
      <c r="H45" s="39">
        <v>7</v>
      </c>
      <c r="I45" s="39">
        <v>8</v>
      </c>
      <c r="J45" s="39">
        <v>9</v>
      </c>
      <c r="K45" s="39">
        <v>10</v>
      </c>
    </row>
    <row r="46" spans="1:11" x14ac:dyDescent="0.2">
      <c r="A46" s="38" t="s">
        <v>189</v>
      </c>
      <c r="B46" s="39">
        <v>7</v>
      </c>
      <c r="C46" s="39">
        <v>3</v>
      </c>
      <c r="D46" s="39">
        <v>2</v>
      </c>
      <c r="E46" s="39">
        <v>4</v>
      </c>
      <c r="F46" s="39">
        <v>5</v>
      </c>
      <c r="G46" s="39">
        <v>6</v>
      </c>
      <c r="H46" s="39">
        <v>7</v>
      </c>
      <c r="I46" s="39">
        <v>5</v>
      </c>
      <c r="J46" s="39">
        <v>6</v>
      </c>
      <c r="K46" s="39">
        <v>4</v>
      </c>
    </row>
    <row r="47" spans="1:11" x14ac:dyDescent="0.2">
      <c r="A47" s="38" t="s">
        <v>190</v>
      </c>
      <c r="B47" s="39">
        <v>3</v>
      </c>
      <c r="C47" s="39">
        <v>6</v>
      </c>
      <c r="D47" s="39">
        <v>2</v>
      </c>
      <c r="E47" s="39">
        <v>2</v>
      </c>
      <c r="F47" s="39">
        <v>1</v>
      </c>
      <c r="G47" s="39">
        <v>4</v>
      </c>
      <c r="H47" s="39">
        <v>2</v>
      </c>
      <c r="I47" s="39">
        <v>6</v>
      </c>
      <c r="J47" s="39">
        <v>3</v>
      </c>
      <c r="K47" s="39">
        <v>1</v>
      </c>
    </row>
    <row r="48" spans="1:11" x14ac:dyDescent="0.2">
      <c r="A48" s="1" t="s">
        <v>191</v>
      </c>
      <c r="B48" s="7"/>
      <c r="C48" s="7"/>
      <c r="D48" s="2"/>
    </row>
    <row r="49" spans="1:11" x14ac:dyDescent="0.2">
      <c r="A49" s="5" t="s">
        <v>192</v>
      </c>
      <c r="B49" s="9"/>
      <c r="C49" s="9"/>
      <c r="D49" s="6"/>
    </row>
    <row r="50" spans="1:11" x14ac:dyDescent="0.2">
      <c r="A50" s="40" t="s">
        <v>193</v>
      </c>
      <c r="B50" s="9"/>
      <c r="C50" s="9"/>
      <c r="D50" s="6"/>
    </row>
    <row r="51" spans="1:11" x14ac:dyDescent="0.2">
      <c r="A51" s="5"/>
      <c r="B51" s="9" t="s">
        <v>28</v>
      </c>
      <c r="C51" s="9" t="s">
        <v>196</v>
      </c>
      <c r="D51" s="6" t="s">
        <v>147</v>
      </c>
    </row>
    <row r="52" spans="1:11" x14ac:dyDescent="0.2">
      <c r="A52" s="5" t="s">
        <v>194</v>
      </c>
      <c r="B52" s="9">
        <f>COUNT(B46:K46)</f>
        <v>10</v>
      </c>
      <c r="C52" s="9">
        <f>AVERAGE(B46:K46)</f>
        <v>4.9000000000000004</v>
      </c>
      <c r="D52" s="6">
        <f>_xlfn.VAR.S(B46:K46)</f>
        <v>2.7666666666666675</v>
      </c>
    </row>
    <row r="53" spans="1:11" x14ac:dyDescent="0.2">
      <c r="A53" s="5" t="s">
        <v>195</v>
      </c>
      <c r="B53" s="9">
        <f>COUNT(B47:K47)</f>
        <v>10</v>
      </c>
      <c r="C53" s="9">
        <f>AVERAGE(B47:K47)</f>
        <v>3</v>
      </c>
      <c r="D53" s="6">
        <f>_xlfn.VAR.S(B47:K47)</f>
        <v>3.3333333333333335</v>
      </c>
    </row>
    <row r="54" spans="1:11" x14ac:dyDescent="0.2">
      <c r="A54" s="5"/>
      <c r="B54" s="9"/>
      <c r="C54" s="9"/>
      <c r="D54" s="6"/>
    </row>
    <row r="55" spans="1:11" x14ac:dyDescent="0.2">
      <c r="A55" s="5" t="s">
        <v>197</v>
      </c>
      <c r="B55" s="9">
        <f>(C52-C53)/(SQRT((B52*D52+B53*D53)/(B52+B53-2))*SQRT(1/B52+1/B53))</f>
        <v>2.3078625410099107</v>
      </c>
      <c r="C55" s="9"/>
      <c r="D55" s="6"/>
    </row>
    <row r="56" spans="1:11" x14ac:dyDescent="0.2">
      <c r="A56" s="37" t="s">
        <v>198</v>
      </c>
      <c r="B56" s="9"/>
      <c r="C56" s="9"/>
      <c r="D56" s="6"/>
    </row>
    <row r="57" spans="1:11" x14ac:dyDescent="0.2">
      <c r="A57" s="5" t="s">
        <v>182</v>
      </c>
      <c r="B57" s="9">
        <f>ABS(B55)</f>
        <v>2.3078625410099107</v>
      </c>
      <c r="C57" s="9"/>
      <c r="D57" s="6"/>
    </row>
    <row r="58" spans="1:11" x14ac:dyDescent="0.2">
      <c r="A58" s="5" t="s">
        <v>153</v>
      </c>
      <c r="B58" s="9">
        <v>0.1</v>
      </c>
      <c r="C58" s="9"/>
      <c r="D58" s="6"/>
    </row>
    <row r="59" spans="1:11" x14ac:dyDescent="0.2">
      <c r="A59" s="5" t="s">
        <v>152</v>
      </c>
      <c r="B59" s="9">
        <f>B52+B53-2</f>
        <v>18</v>
      </c>
      <c r="C59" s="9"/>
      <c r="D59" s="6"/>
    </row>
    <row r="60" spans="1:11" x14ac:dyDescent="0.2">
      <c r="A60" s="5" t="s">
        <v>184</v>
      </c>
      <c r="B60" s="9">
        <f>TINV(B58,B59)</f>
        <v>1.7340636066175394</v>
      </c>
      <c r="C60" s="9"/>
      <c r="D60" s="6"/>
    </row>
    <row r="61" spans="1:11" x14ac:dyDescent="0.2">
      <c r="A61" s="3" t="s">
        <v>185</v>
      </c>
      <c r="B61" s="10" t="s">
        <v>199</v>
      </c>
      <c r="C61" s="10"/>
      <c r="D61" s="4"/>
    </row>
    <row r="64" spans="1:11" x14ac:dyDescent="0.2">
      <c r="A64" s="42" t="s">
        <v>200</v>
      </c>
      <c r="B64" s="42"/>
      <c r="C64" s="18"/>
      <c r="D64" s="18"/>
      <c r="E64" s="18"/>
      <c r="F64" s="18"/>
      <c r="H64" s="1" t="s">
        <v>213</v>
      </c>
      <c r="I64" s="7"/>
      <c r="J64" s="7"/>
      <c r="K64" s="2"/>
    </row>
    <row r="65" spans="1:12" x14ac:dyDescent="0.2">
      <c r="A65" s="38"/>
      <c r="B65" s="38" t="s">
        <v>201</v>
      </c>
      <c r="C65" s="38" t="s">
        <v>202</v>
      </c>
      <c r="D65" s="38" t="s">
        <v>203</v>
      </c>
      <c r="E65" s="38" t="s">
        <v>204</v>
      </c>
      <c r="F65" s="38" t="s">
        <v>205</v>
      </c>
      <c r="H65" s="5"/>
      <c r="I65" s="9"/>
      <c r="J65" s="9"/>
      <c r="K65" s="6"/>
    </row>
    <row r="66" spans="1:12" x14ac:dyDescent="0.2">
      <c r="A66" s="38" t="s">
        <v>206</v>
      </c>
      <c r="B66" s="38">
        <v>31</v>
      </c>
      <c r="C66" s="38">
        <v>0.2</v>
      </c>
      <c r="D66" s="38">
        <v>16.7</v>
      </c>
      <c r="E66" s="38">
        <v>47.4</v>
      </c>
      <c r="F66" s="38">
        <v>4.7</v>
      </c>
      <c r="H66" s="5"/>
      <c r="I66" s="9"/>
      <c r="J66" s="9"/>
      <c r="K66" s="6"/>
    </row>
    <row r="67" spans="1:12" x14ac:dyDescent="0.2">
      <c r="A67" s="38" t="s">
        <v>207</v>
      </c>
      <c r="B67" s="38">
        <v>26.5</v>
      </c>
      <c r="C67" s="38">
        <v>0.2</v>
      </c>
      <c r="D67" s="38">
        <v>20.2</v>
      </c>
      <c r="E67" s="38">
        <v>52.5</v>
      </c>
      <c r="F67" s="38">
        <v>0.6</v>
      </c>
      <c r="H67" s="5"/>
      <c r="I67" s="9"/>
      <c r="J67" s="9"/>
      <c r="K67" s="6"/>
    </row>
    <row r="68" spans="1:12" x14ac:dyDescent="0.2">
      <c r="A68" s="38" t="s">
        <v>208</v>
      </c>
      <c r="B68" s="38">
        <v>46.3</v>
      </c>
      <c r="C68" s="38">
        <v>0.6</v>
      </c>
      <c r="D68" s="38">
        <v>15.6</v>
      </c>
      <c r="E68" s="38">
        <v>34</v>
      </c>
      <c r="F68" s="38">
        <v>3.5</v>
      </c>
      <c r="H68" s="5"/>
      <c r="I68" s="9"/>
      <c r="J68" s="9"/>
      <c r="K68" s="6"/>
    </row>
    <row r="69" spans="1:12" x14ac:dyDescent="0.2">
      <c r="A69" s="18"/>
      <c r="B69" s="18"/>
      <c r="C69" s="18"/>
      <c r="D69" s="18"/>
      <c r="E69" s="18"/>
      <c r="F69" s="18"/>
      <c r="H69" s="3"/>
      <c r="I69" s="10"/>
      <c r="J69" s="10"/>
      <c r="K69" s="4"/>
    </row>
    <row r="70" spans="1:12" x14ac:dyDescent="0.2">
      <c r="A70" s="43" t="s">
        <v>209</v>
      </c>
      <c r="B70" s="43"/>
      <c r="C70" s="43"/>
      <c r="D70" s="43"/>
      <c r="E70" s="43"/>
      <c r="F70" s="43"/>
    </row>
    <row r="72" spans="1:12" x14ac:dyDescent="0.2">
      <c r="A72" s="1" t="s">
        <v>210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2"/>
    </row>
    <row r="73" spans="1:12" x14ac:dyDescent="0.2">
      <c r="A73" s="5" t="s">
        <v>211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6"/>
    </row>
    <row r="74" spans="1:12" x14ac:dyDescent="0.2">
      <c r="A74" s="5" t="s">
        <v>212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6"/>
    </row>
    <row r="75" spans="1:12" x14ac:dyDescent="0.2">
      <c r="A75" s="37" t="s">
        <v>193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6"/>
    </row>
    <row r="76" spans="1:12" x14ac:dyDescent="0.2">
      <c r="A76" s="5" t="s">
        <v>214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6"/>
    </row>
    <row r="77" spans="1:12" x14ac:dyDescent="0.2">
      <c r="A77" s="5"/>
      <c r="B77" s="9" t="s">
        <v>218</v>
      </c>
      <c r="C77" s="9" t="s">
        <v>217</v>
      </c>
      <c r="D77" s="9" t="s">
        <v>219</v>
      </c>
      <c r="E77" s="9" t="s">
        <v>220</v>
      </c>
      <c r="F77" s="9" t="s">
        <v>221</v>
      </c>
      <c r="G77" s="9" t="s">
        <v>222</v>
      </c>
      <c r="H77" s="9" t="s">
        <v>28</v>
      </c>
      <c r="I77" s="9"/>
      <c r="J77" s="9"/>
      <c r="K77" s="9"/>
      <c r="L77" s="6"/>
    </row>
    <row r="78" spans="1:12" x14ac:dyDescent="0.2">
      <c r="A78" s="5" t="s">
        <v>215</v>
      </c>
      <c r="B78" s="9">
        <f>(B67-B66)^2/B66</f>
        <v>0.65322580645161288</v>
      </c>
      <c r="C78" s="9">
        <f>(C67-C66)^2/C66</f>
        <v>0</v>
      </c>
      <c r="D78" s="9">
        <f t="shared" ref="D78:F78" si="0">(D67-D66)^2/D66</f>
        <v>0.73353293413173659</v>
      </c>
      <c r="E78" s="9">
        <f t="shared" si="0"/>
        <v>0.54873417721519024</v>
      </c>
      <c r="F78" s="9">
        <f t="shared" si="0"/>
        <v>3.5765957446808523</v>
      </c>
      <c r="G78" s="9">
        <f>SUM(B78:F78)</f>
        <v>5.5120886624793926</v>
      </c>
      <c r="H78" s="9">
        <f>COUNT(B67:F67)</f>
        <v>5</v>
      </c>
      <c r="I78" s="9"/>
      <c r="J78" s="9"/>
      <c r="K78" s="9"/>
      <c r="L78" s="6"/>
    </row>
    <row r="79" spans="1:12" x14ac:dyDescent="0.2">
      <c r="A79" s="5" t="s">
        <v>216</v>
      </c>
      <c r="B79" s="9">
        <f>(B68-B66)^2/B66</f>
        <v>7.5512903225806429</v>
      </c>
      <c r="C79" s="9">
        <f t="shared" ref="C79:F79" si="1">(C68-C66)^2/C66</f>
        <v>0.79999999999999982</v>
      </c>
      <c r="D79" s="9">
        <f t="shared" si="1"/>
        <v>7.2455089820359239E-2</v>
      </c>
      <c r="E79" s="9">
        <f t="shared" si="1"/>
        <v>3.7881856540084384</v>
      </c>
      <c r="F79" s="9">
        <f t="shared" si="1"/>
        <v>0.30638297872340431</v>
      </c>
      <c r="G79" s="9">
        <f>SUM(B79:F79)</f>
        <v>12.518314045132843</v>
      </c>
      <c r="H79" s="9">
        <f>COUNT(B68:F68)</f>
        <v>5</v>
      </c>
      <c r="I79" s="9"/>
      <c r="J79" s="9"/>
      <c r="K79" s="9"/>
      <c r="L79" s="6"/>
    </row>
    <row r="80" spans="1:12" x14ac:dyDescent="0.2">
      <c r="A80" s="37" t="s">
        <v>198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6"/>
    </row>
    <row r="81" spans="1:12" x14ac:dyDescent="0.2">
      <c r="A81" s="5"/>
      <c r="B81" s="9" t="s">
        <v>152</v>
      </c>
      <c r="C81" s="9" t="s">
        <v>153</v>
      </c>
      <c r="D81" s="9" t="s">
        <v>223</v>
      </c>
      <c r="E81" s="9" t="s">
        <v>224</v>
      </c>
      <c r="F81" s="9"/>
      <c r="G81" s="9"/>
      <c r="H81" s="9"/>
      <c r="I81" s="9"/>
      <c r="J81" s="9"/>
      <c r="K81" s="9"/>
      <c r="L81" s="6"/>
    </row>
    <row r="82" spans="1:12" x14ac:dyDescent="0.2">
      <c r="A82" s="5" t="s">
        <v>215</v>
      </c>
      <c r="B82" s="9">
        <f>H78-1</f>
        <v>4</v>
      </c>
      <c r="C82" s="9">
        <f>0.05</f>
        <v>0.05</v>
      </c>
      <c r="D82" s="9">
        <v>9.4879999999999995</v>
      </c>
      <c r="E82" s="9" t="s">
        <v>226</v>
      </c>
      <c r="F82" s="9"/>
      <c r="G82" s="9"/>
      <c r="H82" s="9"/>
      <c r="I82" s="9"/>
      <c r="J82" s="9"/>
      <c r="K82" s="9"/>
      <c r="L82" s="6"/>
    </row>
    <row r="83" spans="1:12" x14ac:dyDescent="0.2">
      <c r="A83" s="5" t="s">
        <v>216</v>
      </c>
      <c r="B83" s="9">
        <f>H79-1</f>
        <v>4</v>
      </c>
      <c r="C83" s="9">
        <f>0.05</f>
        <v>0.05</v>
      </c>
      <c r="D83" s="9">
        <v>9.4879999999999995</v>
      </c>
      <c r="E83" s="9" t="s">
        <v>225</v>
      </c>
      <c r="F83" s="9"/>
      <c r="G83" s="9"/>
      <c r="H83" s="9"/>
      <c r="I83" s="9"/>
      <c r="J83" s="9"/>
      <c r="K83" s="9"/>
      <c r="L83" s="6"/>
    </row>
    <row r="84" spans="1:12" x14ac:dyDescent="0.2">
      <c r="A84" s="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4"/>
    </row>
  </sheetData>
  <mergeCells count="4">
    <mergeCell ref="B23:J23"/>
    <mergeCell ref="A44:H44"/>
    <mergeCell ref="A64:B64"/>
    <mergeCell ref="A70:F7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E081-82A3-47B4-A744-2C4D3596ECAA}">
  <dimension ref="A1:J101"/>
  <sheetViews>
    <sheetView topLeftCell="A16" workbookViewId="0">
      <selection activeCell="I35" sqref="I35"/>
    </sheetView>
  </sheetViews>
  <sheetFormatPr defaultRowHeight="14.25" x14ac:dyDescent="0.2"/>
  <cols>
    <col min="5" max="5" width="13.375" customWidth="1"/>
    <col min="9" max="9" width="15.25" customWidth="1"/>
  </cols>
  <sheetData>
    <row r="1" spans="1:10" x14ac:dyDescent="0.2">
      <c r="A1" s="18" t="s">
        <v>227</v>
      </c>
      <c r="C1" s="24" t="s">
        <v>210</v>
      </c>
      <c r="F1" s="24" t="s">
        <v>213</v>
      </c>
    </row>
    <row r="2" spans="1:10" x14ac:dyDescent="0.2">
      <c r="A2" s="18">
        <v>1101.9000000000001</v>
      </c>
      <c r="C2" t="s">
        <v>228</v>
      </c>
    </row>
    <row r="3" spans="1:10" x14ac:dyDescent="0.2">
      <c r="A3" s="18">
        <v>947.1</v>
      </c>
      <c r="C3" s="24" t="s">
        <v>229</v>
      </c>
    </row>
    <row r="4" spans="1:10" x14ac:dyDescent="0.2">
      <c r="A4" s="18">
        <v>1008.6</v>
      </c>
      <c r="C4" t="s">
        <v>28</v>
      </c>
      <c r="D4">
        <f>COUNT(A2:A101)</f>
        <v>100</v>
      </c>
      <c r="G4" t="s">
        <v>17</v>
      </c>
      <c r="H4" t="s">
        <v>18</v>
      </c>
      <c r="I4" t="s">
        <v>20</v>
      </c>
      <c r="J4" t="s">
        <v>234</v>
      </c>
    </row>
    <row r="5" spans="1:10" x14ac:dyDescent="0.2">
      <c r="A5" s="18">
        <v>1115.8</v>
      </c>
      <c r="C5" t="s">
        <v>59</v>
      </c>
      <c r="D5">
        <f>MAX(A2:A101)</f>
        <v>1806.3</v>
      </c>
      <c r="G5">
        <f>D11</f>
        <v>640.41875000000005</v>
      </c>
      <c r="H5">
        <f t="shared" ref="H5:H13" si="0">G5+$D$9</f>
        <v>777.58125000000007</v>
      </c>
      <c r="I5">
        <f>SUMPRODUCT(($A$2:$A$101&gt;=G5)*($A$2:$A$101&lt;H5))</f>
        <v>2</v>
      </c>
      <c r="J5">
        <f>I5/$D$4</f>
        <v>0.02</v>
      </c>
    </row>
    <row r="6" spans="1:10" x14ac:dyDescent="0.2">
      <c r="A6" s="18">
        <v>1015.5</v>
      </c>
      <c r="C6" t="s">
        <v>60</v>
      </c>
      <c r="D6">
        <f>MIN(A2:A101)</f>
        <v>709</v>
      </c>
      <c r="G6">
        <f t="shared" ref="G6:G13" si="1">H5</f>
        <v>777.58125000000007</v>
      </c>
      <c r="H6">
        <f t="shared" si="0"/>
        <v>914.74375000000009</v>
      </c>
      <c r="I6">
        <f t="shared" ref="I6:I13" si="2">SUMPRODUCT(($A$2:$A$101&gt;=G6)*($A$2:$A$101&lt;H6))</f>
        <v>12</v>
      </c>
      <c r="J6">
        <f t="shared" ref="J6:J13" si="3">I6/$D$4</f>
        <v>0.12</v>
      </c>
    </row>
    <row r="7" spans="1:10" x14ac:dyDescent="0.2">
      <c r="A7" s="18">
        <v>1143.8</v>
      </c>
      <c r="C7" t="s">
        <v>230</v>
      </c>
      <c r="D7">
        <f>D5-D6</f>
        <v>1097.3</v>
      </c>
      <c r="G7">
        <f t="shared" si="1"/>
        <v>914.74375000000009</v>
      </c>
      <c r="H7">
        <f t="shared" si="0"/>
        <v>1051.90625</v>
      </c>
      <c r="I7">
        <f t="shared" si="2"/>
        <v>22</v>
      </c>
      <c r="J7">
        <f t="shared" si="3"/>
        <v>0.22</v>
      </c>
    </row>
    <row r="8" spans="1:10" x14ac:dyDescent="0.2">
      <c r="A8" s="18">
        <v>1140.7</v>
      </c>
      <c r="C8" t="s">
        <v>231</v>
      </c>
      <c r="D8">
        <f>ROUND(1+3.32*LOG10(D4),0)</f>
        <v>8</v>
      </c>
      <c r="G8">
        <f t="shared" si="1"/>
        <v>1051.90625</v>
      </c>
      <c r="H8">
        <f t="shared" si="0"/>
        <v>1189.0687499999999</v>
      </c>
      <c r="I8">
        <f t="shared" si="2"/>
        <v>25</v>
      </c>
      <c r="J8">
        <f t="shared" si="3"/>
        <v>0.25</v>
      </c>
    </row>
    <row r="9" spans="1:10" x14ac:dyDescent="0.2">
      <c r="A9" s="18">
        <v>1402.5</v>
      </c>
      <c r="C9" t="s">
        <v>232</v>
      </c>
      <c r="D9">
        <f>D7/D8</f>
        <v>137.16249999999999</v>
      </c>
      <c r="G9">
        <f t="shared" si="1"/>
        <v>1189.0687499999999</v>
      </c>
      <c r="H9">
        <f t="shared" si="0"/>
        <v>1326.2312499999998</v>
      </c>
      <c r="I9">
        <f t="shared" si="2"/>
        <v>24</v>
      </c>
      <c r="J9">
        <f t="shared" si="3"/>
        <v>0.24</v>
      </c>
    </row>
    <row r="10" spans="1:10" x14ac:dyDescent="0.2">
      <c r="A10" s="18">
        <v>1197.0999999999999</v>
      </c>
      <c r="C10" t="s">
        <v>233</v>
      </c>
      <c r="D10">
        <f>D8+1</f>
        <v>9</v>
      </c>
      <c r="G10">
        <f t="shared" si="1"/>
        <v>1326.2312499999998</v>
      </c>
      <c r="H10">
        <f t="shared" si="0"/>
        <v>1463.3937499999997</v>
      </c>
      <c r="I10">
        <f t="shared" si="2"/>
        <v>8</v>
      </c>
      <c r="J10">
        <f t="shared" si="3"/>
        <v>0.08</v>
      </c>
    </row>
    <row r="11" spans="1:10" x14ac:dyDescent="0.2">
      <c r="A11" s="18">
        <v>1107.5</v>
      </c>
      <c r="C11" t="s">
        <v>13</v>
      </c>
      <c r="D11">
        <f>D6-0.5*D9</f>
        <v>640.41875000000005</v>
      </c>
      <c r="G11">
        <f t="shared" si="1"/>
        <v>1463.3937499999997</v>
      </c>
      <c r="H11">
        <f t="shared" si="0"/>
        <v>1600.5562499999996</v>
      </c>
      <c r="I11">
        <f t="shared" si="2"/>
        <v>4</v>
      </c>
      <c r="J11">
        <f t="shared" si="3"/>
        <v>0.04</v>
      </c>
    </row>
    <row r="12" spans="1:10" x14ac:dyDescent="0.2">
      <c r="A12" s="18">
        <v>1340.2</v>
      </c>
      <c r="G12">
        <f t="shared" si="1"/>
        <v>1600.5562499999996</v>
      </c>
      <c r="H12">
        <f t="shared" si="0"/>
        <v>1737.7187499999995</v>
      </c>
      <c r="I12">
        <f t="shared" si="2"/>
        <v>2</v>
      </c>
      <c r="J12">
        <f t="shared" si="3"/>
        <v>0.02</v>
      </c>
    </row>
    <row r="13" spans="1:10" x14ac:dyDescent="0.2">
      <c r="A13" s="18">
        <v>1416</v>
      </c>
      <c r="G13">
        <f t="shared" si="1"/>
        <v>1737.7187499999995</v>
      </c>
      <c r="H13">
        <f t="shared" si="0"/>
        <v>1874.8812499999995</v>
      </c>
      <c r="I13">
        <f t="shared" si="2"/>
        <v>1</v>
      </c>
      <c r="J13">
        <f t="shared" si="3"/>
        <v>0.01</v>
      </c>
    </row>
    <row r="14" spans="1:10" x14ac:dyDescent="0.2">
      <c r="A14" s="18">
        <v>1063.8</v>
      </c>
    </row>
    <row r="15" spans="1:10" x14ac:dyDescent="0.2">
      <c r="A15" s="18">
        <v>1217.5</v>
      </c>
      <c r="C15" s="24" t="s">
        <v>235</v>
      </c>
    </row>
    <row r="16" spans="1:10" x14ac:dyDescent="0.2">
      <c r="A16" s="18">
        <v>1507.1</v>
      </c>
      <c r="C16" t="s">
        <v>237</v>
      </c>
      <c r="D16">
        <f>AVERAGE(A2:A101)</f>
        <v>1140.4879999999994</v>
      </c>
    </row>
    <row r="17" spans="1:9" x14ac:dyDescent="0.2">
      <c r="A17" s="18">
        <v>1602</v>
      </c>
      <c r="C17" t="s">
        <v>236</v>
      </c>
      <c r="D17">
        <f>_xlfn.STDEV.S(A2:A101)</f>
        <v>203.54666567416996</v>
      </c>
    </row>
    <row r="18" spans="1:9" x14ac:dyDescent="0.2">
      <c r="A18" s="18">
        <v>1659.3</v>
      </c>
    </row>
    <row r="19" spans="1:9" x14ac:dyDescent="0.2">
      <c r="A19" s="18">
        <v>1256.0999999999999</v>
      </c>
      <c r="C19" t="s">
        <v>16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</row>
    <row r="20" spans="1:9" x14ac:dyDescent="0.2">
      <c r="A20" s="18">
        <v>1143</v>
      </c>
      <c r="C20">
        <v>1</v>
      </c>
      <c r="D20">
        <f>(G5-$D$16)/$D$17</f>
        <v>-2.456779374615214</v>
      </c>
      <c r="E20">
        <f>NORMSDIST(D20)</f>
        <v>7.0094375989241961E-3</v>
      </c>
      <c r="F20">
        <f>E21-E20</f>
        <v>3.0290494272639044E-2</v>
      </c>
      <c r="G20">
        <f>$D$4*F20</f>
        <v>3.0290494272639044</v>
      </c>
      <c r="H20">
        <f>I5</f>
        <v>2</v>
      </c>
      <c r="I20">
        <f>(G20-H20)^2/H20</f>
        <v>0.52947136187608479</v>
      </c>
    </row>
    <row r="21" spans="1:9" x14ac:dyDescent="0.2">
      <c r="A21" s="18">
        <v>911.4</v>
      </c>
      <c r="C21">
        <v>2</v>
      </c>
      <c r="D21">
        <f t="shared" ref="D21:D28" si="4">(G6-$D$16)/$D$17</f>
        <v>-1.7829167026539612</v>
      </c>
      <c r="E21">
        <f t="shared" ref="E21:E29" si="5">NORMSDIST(D21)</f>
        <v>3.729993187156324E-2</v>
      </c>
      <c r="F21">
        <f t="shared" ref="F21:F28" si="6">E22-E21</f>
        <v>9.6403505192732164E-2</v>
      </c>
      <c r="G21">
        <f t="shared" ref="G21:G26" si="7">$D$4*F21</f>
        <v>9.6403505192732162</v>
      </c>
      <c r="H21">
        <f t="shared" ref="H21:H28" si="8">I6</f>
        <v>12</v>
      </c>
      <c r="I21">
        <f t="shared" ref="I21:I26" si="9">(G21-H21)^2/H21</f>
        <v>0.46399547265784835</v>
      </c>
    </row>
    <row r="22" spans="1:9" x14ac:dyDescent="0.2">
      <c r="A22" s="18">
        <v>1331</v>
      </c>
      <c r="C22">
        <v>3</v>
      </c>
      <c r="D22">
        <f t="shared" si="4"/>
        <v>-1.1090540306927081</v>
      </c>
      <c r="E22">
        <f t="shared" si="5"/>
        <v>0.13370343706429541</v>
      </c>
      <c r="F22">
        <f t="shared" si="6"/>
        <v>0.19800833011929644</v>
      </c>
      <c r="G22">
        <f t="shared" si="7"/>
        <v>19.800833011929644</v>
      </c>
      <c r="H22">
        <f t="shared" si="8"/>
        <v>22</v>
      </c>
      <c r="I22">
        <f t="shared" si="9"/>
        <v>0.21983342915538373</v>
      </c>
    </row>
    <row r="23" spans="1:9" x14ac:dyDescent="0.2">
      <c r="A23" s="18">
        <v>709</v>
      </c>
      <c r="C23">
        <v>4</v>
      </c>
      <c r="D23">
        <f t="shared" si="4"/>
        <v>-0.4351913587314557</v>
      </c>
      <c r="E23">
        <f t="shared" si="5"/>
        <v>0.33171176718359185</v>
      </c>
      <c r="F23">
        <f t="shared" si="6"/>
        <v>0.26260800147241892</v>
      </c>
      <c r="G23">
        <f t="shared" si="7"/>
        <v>26.260800147241891</v>
      </c>
      <c r="H23">
        <f t="shared" si="8"/>
        <v>25</v>
      </c>
      <c r="I23">
        <f t="shared" si="9"/>
        <v>6.3584680451406986E-2</v>
      </c>
    </row>
    <row r="24" spans="1:9" x14ac:dyDescent="0.2">
      <c r="A24" s="18">
        <v>1004.9</v>
      </c>
      <c r="C24">
        <v>5</v>
      </c>
      <c r="D24">
        <f t="shared" si="4"/>
        <v>0.23867131322979673</v>
      </c>
      <c r="E24">
        <f t="shared" si="5"/>
        <v>0.59431976865601077</v>
      </c>
      <c r="F24">
        <f t="shared" si="6"/>
        <v>0.22493638753510892</v>
      </c>
      <c r="G24">
        <f t="shared" si="7"/>
        <v>22.493638753510893</v>
      </c>
      <c r="H24">
        <f t="shared" si="8"/>
        <v>24</v>
      </c>
      <c r="I24">
        <f t="shared" si="9"/>
        <v>9.4546841871842272E-2</v>
      </c>
    </row>
    <row r="25" spans="1:9" x14ac:dyDescent="0.2">
      <c r="A25" s="18">
        <v>1320.7</v>
      </c>
      <c r="C25">
        <v>6</v>
      </c>
      <c r="D25">
        <f t="shared" si="4"/>
        <v>0.91253398519104911</v>
      </c>
      <c r="E25">
        <f t="shared" si="5"/>
        <v>0.81925615619111969</v>
      </c>
      <c r="F25">
        <f t="shared" si="6"/>
        <v>0.12441916467887881</v>
      </c>
      <c r="G25">
        <f t="shared" si="7"/>
        <v>12.441916467887882</v>
      </c>
      <c r="H25">
        <f t="shared" si="8"/>
        <v>8</v>
      </c>
      <c r="I25">
        <f t="shared" si="9"/>
        <v>2.4663277384616951</v>
      </c>
    </row>
    <row r="26" spans="1:9" x14ac:dyDescent="0.2">
      <c r="A26" s="18">
        <v>1159.5999999999999</v>
      </c>
      <c r="C26">
        <v>7</v>
      </c>
      <c r="D26">
        <f t="shared" si="4"/>
        <v>1.5863966571523016</v>
      </c>
      <c r="E26">
        <f t="shared" si="5"/>
        <v>0.9436753208699985</v>
      </c>
      <c r="F26">
        <f t="shared" si="6"/>
        <v>4.4422098837048285E-2</v>
      </c>
      <c r="G26">
        <f t="shared" si="7"/>
        <v>4.4422098837048285</v>
      </c>
      <c r="H26">
        <f t="shared" si="8"/>
        <v>4</v>
      </c>
      <c r="I26">
        <f t="shared" si="9"/>
        <v>4.8887395311559487E-2</v>
      </c>
    </row>
    <row r="27" spans="1:9" x14ac:dyDescent="0.2">
      <c r="A27" s="18">
        <v>951.4</v>
      </c>
      <c r="C27">
        <v>8</v>
      </c>
      <c r="D27">
        <f t="shared" si="4"/>
        <v>2.2602593291135542</v>
      </c>
      <c r="E27">
        <f t="shared" si="5"/>
        <v>0.98809741970704679</v>
      </c>
      <c r="F27">
        <f t="shared" si="6"/>
        <v>1.0230116780438392E-2</v>
      </c>
      <c r="G27">
        <f>$D$4*F27</f>
        <v>1.0230116780438392</v>
      </c>
      <c r="H27">
        <f t="shared" si="8"/>
        <v>2</v>
      </c>
      <c r="I27">
        <f>(G27-H27)^2/H27</f>
        <v>0.47725309061935745</v>
      </c>
    </row>
    <row r="28" spans="1:9" x14ac:dyDescent="0.2">
      <c r="A28" s="18">
        <v>942.7</v>
      </c>
      <c r="C28">
        <v>9</v>
      </c>
      <c r="D28">
        <f t="shared" si="4"/>
        <v>2.9341220010748064</v>
      </c>
      <c r="E28">
        <f t="shared" si="5"/>
        <v>0.99832753648748518</v>
      </c>
      <c r="F28">
        <f t="shared" si="6"/>
        <v>1.5181711551578436E-3</v>
      </c>
      <c r="G28">
        <f>$D$4*F28</f>
        <v>0.15181711551578436</v>
      </c>
      <c r="H28">
        <f t="shared" si="8"/>
        <v>1</v>
      </c>
      <c r="I28">
        <f>(G28-H28)^2/H28</f>
        <v>0.71941420553196433</v>
      </c>
    </row>
    <row r="29" spans="1:9" x14ac:dyDescent="0.2">
      <c r="A29" s="18">
        <v>1285.9000000000001</v>
      </c>
      <c r="D29">
        <f>(H13-$D$16)/$D$17</f>
        <v>3.607984673036059</v>
      </c>
      <c r="E29">
        <f t="shared" si="5"/>
        <v>0.99984570764264302</v>
      </c>
    </row>
    <row r="30" spans="1:9" x14ac:dyDescent="0.2">
      <c r="A30" s="18">
        <v>1018.8</v>
      </c>
      <c r="C30" s="24" t="s">
        <v>244</v>
      </c>
    </row>
    <row r="31" spans="1:9" x14ac:dyDescent="0.2">
      <c r="A31" s="18">
        <v>901.7</v>
      </c>
      <c r="C31" t="s">
        <v>222</v>
      </c>
      <c r="D31">
        <f>SUM(I20:I28)</f>
        <v>5.0833142159371425</v>
      </c>
    </row>
    <row r="32" spans="1:9" x14ac:dyDescent="0.2">
      <c r="A32" s="18">
        <v>947.8</v>
      </c>
      <c r="C32" t="s">
        <v>152</v>
      </c>
      <c r="D32">
        <f>COUNT(C20:C28)-2-1</f>
        <v>6</v>
      </c>
    </row>
    <row r="33" spans="1:4" x14ac:dyDescent="0.2">
      <c r="A33" s="18">
        <v>1085</v>
      </c>
      <c r="C33" t="s">
        <v>153</v>
      </c>
      <c r="D33">
        <v>0.05</v>
      </c>
    </row>
    <row r="34" spans="1:4" x14ac:dyDescent="0.2">
      <c r="A34" s="18">
        <v>1147.5</v>
      </c>
      <c r="C34" t="s">
        <v>223</v>
      </c>
      <c r="D34">
        <v>12.592000000000001</v>
      </c>
    </row>
    <row r="35" spans="1:4" x14ac:dyDescent="0.2">
      <c r="A35" s="18">
        <v>1086.2</v>
      </c>
      <c r="C35" t="s">
        <v>245</v>
      </c>
    </row>
    <row r="36" spans="1:4" x14ac:dyDescent="0.2">
      <c r="A36" s="18">
        <v>1078.0999999999999</v>
      </c>
    </row>
    <row r="37" spans="1:4" x14ac:dyDescent="0.2">
      <c r="A37" s="18">
        <v>1021.3</v>
      </c>
    </row>
    <row r="38" spans="1:4" x14ac:dyDescent="0.2">
      <c r="A38" s="18">
        <v>1002.5</v>
      </c>
    </row>
    <row r="39" spans="1:4" x14ac:dyDescent="0.2">
      <c r="A39" s="18">
        <v>1123.3</v>
      </c>
    </row>
    <row r="40" spans="1:4" x14ac:dyDescent="0.2">
      <c r="A40" s="18">
        <v>984.8</v>
      </c>
    </row>
    <row r="41" spans="1:4" x14ac:dyDescent="0.2">
      <c r="A41" s="18">
        <v>1243.7</v>
      </c>
    </row>
    <row r="42" spans="1:4" x14ac:dyDescent="0.2">
      <c r="A42" s="18">
        <v>1806.3</v>
      </c>
    </row>
    <row r="43" spans="1:4" x14ac:dyDescent="0.2">
      <c r="A43" s="18">
        <v>1184.4000000000001</v>
      </c>
    </row>
    <row r="44" spans="1:4" x14ac:dyDescent="0.2">
      <c r="A44" s="18">
        <v>935</v>
      </c>
    </row>
    <row r="45" spans="1:4" x14ac:dyDescent="0.2">
      <c r="A45" s="18">
        <v>1022.5</v>
      </c>
    </row>
    <row r="46" spans="1:4" x14ac:dyDescent="0.2">
      <c r="A46" s="18">
        <v>1203.4000000000001</v>
      </c>
    </row>
    <row r="47" spans="1:4" x14ac:dyDescent="0.2">
      <c r="A47" s="18">
        <v>986.1</v>
      </c>
    </row>
    <row r="48" spans="1:4" x14ac:dyDescent="0.2">
      <c r="A48" s="18">
        <v>859.4</v>
      </c>
    </row>
    <row r="49" spans="1:1" x14ac:dyDescent="0.2">
      <c r="A49" s="18">
        <v>910.2</v>
      </c>
    </row>
    <row r="50" spans="1:1" x14ac:dyDescent="0.2">
      <c r="A50" s="18">
        <v>1195</v>
      </c>
    </row>
    <row r="51" spans="1:1" x14ac:dyDescent="0.2">
      <c r="A51" s="18">
        <v>909.3</v>
      </c>
    </row>
    <row r="52" spans="1:1" x14ac:dyDescent="0.2">
      <c r="A52" s="18">
        <v>1588.1</v>
      </c>
    </row>
    <row r="53" spans="1:1" x14ac:dyDescent="0.2">
      <c r="A53" s="18">
        <v>1113.4000000000001</v>
      </c>
    </row>
    <row r="54" spans="1:1" x14ac:dyDescent="0.2">
      <c r="A54" s="18">
        <v>1016.3</v>
      </c>
    </row>
    <row r="55" spans="1:1" x14ac:dyDescent="0.2">
      <c r="A55" s="18">
        <v>1330.9</v>
      </c>
    </row>
    <row r="56" spans="1:1" x14ac:dyDescent="0.2">
      <c r="A56" s="18">
        <v>1480</v>
      </c>
    </row>
    <row r="57" spans="1:1" x14ac:dyDescent="0.2">
      <c r="A57" s="18">
        <v>794.7</v>
      </c>
    </row>
    <row r="58" spans="1:1" x14ac:dyDescent="0.2">
      <c r="A58" s="18">
        <v>870.6</v>
      </c>
    </row>
    <row r="59" spans="1:1" x14ac:dyDescent="0.2">
      <c r="A59" s="18">
        <v>1405</v>
      </c>
    </row>
    <row r="60" spans="1:1" x14ac:dyDescent="0.2">
      <c r="A60" s="18">
        <v>1062.3</v>
      </c>
    </row>
    <row r="61" spans="1:1" x14ac:dyDescent="0.2">
      <c r="A61" s="18">
        <v>1030.3</v>
      </c>
    </row>
    <row r="62" spans="1:1" x14ac:dyDescent="0.2">
      <c r="A62" s="18">
        <v>769.8</v>
      </c>
    </row>
    <row r="63" spans="1:1" x14ac:dyDescent="0.2">
      <c r="A63" s="18">
        <v>1204.9000000000001</v>
      </c>
    </row>
    <row r="64" spans="1:1" x14ac:dyDescent="0.2">
      <c r="A64" s="18">
        <v>1031.5999999999999</v>
      </c>
    </row>
    <row r="65" spans="1:1" x14ac:dyDescent="0.2">
      <c r="A65" s="18">
        <v>1439.4</v>
      </c>
    </row>
    <row r="66" spans="1:1" x14ac:dyDescent="0.2">
      <c r="A66" s="18">
        <v>1269.9000000000001</v>
      </c>
    </row>
    <row r="67" spans="1:1" x14ac:dyDescent="0.2">
      <c r="A67" s="18">
        <v>1131.5</v>
      </c>
    </row>
    <row r="68" spans="1:1" x14ac:dyDescent="0.2">
      <c r="A68" s="18">
        <v>912</v>
      </c>
    </row>
    <row r="69" spans="1:1" x14ac:dyDescent="0.2">
      <c r="A69" s="18">
        <v>1208.7</v>
      </c>
    </row>
    <row r="70" spans="1:1" x14ac:dyDescent="0.2">
      <c r="A70" s="18">
        <v>1287.3</v>
      </c>
    </row>
    <row r="71" spans="1:1" x14ac:dyDescent="0.2">
      <c r="A71" s="18">
        <v>1124.4000000000001</v>
      </c>
    </row>
    <row r="72" spans="1:1" x14ac:dyDescent="0.2">
      <c r="A72" s="18">
        <v>1008.9</v>
      </c>
    </row>
    <row r="73" spans="1:1" x14ac:dyDescent="0.2">
      <c r="A73" s="18">
        <v>1170.7</v>
      </c>
    </row>
    <row r="74" spans="1:1" x14ac:dyDescent="0.2">
      <c r="A74" s="18">
        <v>1105.7</v>
      </c>
    </row>
    <row r="75" spans="1:1" x14ac:dyDescent="0.2">
      <c r="A75" s="18">
        <v>1236.5</v>
      </c>
    </row>
    <row r="76" spans="1:1" x14ac:dyDescent="0.2">
      <c r="A76" s="18">
        <v>1049.2</v>
      </c>
    </row>
    <row r="77" spans="1:1" x14ac:dyDescent="0.2">
      <c r="A77" s="18">
        <v>1170.5999999999999</v>
      </c>
    </row>
    <row r="78" spans="1:1" x14ac:dyDescent="0.2">
      <c r="A78" s="18">
        <v>1025.2</v>
      </c>
    </row>
    <row r="79" spans="1:1" x14ac:dyDescent="0.2">
      <c r="A79" s="18">
        <v>1305.5</v>
      </c>
    </row>
    <row r="80" spans="1:1" x14ac:dyDescent="0.2">
      <c r="A80" s="18">
        <v>1477</v>
      </c>
    </row>
    <row r="81" spans="1:1" x14ac:dyDescent="0.2">
      <c r="A81" s="18">
        <v>811.4</v>
      </c>
    </row>
    <row r="82" spans="1:1" x14ac:dyDescent="0.2">
      <c r="A82" s="18">
        <v>1206.8</v>
      </c>
    </row>
    <row r="83" spans="1:1" x14ac:dyDescent="0.2">
      <c r="A83" s="18">
        <v>975.4</v>
      </c>
    </row>
    <row r="84" spans="1:1" x14ac:dyDescent="0.2">
      <c r="A84" s="18">
        <v>849.9</v>
      </c>
    </row>
    <row r="85" spans="1:1" x14ac:dyDescent="0.2">
      <c r="A85" s="18">
        <v>1088.0999999999999</v>
      </c>
    </row>
    <row r="86" spans="1:1" x14ac:dyDescent="0.2">
      <c r="A86" s="18">
        <v>1318.4</v>
      </c>
    </row>
    <row r="87" spans="1:1" x14ac:dyDescent="0.2">
      <c r="A87" s="18">
        <v>1161.7</v>
      </c>
    </row>
    <row r="88" spans="1:1" x14ac:dyDescent="0.2">
      <c r="A88" s="18">
        <v>1264.2</v>
      </c>
    </row>
    <row r="89" spans="1:1" x14ac:dyDescent="0.2">
      <c r="A89" s="18">
        <v>1167.2</v>
      </c>
    </row>
    <row r="90" spans="1:1" x14ac:dyDescent="0.2">
      <c r="A90" s="18">
        <v>1017</v>
      </c>
    </row>
    <row r="91" spans="1:1" x14ac:dyDescent="0.2">
      <c r="A91" s="18">
        <v>820.9</v>
      </c>
    </row>
    <row r="92" spans="1:1" x14ac:dyDescent="0.2">
      <c r="A92" s="18">
        <v>1271.4000000000001</v>
      </c>
    </row>
    <row r="93" spans="1:1" x14ac:dyDescent="0.2">
      <c r="A93" s="18">
        <v>1462.3</v>
      </c>
    </row>
    <row r="94" spans="1:1" x14ac:dyDescent="0.2">
      <c r="A94" s="18">
        <v>1233.4000000000001</v>
      </c>
    </row>
    <row r="95" spans="1:1" x14ac:dyDescent="0.2">
      <c r="A95" s="18">
        <v>1288.7</v>
      </c>
    </row>
    <row r="96" spans="1:1" x14ac:dyDescent="0.2">
      <c r="A96" s="18">
        <v>1191.8</v>
      </c>
    </row>
    <row r="97" spans="1:1" x14ac:dyDescent="0.2">
      <c r="A97" s="18">
        <v>791.2</v>
      </c>
    </row>
    <row r="98" spans="1:1" x14ac:dyDescent="0.2">
      <c r="A98" s="18">
        <v>1196.5</v>
      </c>
    </row>
    <row r="99" spans="1:1" x14ac:dyDescent="0.2">
      <c r="A99" s="18">
        <v>1255.9000000000001</v>
      </c>
    </row>
    <row r="100" spans="1:1" x14ac:dyDescent="0.2">
      <c r="A100" s="18">
        <v>1217.7</v>
      </c>
    </row>
    <row r="101" spans="1:1" x14ac:dyDescent="0.2">
      <c r="A101" s="18">
        <v>1184.0999999999999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  <vt:lpstr>时间序列</vt:lpstr>
      <vt:lpstr>统计假设检验</vt:lpstr>
      <vt:lpstr>统计假设检验2</vt:lpstr>
      <vt:lpstr>相关性分析</vt:lpstr>
      <vt:lpstr>多元线性回归</vt:lpstr>
      <vt:lpstr>聚类分析-最小距离法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2019-12-10T08:30:03Z</dcterms:modified>
</cp:coreProperties>
</file>