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76287605-D5BD-470F-83D7-0FF0CA798ABF}" xr6:coauthVersionLast="45" xr6:coauthVersionMax="45" xr10:uidLastSave="{00000000-0000-0000-0000-000000000000}"/>
  <bookViews>
    <workbookView xWindow="-120" yWindow="-120" windowWidth="20730" windowHeight="11760" tabRatio="924" activeTab="7" xr2:uid="{00000000-000D-0000-FFFF-FFFF00000000}"/>
  </bookViews>
  <sheets>
    <sheet name="统计分组" sheetId="2" r:id="rId1"/>
    <sheet name="统计指标计算" sheetId="3" r:id="rId2"/>
    <sheet name="空间布局测度" sheetId="4" r:id="rId3"/>
    <sheet name="最短路径问题" sheetId="5" r:id="rId4"/>
    <sheet name="服务点最优区位" sheetId="6" r:id="rId5"/>
    <sheet name="离散区域分布的测度-空间罗伦兹曲线" sheetId="7" r:id="rId6"/>
    <sheet name="时间序列" sheetId="8" r:id="rId7"/>
    <sheet name="统计假设检验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9" l="1"/>
  <c r="C37" i="9"/>
  <c r="C40" i="9"/>
  <c r="C35" i="9"/>
  <c r="C32" i="9"/>
  <c r="C33" i="9"/>
  <c r="D33" i="9"/>
  <c r="D32" i="9"/>
  <c r="E33" i="9"/>
  <c r="E32" i="9"/>
  <c r="G9" i="9" l="1"/>
  <c r="F9" i="9"/>
  <c r="G8" i="9"/>
  <c r="F8" i="9"/>
  <c r="G3" i="9"/>
  <c r="G15" i="9" s="1"/>
  <c r="F3" i="9"/>
  <c r="F15" i="9" s="1"/>
  <c r="F17" i="9" l="1"/>
  <c r="G12" i="9"/>
  <c r="F12" i="9"/>
  <c r="H30" i="8" l="1"/>
  <c r="H2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F2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2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B29" i="4" l="1"/>
  <c r="A24" i="4"/>
  <c r="B28" i="4"/>
  <c r="C41" i="4"/>
  <c r="B31" i="4"/>
  <c r="F42" i="7" l="1"/>
  <c r="F43" i="7" s="1"/>
  <c r="F44" i="7" s="1"/>
  <c r="F45" i="7" s="1"/>
  <c r="F46" i="7" s="1"/>
  <c r="F47" i="7" s="1"/>
  <c r="F48" i="7" s="1"/>
  <c r="F49" i="7" s="1"/>
  <c r="F50" i="7" s="1"/>
  <c r="F51" i="7" s="1"/>
  <c r="E42" i="7"/>
  <c r="E43" i="7" s="1"/>
  <c r="E44" i="7" s="1"/>
  <c r="E45" i="7" s="1"/>
  <c r="E46" i="7" s="1"/>
  <c r="E47" i="7" s="1"/>
  <c r="E48" i="7" s="1"/>
  <c r="E49" i="7" s="1"/>
  <c r="E50" i="7" s="1"/>
  <c r="E51" i="7" s="1"/>
  <c r="E30" i="7"/>
  <c r="E31" i="7" s="1"/>
  <c r="E32" i="7" s="1"/>
  <c r="E33" i="7" s="1"/>
  <c r="E34" i="7" s="1"/>
  <c r="E35" i="7" s="1"/>
  <c r="E36" i="7" s="1"/>
  <c r="E37" i="7" s="1"/>
  <c r="E38" i="7" s="1"/>
  <c r="F29" i="7"/>
  <c r="F30" i="7" s="1"/>
  <c r="F31" i="7" s="1"/>
  <c r="F32" i="7" s="1"/>
  <c r="F33" i="7" s="1"/>
  <c r="F34" i="7" s="1"/>
  <c r="F35" i="7" s="1"/>
  <c r="F36" i="7" s="1"/>
  <c r="F37" i="7" s="1"/>
  <c r="F38" i="7" s="1"/>
  <c r="E29" i="7"/>
  <c r="F41" i="7"/>
  <c r="E41" i="7"/>
  <c r="F28" i="7"/>
  <c r="E28" i="7"/>
  <c r="F15" i="7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E15" i="7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B10" i="7"/>
  <c r="B11" i="7"/>
  <c r="B9" i="7"/>
  <c r="M3" i="7"/>
  <c r="M4" i="7"/>
  <c r="M5" i="7"/>
  <c r="M2" i="7"/>
  <c r="K20" i="6" l="1"/>
  <c r="L18" i="6"/>
  <c r="M18" i="6"/>
  <c r="N18" i="6"/>
  <c r="O18" i="6"/>
  <c r="K18" i="6"/>
  <c r="AM24" i="5" l="1"/>
  <c r="AM23" i="5"/>
  <c r="AM22" i="5"/>
  <c r="AM21" i="5"/>
  <c r="AM20" i="5"/>
  <c r="AM19" i="5"/>
  <c r="AM18" i="5"/>
  <c r="AM16" i="5"/>
  <c r="AI24" i="5"/>
  <c r="AI23" i="5"/>
  <c r="AI22" i="5"/>
  <c r="AI21" i="5"/>
  <c r="AI20" i="5"/>
  <c r="AI19" i="5"/>
  <c r="AI18" i="5"/>
  <c r="AI16" i="5"/>
  <c r="AE24" i="5"/>
  <c r="AE23" i="5"/>
  <c r="AE22" i="5"/>
  <c r="AE21" i="5"/>
  <c r="AE20" i="5"/>
  <c r="AE19" i="5"/>
  <c r="AE18" i="5"/>
  <c r="AE16" i="5"/>
  <c r="AA23" i="5"/>
  <c r="AA24" i="5"/>
  <c r="AA22" i="5"/>
  <c r="AA21" i="5"/>
  <c r="AA20" i="5"/>
  <c r="AA19" i="5"/>
  <c r="AA18" i="5"/>
  <c r="AA16" i="5"/>
  <c r="W24" i="5"/>
  <c r="W21" i="5"/>
  <c r="W20" i="5"/>
  <c r="W19" i="5"/>
  <c r="W22" i="5"/>
  <c r="W18" i="5"/>
  <c r="W16" i="5"/>
  <c r="S20" i="5"/>
  <c r="S22" i="5"/>
  <c r="S18" i="5"/>
  <c r="S16" i="5"/>
  <c r="O22" i="5"/>
  <c r="O18" i="5"/>
  <c r="O16" i="5"/>
  <c r="K18" i="5"/>
  <c r="K16" i="5"/>
  <c r="G16" i="5"/>
  <c r="C37" i="4" l="1"/>
  <c r="D37" i="4"/>
  <c r="E37" i="4"/>
  <c r="F37" i="4"/>
  <c r="G37" i="4"/>
  <c r="H37" i="4"/>
  <c r="I37" i="4"/>
  <c r="J37" i="4"/>
  <c r="K37" i="4"/>
  <c r="B37" i="4"/>
  <c r="A41" i="4" s="1"/>
  <c r="I41" i="4" s="1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F30" i="4"/>
  <c r="G30" i="4"/>
  <c r="H30" i="4"/>
  <c r="I30" i="4"/>
  <c r="J30" i="4"/>
  <c r="K30" i="4"/>
  <c r="E31" i="4"/>
  <c r="G31" i="4"/>
  <c r="H31" i="4"/>
  <c r="I31" i="4"/>
  <c r="J31" i="4"/>
  <c r="K31" i="4"/>
  <c r="E32" i="4"/>
  <c r="F32" i="4"/>
  <c r="H32" i="4"/>
  <c r="I32" i="4"/>
  <c r="J32" i="4"/>
  <c r="K32" i="4"/>
  <c r="E33" i="4"/>
  <c r="F33" i="4"/>
  <c r="G33" i="4"/>
  <c r="I33" i="4"/>
  <c r="J33" i="4"/>
  <c r="K33" i="4"/>
  <c r="E34" i="4"/>
  <c r="F34" i="4"/>
  <c r="G34" i="4"/>
  <c r="H34" i="4"/>
  <c r="J34" i="4"/>
  <c r="K34" i="4"/>
  <c r="E35" i="4"/>
  <c r="F35" i="4"/>
  <c r="G35" i="4"/>
  <c r="H35" i="4"/>
  <c r="I35" i="4"/>
  <c r="K35" i="4"/>
  <c r="E36" i="4"/>
  <c r="F36" i="4"/>
  <c r="G36" i="4"/>
  <c r="H36" i="4"/>
  <c r="I36" i="4"/>
  <c r="J36" i="4"/>
  <c r="D27" i="4"/>
  <c r="D28" i="4"/>
  <c r="D30" i="4"/>
  <c r="D31" i="4"/>
  <c r="D32" i="4"/>
  <c r="D33" i="4"/>
  <c r="D34" i="4"/>
  <c r="D35" i="4"/>
  <c r="D36" i="4"/>
  <c r="C27" i="4"/>
  <c r="C29" i="4"/>
  <c r="C30" i="4"/>
  <c r="C31" i="4"/>
  <c r="C32" i="4"/>
  <c r="C33" i="4"/>
  <c r="C34" i="4"/>
  <c r="C35" i="4"/>
  <c r="C36" i="4"/>
  <c r="B30" i="4"/>
  <c r="B32" i="4"/>
  <c r="B33" i="4"/>
  <c r="B34" i="4"/>
  <c r="B35" i="4"/>
  <c r="B36" i="4"/>
  <c r="I19" i="4"/>
  <c r="G20" i="4"/>
  <c r="G19" i="4"/>
  <c r="D20" i="4"/>
  <c r="D19" i="4"/>
  <c r="B20" i="4"/>
  <c r="B19" i="4"/>
  <c r="C20" i="4"/>
  <c r="C19" i="4"/>
  <c r="J5" i="4"/>
  <c r="K5" i="4" s="1"/>
  <c r="J6" i="4"/>
  <c r="K6" i="4" s="1"/>
  <c r="J7" i="4"/>
  <c r="K7" i="4" s="1"/>
  <c r="J4" i="4"/>
  <c r="K4" i="4" s="1"/>
  <c r="B27" i="3" l="1"/>
  <c r="C25" i="3"/>
  <c r="C24" i="3"/>
  <c r="H20" i="3" l="1"/>
  <c r="C16" i="3"/>
  <c r="C20" i="3" s="1"/>
  <c r="D16" i="3"/>
  <c r="D20" i="3" s="1"/>
  <c r="E16" i="3"/>
  <c r="E20" i="3" s="1"/>
  <c r="F16" i="3"/>
  <c r="F20" i="3" s="1"/>
  <c r="H16" i="3"/>
  <c r="K16" i="3"/>
  <c r="K20" i="3" s="1"/>
  <c r="L16" i="3"/>
  <c r="L20" i="3" s="1"/>
  <c r="M16" i="3"/>
  <c r="M20" i="3" s="1"/>
  <c r="B16" i="3"/>
  <c r="B20" i="3" s="1"/>
  <c r="B8" i="3"/>
  <c r="G16" i="3" s="1"/>
  <c r="G20" i="3" s="1"/>
  <c r="B7" i="3"/>
  <c r="B6" i="3"/>
  <c r="B13" i="3" s="1"/>
  <c r="B5" i="3"/>
  <c r="J16" i="3" l="1"/>
  <c r="J20" i="3" s="1"/>
  <c r="I16" i="3"/>
  <c r="I20" i="3" s="1"/>
  <c r="B21" i="3" s="1"/>
  <c r="A27" i="3" l="1"/>
  <c r="F29" i="3" s="1"/>
  <c r="B24" i="3"/>
  <c r="B25" i="3" s="1"/>
  <c r="D3" i="2"/>
  <c r="D9" i="2" s="1"/>
  <c r="D11" i="2" s="1"/>
  <c r="D20" i="2" s="1"/>
  <c r="D2" i="2"/>
  <c r="D1" i="2"/>
  <c r="D6" i="2" s="1"/>
  <c r="D14" i="2" l="1"/>
  <c r="D18" i="2" s="1"/>
  <c r="H6" i="2" s="1"/>
  <c r="M10" i="3"/>
  <c r="N8" i="3"/>
  <c r="G10" i="3"/>
  <c r="J10" i="3"/>
  <c r="J8" i="3"/>
  <c r="R10" i="3"/>
  <c r="L8" i="3"/>
  <c r="K8" i="3"/>
  <c r="O8" i="3"/>
  <c r="I8" i="3"/>
  <c r="M8" i="3"/>
  <c r="R8" i="3"/>
  <c r="K10" i="3"/>
  <c r="O10" i="3"/>
  <c r="N10" i="3"/>
  <c r="Q8" i="3"/>
  <c r="H10" i="3"/>
  <c r="H8" i="3"/>
  <c r="G8" i="3"/>
  <c r="P8" i="3"/>
  <c r="I10" i="3"/>
  <c r="Q10" i="3"/>
  <c r="P10" i="3"/>
  <c r="L10" i="3"/>
  <c r="B42" i="3" l="1"/>
  <c r="I6" i="2"/>
  <c r="H7" i="2" s="1"/>
  <c r="K6" i="2"/>
  <c r="L33" i="3"/>
  <c r="L6" i="2" l="1"/>
  <c r="N6" i="2" s="1"/>
  <c r="M6" i="2"/>
  <c r="J6" i="2"/>
  <c r="O6" i="2"/>
  <c r="I7" i="2"/>
  <c r="H8" i="2" s="1"/>
  <c r="K7" i="2"/>
  <c r="L7" i="2" s="1"/>
  <c r="N7" i="2" l="1"/>
  <c r="J7" i="2"/>
  <c r="I8" i="2"/>
  <c r="H9" i="2" s="1"/>
  <c r="J8" i="2"/>
  <c r="K8" i="2"/>
  <c r="L8" i="2" s="1"/>
  <c r="O7" i="2"/>
  <c r="M7" i="2"/>
  <c r="M8" i="2" l="1"/>
  <c r="I9" i="2"/>
  <c r="H10" i="2" s="1"/>
  <c r="J9" i="2"/>
  <c r="K9" i="2"/>
  <c r="L9" i="2" s="1"/>
  <c r="O8" i="2"/>
  <c r="N8" i="2"/>
  <c r="N9" i="2" l="1"/>
  <c r="I10" i="2"/>
  <c r="H11" i="2" s="1"/>
  <c r="O10" i="2"/>
  <c r="J10" i="2"/>
  <c r="K10" i="2"/>
  <c r="L10" i="2" s="1"/>
  <c r="O9" i="2"/>
  <c r="M9" i="2"/>
  <c r="M10" i="2" l="1"/>
  <c r="I11" i="2"/>
  <c r="H12" i="2" s="1"/>
  <c r="O11" i="2"/>
  <c r="J11" i="2"/>
  <c r="K11" i="2"/>
  <c r="L11" i="2" s="1"/>
  <c r="N10" i="2"/>
  <c r="N11" i="2" l="1"/>
  <c r="I12" i="2"/>
  <c r="O12" i="2"/>
  <c r="J12" i="2"/>
  <c r="K12" i="2"/>
  <c r="L12" i="2" s="1"/>
  <c r="M11" i="2"/>
  <c r="M12" i="2" l="1"/>
  <c r="N12" i="2"/>
</calcChain>
</file>

<file path=xl/sharedStrings.xml><?xml version="1.0" encoding="utf-8"?>
<sst xmlns="http://schemas.openxmlformats.org/spreadsheetml/2006/main" count="450" uniqueCount="187">
  <si>
    <t>2015年</t>
  </si>
  <si>
    <t>样品最大值</t>
    <phoneticPr fontId="1" type="noConversion"/>
  </si>
  <si>
    <t>样品最小值</t>
    <phoneticPr fontId="1" type="noConversion"/>
  </si>
  <si>
    <t>全距=最大值-最小值</t>
    <phoneticPr fontId="1" type="noConversion"/>
  </si>
  <si>
    <t>确定组数=1+3.32lgN</t>
    <phoneticPr fontId="1" type="noConversion"/>
  </si>
  <si>
    <t>全距R</t>
    <phoneticPr fontId="1" type="noConversion"/>
  </si>
  <si>
    <t>组数n</t>
    <phoneticPr fontId="1" type="noConversion"/>
  </si>
  <si>
    <t>样品数N</t>
    <phoneticPr fontId="1" type="noConversion"/>
  </si>
  <si>
    <t>（四舍五入取整）↓</t>
    <phoneticPr fontId="1" type="noConversion"/>
  </si>
  <si>
    <t>计算组距=全距/组数</t>
    <phoneticPr fontId="1" type="noConversion"/>
  </si>
  <si>
    <t>组距h</t>
    <phoneticPr fontId="1" type="noConversion"/>
  </si>
  <si>
    <t>确定组限和最终组数</t>
    <phoneticPr fontId="1" type="noConversion"/>
  </si>
  <si>
    <t>第一组下限=最小值-0.5*组距</t>
    <phoneticPr fontId="1" type="noConversion"/>
  </si>
  <si>
    <t>第一组下限</t>
    <phoneticPr fontId="1" type="noConversion"/>
  </si>
  <si>
    <t>（最终组数=已确定组数+1）</t>
    <phoneticPr fontId="1" type="noConversion"/>
  </si>
  <si>
    <t>最终组数</t>
    <phoneticPr fontId="1" type="noConversion"/>
  </si>
  <si>
    <t>组序</t>
    <phoneticPr fontId="1" type="noConversion"/>
  </si>
  <si>
    <t>组下限</t>
    <phoneticPr fontId="1" type="noConversion"/>
  </si>
  <si>
    <t>组上限</t>
    <phoneticPr fontId="1" type="noConversion"/>
  </si>
  <si>
    <t>组中距</t>
    <phoneticPr fontId="1" type="noConversion"/>
  </si>
  <si>
    <t>频数</t>
    <phoneticPr fontId="1" type="noConversion"/>
  </si>
  <si>
    <t>频率%</t>
    <phoneticPr fontId="1" type="noConversion"/>
  </si>
  <si>
    <t>累积频数</t>
    <phoneticPr fontId="1" type="noConversion"/>
  </si>
  <si>
    <t>累积频率%</t>
    <phoneticPr fontId="1" type="noConversion"/>
  </si>
  <si>
    <t>组距符号化</t>
    <phoneticPr fontId="1" type="noConversion"/>
  </si>
  <si>
    <r>
      <t>地块编号</t>
    </r>
    <r>
      <rPr>
        <sz val="22"/>
        <color rgb="FF000000"/>
        <rFont val="Calibri"/>
        <family val="2"/>
      </rPr>
      <t xml:space="preserve"> </t>
    </r>
    <phoneticPr fontId="7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</si>
  <si>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7" type="noConversion"/>
  </si>
  <si>
    <t>极差R=max-min</t>
    <phoneticPr fontId="1" type="noConversion"/>
  </si>
  <si>
    <t>样品数</t>
    <phoneticPr fontId="1" type="noConversion"/>
  </si>
  <si>
    <t>极差</t>
    <phoneticPr fontId="1" type="noConversion"/>
  </si>
  <si>
    <t>离差</t>
    <phoneticPr fontId="1" type="noConversion"/>
  </si>
  <si>
    <t>离差di=xi-均值</t>
    <phoneticPr fontId="1" type="noConversion"/>
  </si>
  <si>
    <t>均值</t>
    <phoneticPr fontId="1" type="noConversion"/>
  </si>
  <si>
    <t>离差平方</t>
    <phoneticPr fontId="1" type="noConversion"/>
  </si>
  <si>
    <t>离差平方和</t>
    <phoneticPr fontId="1" type="noConversion"/>
  </si>
  <si>
    <t>变异系数：地理数据的相对变化（波动）程度</t>
    <phoneticPr fontId="1" type="noConversion"/>
  </si>
  <si>
    <t>无偏估计标准差S</t>
    <phoneticPr fontId="1" type="noConversion"/>
  </si>
  <si>
    <t>方差σ²</t>
    <phoneticPr fontId="1" type="noConversion"/>
  </si>
  <si>
    <t>标准差σ</t>
    <phoneticPr fontId="1" type="noConversion"/>
  </si>
  <si>
    <t>变异系数</t>
    <phoneticPr fontId="1" type="noConversion"/>
  </si>
  <si>
    <t>偏度系数</t>
  </si>
  <si>
    <t>偏度系数：测度地理数据分布的不对称性性情况，刻画以平均数为中心的偏向情况</t>
    <phoneticPr fontId="1" type="noConversion"/>
  </si>
  <si>
    <t>峰度系数</t>
    <phoneticPr fontId="1" type="noConversion"/>
  </si>
  <si>
    <t>峰度系数：测度地理数据在均值附近的集中程度</t>
    <phoneticPr fontId="1" type="noConversion"/>
  </si>
  <si>
    <t xml:space="preserve">城镇数
</t>
    <phoneticPr fontId="7" type="noConversion"/>
  </si>
  <si>
    <t>d1(km)</t>
    <phoneticPr fontId="7" type="noConversion"/>
  </si>
  <si>
    <t>地点</t>
    <phoneticPr fontId="7" type="noConversion"/>
  </si>
  <si>
    <t>X</t>
    <phoneticPr fontId="1" type="noConversion"/>
  </si>
  <si>
    <t>X</t>
    <phoneticPr fontId="7" type="noConversion"/>
  </si>
  <si>
    <t>Y</t>
    <phoneticPr fontId="1" type="noConversion"/>
  </si>
  <si>
    <t>Y</t>
    <phoneticPr fontId="7" type="noConversion"/>
  </si>
  <si>
    <t>假设要在10个居民区内设立一个商业中心，希望居民都很便利。居住区坐标如下，如何做？</t>
  </si>
  <si>
    <t>中国面积(km²)</t>
    <phoneticPr fontId="1" type="noConversion"/>
  </si>
  <si>
    <t>区域法 邻近指数R</t>
    <phoneticPr fontId="1" type="noConversion"/>
  </si>
  <si>
    <t>年份</t>
  </si>
  <si>
    <t>年份</t>
    <phoneticPr fontId="7" type="noConversion"/>
  </si>
  <si>
    <t xml:space="preserve">城镇数
</t>
  </si>
  <si>
    <t>rE</t>
    <phoneticPr fontId="1" type="noConversion"/>
  </si>
  <si>
    <t>邻近指数R</t>
  </si>
  <si>
    <t>最大值</t>
    <phoneticPr fontId="1" type="noConversion"/>
  </si>
  <si>
    <t>最小值</t>
    <phoneticPr fontId="1" type="noConversion"/>
  </si>
  <si>
    <t>平均中心</t>
    <phoneticPr fontId="1" type="noConversion"/>
  </si>
  <si>
    <t>居民区外接矩形面积</t>
    <phoneticPr fontId="1" type="noConversion"/>
  </si>
  <si>
    <t>居民区数量</t>
    <phoneticPr fontId="1" type="noConversion"/>
  </si>
  <si>
    <t>相互距离</t>
    <phoneticPr fontId="1" type="noConversion"/>
  </si>
  <si>
    <t>（0除外的）</t>
    <phoneticPr fontId="1" type="noConversion"/>
  </si>
  <si>
    <t>最邻近平均距离</t>
  </si>
  <si>
    <t>理想的随机性（普阿松分布型）的最近邻平均距离</t>
    <phoneticPr fontId="1" type="noConversion"/>
  </si>
  <si>
    <t>最近邻指数R</t>
    <phoneticPr fontId="1" type="noConversion"/>
  </si>
  <si>
    <t>求从结点V1到各个结点的最短路径</t>
  </si>
  <si>
    <t>V1-V2</t>
    <phoneticPr fontId="1" type="noConversion"/>
  </si>
  <si>
    <t>V1-V3</t>
    <phoneticPr fontId="1" type="noConversion"/>
  </si>
  <si>
    <t>V1-V4</t>
  </si>
  <si>
    <t>V1-V5</t>
  </si>
  <si>
    <t>V1-V6</t>
  </si>
  <si>
    <t>V1-V7</t>
  </si>
  <si>
    <t>V1-V8</t>
  </si>
  <si>
    <t>V1-V9</t>
  </si>
  <si>
    <t>V1-V10</t>
  </si>
  <si>
    <t>V1-V11</t>
  </si>
  <si>
    <t>路径 V1</t>
    <phoneticPr fontId="1" type="noConversion"/>
  </si>
  <si>
    <t>∞</t>
    <phoneticPr fontId="1" type="noConversion"/>
  </si>
  <si>
    <t>V1,V2</t>
    <phoneticPr fontId="1" type="noConversion"/>
  </si>
  <si>
    <t>null</t>
    <phoneticPr fontId="1" type="noConversion"/>
  </si>
  <si>
    <t>v1,v4</t>
    <phoneticPr fontId="1" type="noConversion"/>
  </si>
  <si>
    <t>路径 V1,V4</t>
    <phoneticPr fontId="1" type="noConversion"/>
  </si>
  <si>
    <t>V1,V4</t>
    <phoneticPr fontId="1" type="noConversion"/>
  </si>
  <si>
    <t>V1,V4,V3</t>
    <phoneticPr fontId="1" type="noConversion"/>
  </si>
  <si>
    <t>路径 V1,V4,V2</t>
    <phoneticPr fontId="1" type="noConversion"/>
  </si>
  <si>
    <t>V1,V2,V5</t>
    <phoneticPr fontId="1" type="noConversion"/>
  </si>
  <si>
    <t>路径 V1,V4,V2,V5</t>
    <phoneticPr fontId="1" type="noConversion"/>
  </si>
  <si>
    <t>V1,V2,V5,V9</t>
    <phoneticPr fontId="1" type="noConversion"/>
  </si>
  <si>
    <t>路径 V1,V4,V2,V5,V3</t>
    <phoneticPr fontId="1" type="noConversion"/>
  </si>
  <si>
    <t>V1,V4,V3,V7</t>
    <phoneticPr fontId="1" type="noConversion"/>
  </si>
  <si>
    <t>路径 V1,V4,V2,V5,V3,V9</t>
    <phoneticPr fontId="1" type="noConversion"/>
  </si>
  <si>
    <t>V1,V2,V5,V9,V6</t>
    <phoneticPr fontId="1" type="noConversion"/>
  </si>
  <si>
    <t>V1,V2,V5,V9,V8</t>
    <phoneticPr fontId="1" type="noConversion"/>
  </si>
  <si>
    <t>V1,V2,V5,V9,V7</t>
    <phoneticPr fontId="1" type="noConversion"/>
  </si>
  <si>
    <t>V1,V2,V5,V9,V11</t>
    <phoneticPr fontId="1" type="noConversion"/>
  </si>
  <si>
    <t>路径 V1,V4,V2,V5,V3,V9,V7</t>
    <phoneticPr fontId="1" type="noConversion"/>
  </si>
  <si>
    <t>V1,V2,V5,V9,V7,V10</t>
    <phoneticPr fontId="1" type="noConversion"/>
  </si>
  <si>
    <t>路径 V1,V4,V2,V5,V3,V9,V7,V10</t>
    <phoneticPr fontId="1" type="noConversion"/>
  </si>
  <si>
    <t>路径 V1,V4,V2,V5,V3,V9,V7,V10,V6</t>
    <phoneticPr fontId="1" type="noConversion"/>
  </si>
  <si>
    <t>路径 V1,V4,V2,V5,V3,V9,V7,V10,V6,V8</t>
    <phoneticPr fontId="1" type="noConversion"/>
  </si>
  <si>
    <t>最短路径</t>
    <phoneticPr fontId="1" type="noConversion"/>
  </si>
  <si>
    <t>V1-V2-V5-V9-V11</t>
    <phoneticPr fontId="1" type="noConversion"/>
  </si>
  <si>
    <t>某地理区有5个城镇A、B、C、D、E，各城镇的地理位置及正负荷如图所示。现计划在该地区建一工厂，若使产品运往到各城镇的总运输量为最少，问这个工厂建在那个城镇更好？</t>
    <phoneticPr fontId="1" type="noConversion"/>
  </si>
  <si>
    <t>距离表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</si>
  <si>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</si>
  <si>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</si>
  <si>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</si>
  <si>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</si>
  <si>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</si>
  <si>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正负荷</t>
    <phoneticPr fontId="1" type="noConversion"/>
  </si>
  <si>
    <t>S(A)</t>
    <phoneticPr fontId="1" type="noConversion"/>
  </si>
  <si>
    <t>S(B)</t>
    <phoneticPr fontId="1" type="noConversion"/>
  </si>
  <si>
    <t>S(C)</t>
    <phoneticPr fontId="1" type="noConversion"/>
  </si>
  <si>
    <t>S(D)</t>
    <phoneticPr fontId="1" type="noConversion"/>
  </si>
  <si>
    <t>S(E)</t>
    <phoneticPr fontId="1" type="noConversion"/>
  </si>
  <si>
    <t>id</t>
    <phoneticPr fontId="1" type="noConversion"/>
  </si>
  <si>
    <t>a农业</t>
    <phoneticPr fontId="1" type="noConversion"/>
  </si>
  <si>
    <t>b纺织业</t>
    <phoneticPr fontId="1" type="noConversion"/>
  </si>
  <si>
    <t>c服务业</t>
    <phoneticPr fontId="1" type="noConversion"/>
  </si>
  <si>
    <t>职工总数</t>
    <phoneticPr fontId="1" type="noConversion"/>
  </si>
  <si>
    <t>R(a)</t>
  </si>
  <si>
    <t>R(a)</t>
    <phoneticPr fontId="1" type="noConversion"/>
  </si>
  <si>
    <t>R(b)</t>
    <phoneticPr fontId="1" type="noConversion"/>
  </si>
  <si>
    <t>R(c)</t>
    <phoneticPr fontId="1" type="noConversion"/>
  </si>
  <si>
    <t>总计</t>
    <phoneticPr fontId="1" type="noConversion"/>
  </si>
  <si>
    <t>R值：变量对于某一地区数值的比值</t>
    <phoneticPr fontId="1" type="noConversion"/>
  </si>
  <si>
    <t>按R值大小排列的各地区职工数据及累积表（%）（由大到小）</t>
    <phoneticPr fontId="1" type="noConversion"/>
  </si>
  <si>
    <t>纺织业累积</t>
    <phoneticPr fontId="1" type="noConversion"/>
  </si>
  <si>
    <t>职工总数累积</t>
    <phoneticPr fontId="1" type="noConversion"/>
  </si>
  <si>
    <t>农业累积</t>
    <phoneticPr fontId="1" type="noConversion"/>
  </si>
  <si>
    <t>服务业累积</t>
    <phoneticPr fontId="1" type="noConversion"/>
  </si>
  <si>
    <t>流量（立方米/秒）</t>
  </si>
  <si>
    <t>滑动平均（三年）</t>
    <phoneticPr fontId="1" type="noConversion"/>
  </si>
  <si>
    <t>滑动平均（五年）</t>
    <phoneticPr fontId="1" type="noConversion"/>
  </si>
  <si>
    <t>距平</t>
    <phoneticPr fontId="1" type="noConversion"/>
  </si>
  <si>
    <t>GDP</t>
  </si>
  <si>
    <t>人口</t>
  </si>
  <si>
    <t>上海</t>
    <phoneticPr fontId="1" type="noConversion"/>
  </si>
  <si>
    <t>北京</t>
    <phoneticPr fontId="1" type="noConversion"/>
  </si>
  <si>
    <t>两个区域方差的比较</t>
    <phoneticPr fontId="1" type="noConversion"/>
  </si>
  <si>
    <t>2.计算方差</t>
    <phoneticPr fontId="1" type="noConversion"/>
  </si>
  <si>
    <t>GDP</t>
    <phoneticPr fontId="1" type="noConversion"/>
  </si>
  <si>
    <t>人口</t>
    <phoneticPr fontId="1" type="noConversion"/>
  </si>
  <si>
    <t>方差</t>
    <phoneticPr fontId="1" type="noConversion"/>
  </si>
  <si>
    <t>3.计算F值</t>
    <phoneticPr fontId="1" type="noConversion"/>
  </si>
  <si>
    <t>1.原假设：</t>
    <phoneticPr fontId="1" type="noConversion"/>
  </si>
  <si>
    <t>F</t>
    <phoneticPr fontId="1" type="noConversion"/>
  </si>
  <si>
    <t>4.查F分布表</t>
    <phoneticPr fontId="1" type="noConversion"/>
  </si>
  <si>
    <t>自由度</t>
    <phoneticPr fontId="1" type="noConversion"/>
  </si>
  <si>
    <t>置信度</t>
    <phoneticPr fontId="1" type="noConversion"/>
  </si>
  <si>
    <t>（自由度=样品数-1）</t>
    <phoneticPr fontId="1" type="noConversion"/>
  </si>
  <si>
    <t>F临界值</t>
    <phoneticPr fontId="1" type="noConversion"/>
  </si>
  <si>
    <t>（双侧检验）</t>
    <phoneticPr fontId="1" type="noConversion"/>
  </si>
  <si>
    <t>5.比较F值与F临界值</t>
    <phoneticPr fontId="1" type="noConversion"/>
  </si>
  <si>
    <t>F&lt;F临界值</t>
    <phoneticPr fontId="1" type="noConversion"/>
  </si>
  <si>
    <t>假设北京和上海的GPD及人口的变化没有显著差异</t>
    <phoneticPr fontId="1" type="noConversion"/>
  </si>
  <si>
    <t>接受原假设，北京和上海的GPD的变化无显著差异</t>
    <phoneticPr fontId="1" type="noConversion"/>
  </si>
  <si>
    <t>接受原假设，北京和上海的人口的变化无显著差异</t>
    <phoneticPr fontId="1" type="noConversion"/>
  </si>
  <si>
    <t>河段</t>
  </si>
  <si>
    <t>河段S</t>
  </si>
  <si>
    <t>站名</t>
  </si>
  <si>
    <t>S1</t>
  </si>
  <si>
    <t>S2</t>
  </si>
  <si>
    <t>S3</t>
  </si>
  <si>
    <t>S4</t>
  </si>
  <si>
    <t>T1</t>
  </si>
  <si>
    <t>T3</t>
  </si>
  <si>
    <t>T4</t>
  </si>
  <si>
    <t>颗粒粒径</t>
  </si>
  <si>
    <t>习题：为判别飞云江河两个河段的泥沙颗粒组成有无显著不同，分别在两段的几个点进行采样分析，试根据分析资料确定是否差异显著。</t>
    <phoneticPr fontId="1" type="noConversion"/>
  </si>
  <si>
    <t>河段T</t>
    <phoneticPr fontId="1" type="noConversion"/>
  </si>
  <si>
    <t>1.原假设</t>
    <phoneticPr fontId="1" type="noConversion"/>
  </si>
  <si>
    <t>飞云江河两个河段的泥沙颗粒组成无显著不同</t>
    <phoneticPr fontId="1" type="noConversion"/>
  </si>
  <si>
    <t>u检验法</t>
    <phoneticPr fontId="1" type="noConversion"/>
  </si>
  <si>
    <t>河段S</t>
    <phoneticPr fontId="1" type="noConversion"/>
  </si>
  <si>
    <t>2.计算样品数、均值和方差</t>
    <phoneticPr fontId="1" type="noConversion"/>
  </si>
  <si>
    <t>3.计算t统计量</t>
    <phoneticPr fontId="1" type="noConversion"/>
  </si>
  <si>
    <t>t</t>
    <phoneticPr fontId="1" type="noConversion"/>
  </si>
  <si>
    <t>|t|</t>
    <phoneticPr fontId="1" type="noConversion"/>
  </si>
  <si>
    <t>4.查找t分布表并比较临界值</t>
    <phoneticPr fontId="1" type="noConversion"/>
  </si>
  <si>
    <t>t0 临界值</t>
    <phoneticPr fontId="1" type="noConversion"/>
  </si>
  <si>
    <t>|t|&gt;t0</t>
    <phoneticPr fontId="1" type="noConversion"/>
  </si>
  <si>
    <t>拒绝原假设，飞云江河两个河段的泥沙颗粒组成有显著差异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</si>
</sst>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5" xfId="0" applyFon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176" fontId="0" fillId="0" borderId="0" xfId="0" applyNumberFormat="1" applyBorder="1"/>
    <xf numFmtId="0" fontId="0" fillId="0" borderId="0" xfId="0" applyAlignment="1">
      <alignment vertical="center"/>
    </xf>
    <xf numFmtId="0" fontId="5" fillId="0" borderId="5" xfId="0" applyFont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0" borderId="7" xfId="0" applyFont="1" applyBorder="1"/>
    <xf numFmtId="0" fontId="3" fillId="0" borderId="0" xfId="0" applyFont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0" borderId="0" xfId="0" applyFill="1" applyBorder="1"/>
    <xf numFmtId="0" fontId="10" fillId="3" borderId="0" xfId="0" applyFont="1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3" fillId="0" borderId="2" xfId="0" applyFont="1" applyBorder="1"/>
    <xf numFmtId="0" fontId="0" fillId="2" borderId="8" xfId="0" applyFill="1" applyBorder="1" applyAlignment="1">
      <alignment horizontal="center" wrapText="1"/>
    </xf>
    <xf numFmtId="0" fontId="0" fillId="2" borderId="1" xfId="0" applyFill="1" applyBorder="1"/>
    <xf numFmtId="0" fontId="0" fillId="2" borderId="5" xfId="0" applyFill="1" applyBorder="1"/>
    <xf numFmtId="0" fontId="3" fillId="0" borderId="5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频数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统计分组!$O$6:$O$12</c:f>
              <c:strCache>
                <c:ptCount val="7"/>
                <c:pt idx="0">
                  <c:v>[21334.18, 26199.98)</c:v>
                </c:pt>
                <c:pt idx="1">
                  <c:v>[26199.98, 31065.78)</c:v>
                </c:pt>
                <c:pt idx="2">
                  <c:v>[31065.78, 35931.57)</c:v>
                </c:pt>
                <c:pt idx="3">
                  <c:v>[35931.57, 40797.37)</c:v>
                </c:pt>
                <c:pt idx="4">
                  <c:v>[40797.37, 45663.17)</c:v>
                </c:pt>
                <c:pt idx="5">
                  <c:v>[45663.17, 50528.96)</c:v>
                </c:pt>
                <c:pt idx="6">
                  <c:v>[50528.96, 55394.76)</c:v>
                </c:pt>
              </c:strCache>
            </c:strRef>
          </c:cat>
          <c:val>
            <c:numRef>
              <c:f>统计分组!$K$6:$K$12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9BE-886F-3EE3DBDC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96655583"/>
        <c:axId val="2031585935"/>
      </c:barChart>
      <c:catAx>
        <c:axId val="18966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85935"/>
        <c:crosses val="autoZero"/>
        <c:auto val="1"/>
        <c:lblAlgn val="ctr"/>
        <c:lblOffset val="100"/>
        <c:noMultiLvlLbl val="0"/>
      </c:catAx>
      <c:valAx>
        <c:axId val="20315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6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居民区分布散点图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居民区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空间布局测度!$B$14:$K$14</c:f>
              <c:numCache>
                <c:formatCode>General</c:formatCode>
                <c:ptCount val="10"/>
                <c:pt idx="0">
                  <c:v>3.58</c:v>
                </c:pt>
                <c:pt idx="1">
                  <c:v>7.45</c:v>
                </c:pt>
                <c:pt idx="2">
                  <c:v>3.21</c:v>
                </c:pt>
                <c:pt idx="3">
                  <c:v>6.47</c:v>
                </c:pt>
                <c:pt idx="4">
                  <c:v>5.32</c:v>
                </c:pt>
                <c:pt idx="5">
                  <c:v>6.54</c:v>
                </c:pt>
                <c:pt idx="6">
                  <c:v>7.81</c:v>
                </c:pt>
                <c:pt idx="7">
                  <c:v>9.65</c:v>
                </c:pt>
                <c:pt idx="8">
                  <c:v>6.78</c:v>
                </c:pt>
                <c:pt idx="9">
                  <c:v>8.92</c:v>
                </c:pt>
              </c:numCache>
            </c:numRef>
          </c:xVal>
          <c:yVal>
            <c:numRef>
              <c:f>空间布局测度!$B$15:$K$15</c:f>
              <c:numCache>
                <c:formatCode>General</c:formatCode>
                <c:ptCount val="10"/>
                <c:pt idx="0">
                  <c:v>6.89</c:v>
                </c:pt>
                <c:pt idx="1">
                  <c:v>6.41</c:v>
                </c:pt>
                <c:pt idx="2">
                  <c:v>4.2300000000000004</c:v>
                </c:pt>
                <c:pt idx="3">
                  <c:v>4.58</c:v>
                </c:pt>
                <c:pt idx="4">
                  <c:v>6.31</c:v>
                </c:pt>
                <c:pt idx="5">
                  <c:v>2.97</c:v>
                </c:pt>
                <c:pt idx="6">
                  <c:v>6.35</c:v>
                </c:pt>
                <c:pt idx="7">
                  <c:v>7.43</c:v>
                </c:pt>
                <c:pt idx="8">
                  <c:v>5.98</c:v>
                </c:pt>
                <c:pt idx="9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6-4385-B812-B12C5817F17D}"/>
            </c:ext>
          </c:extLst>
        </c:ser>
        <c:ser>
          <c:idx val="1"/>
          <c:order val="1"/>
          <c:tx>
            <c:v>平均中心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空间布局测度!$D$19</c:f>
              <c:numCache>
                <c:formatCode>General</c:formatCode>
                <c:ptCount val="1"/>
                <c:pt idx="0">
                  <c:v>6.5730000000000004</c:v>
                </c:pt>
              </c:numCache>
            </c:numRef>
          </c:xVal>
          <c:yVal>
            <c:numRef>
              <c:f>空间布局测度!$D$20</c:f>
              <c:numCache>
                <c:formatCode>General</c:formatCode>
                <c:ptCount val="1"/>
                <c:pt idx="0">
                  <c:v>5.5619999999999994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6-4385-B812-B12C5817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088"/>
        <c:axId val="207677936"/>
      </c:scatterChart>
      <c:valAx>
        <c:axId val="209071088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77936"/>
        <c:crosses val="autoZero"/>
        <c:crossBetween val="midCat"/>
      </c:valAx>
      <c:valAx>
        <c:axId val="2076779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空间罗伦兹曲线分布图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农业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'离散区域分布的测度-空间罗伦兹曲线'!$F$15:$F$25</c:f>
              <c:numCache>
                <c:formatCode>General</c:formatCode>
                <c:ptCount val="11"/>
                <c:pt idx="0">
                  <c:v>2.6</c:v>
                </c:pt>
                <c:pt idx="1">
                  <c:v>8.1999999999999993</c:v>
                </c:pt>
                <c:pt idx="2">
                  <c:v>17.2</c:v>
                </c:pt>
                <c:pt idx="3">
                  <c:v>23.2</c:v>
                </c:pt>
                <c:pt idx="4">
                  <c:v>25.2</c:v>
                </c:pt>
                <c:pt idx="5">
                  <c:v>30.7</c:v>
                </c:pt>
                <c:pt idx="6">
                  <c:v>39.5</c:v>
                </c:pt>
                <c:pt idx="7">
                  <c:v>43.7</c:v>
                </c:pt>
                <c:pt idx="8">
                  <c:v>53.7</c:v>
                </c:pt>
                <c:pt idx="9">
                  <c:v>87.4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'离散区域分布的测度-空间罗伦兹曲线'!$E$15:$E$25</c:f>
              <c:numCache>
                <c:formatCode>General</c:formatCode>
                <c:ptCount val="11"/>
                <c:pt idx="0">
                  <c:v>12.6</c:v>
                </c:pt>
                <c:pt idx="1">
                  <c:v>23.799999999999997</c:v>
                </c:pt>
                <c:pt idx="2">
                  <c:v>39.4</c:v>
                </c:pt>
                <c:pt idx="3">
                  <c:v>47</c:v>
                </c:pt>
                <c:pt idx="4">
                  <c:v>49.1</c:v>
                </c:pt>
                <c:pt idx="5">
                  <c:v>54.300000000000004</c:v>
                </c:pt>
                <c:pt idx="6">
                  <c:v>62.1</c:v>
                </c:pt>
                <c:pt idx="7">
                  <c:v>65.7</c:v>
                </c:pt>
                <c:pt idx="8">
                  <c:v>72.600000000000009</c:v>
                </c:pt>
                <c:pt idx="9">
                  <c:v>95.800000000000011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5-4A62-86A1-D301AE460C8E}"/>
            </c:ext>
          </c:extLst>
        </c:ser>
        <c:ser>
          <c:idx val="1"/>
          <c:order val="1"/>
          <c:tx>
            <c:v>纺织业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'离散区域分布的测度-空间罗伦兹曲线'!$F$28:$F$38</c:f>
              <c:numCache>
                <c:formatCode>General</c:formatCode>
                <c:ptCount val="11"/>
                <c:pt idx="0">
                  <c:v>2</c:v>
                </c:pt>
                <c:pt idx="1">
                  <c:v>10.8</c:v>
                </c:pt>
                <c:pt idx="2">
                  <c:v>16.8</c:v>
                </c:pt>
                <c:pt idx="3">
                  <c:v>29.4</c:v>
                </c:pt>
                <c:pt idx="4">
                  <c:v>38.4</c:v>
                </c:pt>
                <c:pt idx="5">
                  <c:v>42.6</c:v>
                </c:pt>
                <c:pt idx="6">
                  <c:v>48.1</c:v>
                </c:pt>
                <c:pt idx="7">
                  <c:v>58.1</c:v>
                </c:pt>
                <c:pt idx="8">
                  <c:v>63.7</c:v>
                </c:pt>
                <c:pt idx="9">
                  <c:v>66.3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'离散区域分布的测度-空间罗伦兹曲线'!$E$28:$E$38</c:f>
              <c:numCache>
                <c:formatCode>General</c:formatCode>
                <c:ptCount val="11"/>
                <c:pt idx="0">
                  <c:v>6.5</c:v>
                </c:pt>
                <c:pt idx="1">
                  <c:v>29.2</c:v>
                </c:pt>
                <c:pt idx="2">
                  <c:v>44.5</c:v>
                </c:pt>
                <c:pt idx="3">
                  <c:v>71.900000000000006</c:v>
                </c:pt>
                <c:pt idx="4">
                  <c:v>83.9</c:v>
                </c:pt>
                <c:pt idx="5">
                  <c:v>86.100000000000009</c:v>
                </c:pt>
                <c:pt idx="6">
                  <c:v>88.7</c:v>
                </c:pt>
                <c:pt idx="7">
                  <c:v>93.3</c:v>
                </c:pt>
                <c:pt idx="8">
                  <c:v>95.3</c:v>
                </c:pt>
                <c:pt idx="9">
                  <c:v>95.8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5-4A62-86A1-D301AE460C8E}"/>
            </c:ext>
          </c:extLst>
        </c:ser>
        <c:ser>
          <c:idx val="2"/>
          <c:order val="2"/>
          <c:tx>
            <c:v>服务业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'离散区域分布的测度-空间罗伦兹曲线'!$F$41:$F$51</c:f>
              <c:numCache>
                <c:formatCode>General</c:formatCode>
                <c:ptCount val="11"/>
                <c:pt idx="0">
                  <c:v>5.6</c:v>
                </c:pt>
                <c:pt idx="1">
                  <c:v>14.6</c:v>
                </c:pt>
                <c:pt idx="2">
                  <c:v>16.600000000000001</c:v>
                </c:pt>
                <c:pt idx="3">
                  <c:v>20.8</c:v>
                </c:pt>
                <c:pt idx="4">
                  <c:v>54.5</c:v>
                </c:pt>
                <c:pt idx="5">
                  <c:v>57.1</c:v>
                </c:pt>
                <c:pt idx="6">
                  <c:v>62.6</c:v>
                </c:pt>
                <c:pt idx="7">
                  <c:v>75.2</c:v>
                </c:pt>
                <c:pt idx="8">
                  <c:v>84</c:v>
                </c:pt>
                <c:pt idx="9">
                  <c:v>94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'离散区域分布的测度-空间罗伦兹曲线'!$E$41:$E$51</c:f>
              <c:numCache>
                <c:formatCode>General</c:formatCode>
                <c:ptCount val="11"/>
                <c:pt idx="0">
                  <c:v>6.6</c:v>
                </c:pt>
                <c:pt idx="1">
                  <c:v>16.600000000000001</c:v>
                </c:pt>
                <c:pt idx="2">
                  <c:v>18.8</c:v>
                </c:pt>
                <c:pt idx="3">
                  <c:v>23.4</c:v>
                </c:pt>
                <c:pt idx="4">
                  <c:v>59.4</c:v>
                </c:pt>
                <c:pt idx="5">
                  <c:v>62.1</c:v>
                </c:pt>
                <c:pt idx="6">
                  <c:v>67.3</c:v>
                </c:pt>
                <c:pt idx="7">
                  <c:v>78.899999999999991</c:v>
                </c:pt>
                <c:pt idx="8">
                  <c:v>86.8</c:v>
                </c:pt>
                <c:pt idx="9">
                  <c:v>95.1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5-4A62-86A1-D301AE46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33711"/>
        <c:axId val="1822406719"/>
      </c:scatterChart>
      <c:valAx>
        <c:axId val="183053371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整个工业部门职工累积百分比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406719"/>
        <c:crosses val="autoZero"/>
        <c:crossBetween val="midCat"/>
      </c:valAx>
      <c:valAx>
        <c:axId val="1822406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选定的工业的工业部门职工累计百分比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53371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流量趋势图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流量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时间序列!$A$2:$A$30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时间序列!$B$2:$B$30</c:f>
              <c:numCache>
                <c:formatCode>General</c:formatCode>
                <c:ptCount val="29"/>
                <c:pt idx="0">
                  <c:v>9.8000000000000007</c:v>
                </c:pt>
                <c:pt idx="1">
                  <c:v>3</c:v>
                </c:pt>
                <c:pt idx="2">
                  <c:v>7</c:v>
                </c:pt>
                <c:pt idx="3">
                  <c:v>4.8</c:v>
                </c:pt>
                <c:pt idx="4">
                  <c:v>5.8</c:v>
                </c:pt>
                <c:pt idx="5">
                  <c:v>5.8</c:v>
                </c:pt>
                <c:pt idx="6">
                  <c:v>12</c:v>
                </c:pt>
                <c:pt idx="7">
                  <c:v>8.9</c:v>
                </c:pt>
                <c:pt idx="8">
                  <c:v>8</c:v>
                </c:pt>
                <c:pt idx="9">
                  <c:v>1.2</c:v>
                </c:pt>
                <c:pt idx="10">
                  <c:v>10.5</c:v>
                </c:pt>
                <c:pt idx="11">
                  <c:v>18</c:v>
                </c:pt>
                <c:pt idx="12">
                  <c:v>20</c:v>
                </c:pt>
                <c:pt idx="13">
                  <c:v>3</c:v>
                </c:pt>
                <c:pt idx="14">
                  <c:v>17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16.5</c:v>
                </c:pt>
                <c:pt idx="20">
                  <c:v>15</c:v>
                </c:pt>
                <c:pt idx="21">
                  <c:v>18</c:v>
                </c:pt>
                <c:pt idx="22">
                  <c:v>4.5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14.5</c:v>
                </c:pt>
                <c:pt idx="27">
                  <c:v>14.5</c:v>
                </c:pt>
                <c:pt idx="2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B-4469-96B7-493A83F0F80F}"/>
            </c:ext>
          </c:extLst>
        </c:ser>
        <c:ser>
          <c:idx val="1"/>
          <c:order val="1"/>
          <c:tx>
            <c:v>三年滑动平均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时间序列!$D$2:$D$28</c:f>
              <c:numCache>
                <c:formatCode>General</c:formatCode>
                <c:ptCount val="27"/>
                <c:pt idx="0">
                  <c:v>6.6000000000000005</c:v>
                </c:pt>
                <c:pt idx="1">
                  <c:v>4.9333333333333336</c:v>
                </c:pt>
                <c:pt idx="2">
                  <c:v>5.8666666666666671</c:v>
                </c:pt>
                <c:pt idx="3">
                  <c:v>5.4666666666666659</c:v>
                </c:pt>
                <c:pt idx="4">
                  <c:v>7.8666666666666671</c:v>
                </c:pt>
                <c:pt idx="5">
                  <c:v>8.9</c:v>
                </c:pt>
                <c:pt idx="6">
                  <c:v>9.6333333333333329</c:v>
                </c:pt>
                <c:pt idx="7">
                  <c:v>6.0333333333333323</c:v>
                </c:pt>
                <c:pt idx="8">
                  <c:v>6.5666666666666664</c:v>
                </c:pt>
                <c:pt idx="9">
                  <c:v>9.9</c:v>
                </c:pt>
                <c:pt idx="10">
                  <c:v>16.166666666666668</c:v>
                </c:pt>
                <c:pt idx="11">
                  <c:v>13.666666666666666</c:v>
                </c:pt>
                <c:pt idx="12">
                  <c:v>13.333333333333334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9.5</c:v>
                </c:pt>
                <c:pt idx="18">
                  <c:v>12.833333333333334</c:v>
                </c:pt>
                <c:pt idx="19">
                  <c:v>16.5</c:v>
                </c:pt>
                <c:pt idx="20">
                  <c:v>12.5</c:v>
                </c:pt>
                <c:pt idx="21">
                  <c:v>12.166666666666666</c:v>
                </c:pt>
                <c:pt idx="22">
                  <c:v>10.833333333333334</c:v>
                </c:pt>
                <c:pt idx="23">
                  <c:v>13.666666666666666</c:v>
                </c:pt>
                <c:pt idx="24">
                  <c:v>13.833333333333334</c:v>
                </c:pt>
                <c:pt idx="25">
                  <c:v>14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B-4469-96B7-493A83F0F80F}"/>
            </c:ext>
          </c:extLst>
        </c:ser>
        <c:ser>
          <c:idx val="2"/>
          <c:order val="2"/>
          <c:tx>
            <c:v>五年滑动平均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时间序列!$F$2:$F$26</c:f>
              <c:numCache>
                <c:formatCode>General</c:formatCode>
                <c:ptCount val="25"/>
                <c:pt idx="0">
                  <c:v>6.08</c:v>
                </c:pt>
                <c:pt idx="1">
                  <c:v>5.28</c:v>
                </c:pt>
                <c:pt idx="2">
                  <c:v>7.080000000000001</c:v>
                </c:pt>
                <c:pt idx="3">
                  <c:v>7.4599999999999991</c:v>
                </c:pt>
                <c:pt idx="4">
                  <c:v>8.1</c:v>
                </c:pt>
                <c:pt idx="5">
                  <c:v>7.1800000000000015</c:v>
                </c:pt>
                <c:pt idx="6">
                  <c:v>8.1199999999999992</c:v>
                </c:pt>
                <c:pt idx="7">
                  <c:v>9.3199999999999985</c:v>
                </c:pt>
                <c:pt idx="8">
                  <c:v>11.540000000000001</c:v>
                </c:pt>
                <c:pt idx="9">
                  <c:v>10.540000000000001</c:v>
                </c:pt>
                <c:pt idx="10">
                  <c:v>13.7</c:v>
                </c:pt>
                <c:pt idx="11">
                  <c:v>13</c:v>
                </c:pt>
                <c:pt idx="12">
                  <c:v>10.6</c:v>
                </c:pt>
                <c:pt idx="13">
                  <c:v>7.6</c:v>
                </c:pt>
                <c:pt idx="14">
                  <c:v>8.4</c:v>
                </c:pt>
                <c:pt idx="15">
                  <c:v>8.3000000000000007</c:v>
                </c:pt>
                <c:pt idx="16">
                  <c:v>9.9</c:v>
                </c:pt>
                <c:pt idx="17">
                  <c:v>12.3</c:v>
                </c:pt>
                <c:pt idx="18">
                  <c:v>12.2</c:v>
                </c:pt>
                <c:pt idx="19">
                  <c:v>13.6</c:v>
                </c:pt>
                <c:pt idx="20">
                  <c:v>13.1</c:v>
                </c:pt>
                <c:pt idx="21">
                  <c:v>12.7</c:v>
                </c:pt>
                <c:pt idx="22">
                  <c:v>12</c:v>
                </c:pt>
                <c:pt idx="23">
                  <c:v>14</c:v>
                </c:pt>
                <c:pt idx="2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B-4469-96B7-493A83F0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59376"/>
        <c:axId val="57153104"/>
      </c:lineChart>
      <c:catAx>
        <c:axId val="20840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3104"/>
        <c:crosses val="autoZero"/>
        <c:auto val="1"/>
        <c:lblAlgn val="ctr"/>
        <c:lblOffset val="100"/>
        <c:noMultiLvlLbl val="0"/>
      </c:catAx>
      <c:valAx>
        <c:axId val="5715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0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时间序列!$H$1</c:f>
              <c:strCache>
                <c:ptCount val="1"/>
                <c:pt idx="0">
                  <c:v>距平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时间序列!$H$2:$H$30</c:f>
              <c:numCache>
                <c:formatCode>General</c:formatCode>
                <c:ptCount val="29"/>
                <c:pt idx="0">
                  <c:v>-0.53793103448275836</c:v>
                </c:pt>
                <c:pt idx="1">
                  <c:v>-7.3379310344827591</c:v>
                </c:pt>
                <c:pt idx="2">
                  <c:v>-3.3379310344827591</c:v>
                </c:pt>
                <c:pt idx="3">
                  <c:v>-5.5379310344827593</c:v>
                </c:pt>
                <c:pt idx="4">
                  <c:v>-4.5379310344827593</c:v>
                </c:pt>
                <c:pt idx="5">
                  <c:v>-4.5379310344827593</c:v>
                </c:pt>
                <c:pt idx="6">
                  <c:v>1.6620689655172409</c:v>
                </c:pt>
                <c:pt idx="7">
                  <c:v>-1.4379310344827587</c:v>
                </c:pt>
                <c:pt idx="8">
                  <c:v>-2.3379310344827591</c:v>
                </c:pt>
                <c:pt idx="9">
                  <c:v>-9.1379310344827598</c:v>
                </c:pt>
                <c:pt idx="10">
                  <c:v>0.16206896551724093</c:v>
                </c:pt>
                <c:pt idx="11">
                  <c:v>7.6620689655172409</c:v>
                </c:pt>
                <c:pt idx="12">
                  <c:v>9.6620689655172409</c:v>
                </c:pt>
                <c:pt idx="13">
                  <c:v>-7.3379310344827591</c:v>
                </c:pt>
                <c:pt idx="14">
                  <c:v>6.6620689655172409</c:v>
                </c:pt>
                <c:pt idx="15">
                  <c:v>-3.3379310344827591</c:v>
                </c:pt>
                <c:pt idx="16">
                  <c:v>-4.3379310344827591</c:v>
                </c:pt>
                <c:pt idx="17">
                  <c:v>-5.3379310344827591</c:v>
                </c:pt>
                <c:pt idx="18">
                  <c:v>-3.3379310344827591</c:v>
                </c:pt>
                <c:pt idx="19">
                  <c:v>6.1620689655172409</c:v>
                </c:pt>
                <c:pt idx="20">
                  <c:v>4.6620689655172409</c:v>
                </c:pt>
                <c:pt idx="21">
                  <c:v>7.6620689655172409</c:v>
                </c:pt>
                <c:pt idx="22">
                  <c:v>-5.8379310344827591</c:v>
                </c:pt>
                <c:pt idx="23">
                  <c:v>3.6620689655172409</c:v>
                </c:pt>
                <c:pt idx="24">
                  <c:v>3.6620689655172409</c:v>
                </c:pt>
                <c:pt idx="25">
                  <c:v>2.6620689655172409</c:v>
                </c:pt>
                <c:pt idx="26">
                  <c:v>4.1620689655172409</c:v>
                </c:pt>
                <c:pt idx="27">
                  <c:v>4.1620689655172409</c:v>
                </c:pt>
                <c:pt idx="28">
                  <c:v>5.6620689655172409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A58-8BB1-C1FD9554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32928"/>
        <c:axId val="57068240"/>
      </c:barChart>
      <c:catAx>
        <c:axId val="1388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68240"/>
        <c:crosses val="autoZero"/>
        <c:auto val="1"/>
        <c:lblAlgn val="ctr"/>
        <c:lblOffset val="100"/>
        <c:noMultiLvlLbl val="0"/>
      </c:catAx>
      <c:valAx>
        <c:axId val="570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161926</xdr:rowOff>
    </xdr:from>
    <xdr:to>
      <xdr:col>13</xdr:col>
      <xdr:colOff>233362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D2060B-B220-450E-8A77-FDD17885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9525</xdr:rowOff>
    </xdr:from>
    <xdr:ext cx="1835631" cy="192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14:m>
                <m:oMath xmlns:m="http://schemas.openxmlformats.org/officeDocument/2006/math">
                  <m:r>
                    <a:rPr lang="zh-CN" altLang="en-US" sz="110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平方和</m:t>
                  </m:r>
                  <m:sSup>
                    <m:sSupPr>
                      <m:ctrl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d</m:t>
                      </m:r>
                    </m:e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zh-CN" sz="11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 </m:t>
                  </m:r>
                  <m:nary>
                    <m:naryPr>
                      <m:chr m:val="∑"/>
                      <m:ctrl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d>
                        <m:dPr>
                          <m:ctrlP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²</m:t>
                      </m:r>
                    </m:e>
                  </m:nary>
                </m:oMath>
              </a14:m>
              <a:endParaRPr lang="zh-CN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:r>
                <a:rPr lang="zh-CN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平方和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d〗^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2=  ∑24_𝑖^𝑛▒(𝑥_𝑖−𝑥 ̅ )²</a:t>
              </a:r>
              <a:endParaRPr lang="zh-CN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42862</xdr:colOff>
      <xdr:row>24</xdr:row>
      <xdr:rowOff>71437</xdr:rowOff>
    </xdr:from>
    <xdr:ext cx="2981201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v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×100%</m:t>
                        </m:r>
                      </m:e>
                    </m:rad>
                  </m:oMath>
                </m:oMathPara>
              </a14:m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𝐶_</a:t>
              </a:r>
              <a:r>
                <a:rPr lang="en-US" altLang="zh-CN" sz="1200" i="0">
                  <a:latin typeface="Cambria Math" panose="02040503050406030204" pitchFamily="18" charset="0"/>
                </a:rPr>
                <a:t>v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=𝑆/x ̅ 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×100%=1/𝑥 ̅ ×√((∑24_𝑖^𝑛▒〖(𝑥_𝑖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−𝑥 ̅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)〗^2 )/(𝑛−1)×100%)</a:t>
              </a:r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12</xdr:col>
      <xdr:colOff>247650</xdr:colOff>
      <xdr:row>24</xdr:row>
      <xdr:rowOff>114301</xdr:rowOff>
    </xdr:from>
    <xdr:to>
      <xdr:col>17</xdr:col>
      <xdr:colOff>304692</xdr:colOff>
      <xdr:row>29</xdr:row>
      <xdr:rowOff>171450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54FEEB5-8408-488B-A546-D6B4BF70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4457701"/>
          <a:ext cx="3486042" cy="962024"/>
        </a:xfrm>
        <a:prstGeom prst="rect">
          <a:avLst/>
        </a:prstGeom>
      </xdr:spPr>
    </xdr:pic>
    <xdr:clientData/>
  </xdr:twoCellAnchor>
  <xdr:oneCellAnchor>
    <xdr:from>
      <xdr:col>10</xdr:col>
      <xdr:colOff>138112</xdr:colOff>
      <xdr:row>24</xdr:row>
      <xdr:rowOff>100012</xdr:rowOff>
    </xdr:from>
    <xdr:ext cx="1330557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1=∑24_(𝑖=1)^𝑛▒〖1/𝑛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 〗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5</xdr:col>
      <xdr:colOff>4762</xdr:colOff>
      <xdr:row>6</xdr:row>
      <xdr:rowOff>109537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)〗^3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128587</xdr:rowOff>
    </xdr:from>
    <xdr:ext cx="1496115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nary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2=∑24_(𝑖=1)^𝑛▒〖1/𝑛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4 〗-3</a:t>
              </a:r>
              <a:endParaRPr lang="zh-CN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104775</xdr:colOff>
      <xdr:row>34</xdr:row>
      <xdr:rowOff>57150</xdr:rowOff>
    </xdr:from>
    <xdr:to>
      <xdr:col>4</xdr:col>
      <xdr:colOff>381000</xdr:colOff>
      <xdr:row>40</xdr:row>
      <xdr:rowOff>43095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23B788A-7F92-4D7B-914D-03B80F79C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6219825"/>
          <a:ext cx="1647825" cy="107179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128587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)〗^4</a:t>
              </a:r>
              <a:endParaRPr lang="zh-CN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71437</xdr:rowOff>
    </xdr:from>
    <xdr:ext cx="556114" cy="433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e>
                        </m:acc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𝑅=(𝑟_1 ) ̅/(𝑟_𝐸 ) ̅ 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6</xdr:col>
      <xdr:colOff>0</xdr:colOff>
      <xdr:row>4</xdr:row>
      <xdr:rowOff>80962</xdr:rowOff>
    </xdr:from>
    <xdr:ext cx="930511" cy="495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n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𝑅=1/(2√(n/𝐴))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11</xdr:col>
      <xdr:colOff>476250</xdr:colOff>
      <xdr:row>0</xdr:row>
      <xdr:rowOff>0</xdr:rowOff>
    </xdr:from>
    <xdr:to>
      <xdr:col>16</xdr:col>
      <xdr:colOff>331870</xdr:colOff>
      <xdr:row>9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7482DD9-8C08-4F78-8685-6E80B881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0"/>
          <a:ext cx="3284620" cy="1714500"/>
        </a:xfrm>
        <a:prstGeom prst="rect">
          <a:avLst/>
        </a:prstGeom>
      </xdr:spPr>
    </xdr:pic>
    <xdr:clientData/>
  </xdr:twoCellAnchor>
  <xdr:twoCellAnchor>
    <xdr:from>
      <xdr:col>11</xdr:col>
      <xdr:colOff>633412</xdr:colOff>
      <xdr:row>10</xdr:row>
      <xdr:rowOff>90487</xdr:rowOff>
    </xdr:from>
    <xdr:to>
      <xdr:col>17</xdr:col>
      <xdr:colOff>238125</xdr:colOff>
      <xdr:row>23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161751-B89A-4328-B1A2-AD5F840D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9526</xdr:rowOff>
    </xdr:from>
    <xdr:to>
      <xdr:col>6</xdr:col>
      <xdr:colOff>198359</xdr:colOff>
      <xdr:row>12</xdr:row>
      <xdr:rowOff>66675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15B4F4FC-7536-4436-83AF-0CCD9CDD3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1"/>
          <a:ext cx="4313158" cy="2047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8</xdr:col>
      <xdr:colOff>200025</xdr:colOff>
      <xdr:row>13</xdr:row>
      <xdr:rowOff>16492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9C2E7636-5657-4BF4-A44A-B41A5926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686425" cy="2178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12</xdr:row>
      <xdr:rowOff>33335</xdr:rowOff>
    </xdr:from>
    <xdr:to>
      <xdr:col>13</xdr:col>
      <xdr:colOff>190500</xdr:colOff>
      <xdr:row>31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9C6771-C611-425B-9B89-05888467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157160</xdr:colOff>
      <xdr:row>0</xdr:row>
      <xdr:rowOff>85725</xdr:rowOff>
    </xdr:from>
    <xdr:to>
      <xdr:col>18</xdr:col>
      <xdr:colOff>361950</xdr:colOff>
      <xdr:row>22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F86FE4-AB5B-4B9E-B75A-3676A353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23</xdr:row>
      <xdr:rowOff>47624</xdr:rowOff>
    </xdr:from>
    <xdr:to>
      <xdr:col>15</xdr:col>
      <xdr:colOff>14287</xdr:colOff>
      <xdr:row>35</xdr:row>
      <xdr:rowOff>157161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050385-32F6-4BD2-9CF9-D67D88DE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252412</xdr:colOff>
      <xdr:row>33</xdr:row>
      <xdr:rowOff>33337</xdr:rowOff>
    </xdr:from>
    <xdr:ext cx="2165529" cy="863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3488102-8410-4F71-B541-A8FF9536B813}"/>
                </a:ext>
              </a:extLst>
            </xdr:cNvPr>
            <xdr:cNvSpPr txBox="1"/>
          </xdr:nvSpPr>
          <xdr:spPr>
            <a:xfrm>
              <a:off x="3986212" y="6319837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4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zh-CN" alt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zh-CN" altLang="en-US" sz="14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altLang="zh-CN" sz="14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den>
                            </m:f>
                          </m:e>
                        </m:rad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3488102-8410-4F71-B541-A8FF9536B813}"/>
                </a:ext>
              </a:extLst>
            </xdr:cNvPr>
            <xdr:cNvSpPr txBox="1"/>
          </xdr:nvSpPr>
          <xdr:spPr>
            <a:xfrm>
              <a:off x="3986212" y="6319837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400" i="0">
                  <a:latin typeface="Cambria Math" panose="02040503050406030204" pitchFamily="18" charset="0"/>
                </a:rPr>
                <a:t>𝑡=(𝑥 ̅_1−𝑥 ̅_2)/(√((𝑛_1 𝑠_1^2+𝑛_2 𝑠_2^</a:t>
              </a:r>
              <a:r>
                <a:rPr lang="en-US" altLang="zh-CN" sz="1400" i="0">
                  <a:latin typeface="Cambria Math" panose="02040503050406030204" pitchFamily="18" charset="0"/>
                </a:rPr>
                <a:t>2</a:t>
              </a:r>
              <a:r>
                <a:rPr lang="zh-CN" altLang="en-US" sz="1400" i="0">
                  <a:latin typeface="Cambria Math" panose="02040503050406030204" pitchFamily="18" charset="0"/>
                </a:rPr>
                <a:t>)/(𝑛_1+𝑛_2−2)) √(1/𝑛_1 +1/𝑛_2 ))</a:t>
              </a:r>
              <a:endParaRPr lang="zh-CN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E80-9D8D-4976-9A84-7424C14A5469}">
  <dimension ref="A1:O32"/>
  <sheetViews>
    <sheetView workbookViewId="0">
      <selection activeCell="F6" sqref="F6"/>
    </sheetView>
  </sheetViews>
  <sheetFormatPr defaultRowHeight="14.25" x14ac:dyDescent="0.2"/>
  <cols>
    <col min="3" max="3" width="11" bestFit="1" customWidth="1"/>
    <col min="9" max="10" width="9.375" bestFit="1" customWidth="1"/>
    <col min="15" max="15" width="18.375" customWidth="1"/>
  </cols>
  <sheetData>
    <row r="1" spans="1:15" x14ac:dyDescent="0.2">
      <c r="A1" s="21" t="s">
        <v>0</v>
      </c>
      <c r="C1" t="s">
        <v>1</v>
      </c>
      <c r="D1">
        <f>MAX(A2:A32)</f>
        <v>52961.86</v>
      </c>
    </row>
    <row r="2" spans="1:15" x14ac:dyDescent="0.2">
      <c r="A2" s="22">
        <v>26935.759999999998</v>
      </c>
      <c r="C2" t="s">
        <v>2</v>
      </c>
      <c r="D2">
        <f>MIN(A2:A32)</f>
        <v>23767.08</v>
      </c>
    </row>
    <row r="3" spans="1:15" x14ac:dyDescent="0.2">
      <c r="A3" s="22">
        <v>52859.17</v>
      </c>
      <c r="C3" t="s">
        <v>7</v>
      </c>
      <c r="D3">
        <f>COUNT(A2:A32)</f>
        <v>31</v>
      </c>
    </row>
    <row r="4" spans="1:15" x14ac:dyDescent="0.2">
      <c r="A4" s="22">
        <v>33275.339999999997</v>
      </c>
    </row>
    <row r="5" spans="1:15" x14ac:dyDescent="0.2">
      <c r="A5" s="22">
        <v>23767.08</v>
      </c>
      <c r="C5" s="1" t="s">
        <v>3</v>
      </c>
      <c r="D5" s="2"/>
      <c r="G5" s="9" t="s">
        <v>16</v>
      </c>
      <c r="H5" s="12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4" t="s">
        <v>24</v>
      </c>
    </row>
    <row r="6" spans="1:15" x14ac:dyDescent="0.2">
      <c r="A6" s="22">
        <v>34757.160000000003</v>
      </c>
      <c r="C6" s="3" t="s">
        <v>5</v>
      </c>
      <c r="D6" s="4">
        <f>ABS(D1-D2)</f>
        <v>29194.78</v>
      </c>
      <c r="G6" s="9">
        <v>1</v>
      </c>
      <c r="H6" s="9">
        <f>D18</f>
        <v>21334.181666666667</v>
      </c>
      <c r="I6" s="15">
        <f>H6+$D$14</f>
        <v>26199.978333333333</v>
      </c>
      <c r="J6" s="15">
        <f>(H6+I6)/2</f>
        <v>23767.08</v>
      </c>
      <c r="K6" s="9">
        <f>SUMPRODUCT(($A$2:$A$32&gt;=H6)*($A$2:$A$32&lt;=I6))</f>
        <v>10</v>
      </c>
      <c r="L6" s="9">
        <f t="shared" ref="L6:L12" si="0">K6/$D$3</f>
        <v>0.32258064516129031</v>
      </c>
      <c r="M6" s="9">
        <f>K6</f>
        <v>10</v>
      </c>
      <c r="N6" s="9">
        <f>L6</f>
        <v>0.32258064516129031</v>
      </c>
      <c r="O6" t="str">
        <f>"["&amp;ROUND(H6,2)&amp;", "&amp;ROUND(I6,2)&amp;")"</f>
        <v>[21334.18, 26199.98)</v>
      </c>
    </row>
    <row r="7" spans="1:15" x14ac:dyDescent="0.2">
      <c r="A7" s="22">
        <v>26415.87</v>
      </c>
      <c r="G7" s="9">
        <v>2</v>
      </c>
      <c r="H7" s="9">
        <f>I6</f>
        <v>26199.978333333333</v>
      </c>
      <c r="I7" s="15">
        <f>H7+$D$14</f>
        <v>31065.774999999998</v>
      </c>
      <c r="J7" s="15">
        <f t="shared" ref="J7:J11" si="1">(H7+I7)/2</f>
        <v>28632.876666666663</v>
      </c>
      <c r="K7" s="9">
        <f t="shared" ref="K7:K12" si="2">SUMPRODUCT(($A$2:$A$32&gt;=H7)*($A$2:$A$32&lt;=I7))</f>
        <v>12</v>
      </c>
      <c r="L7" s="9">
        <f t="shared" si="0"/>
        <v>0.38709677419354838</v>
      </c>
      <c r="M7" s="9">
        <f>M6+K7</f>
        <v>22</v>
      </c>
      <c r="N7" s="9">
        <f>N6+L7</f>
        <v>0.70967741935483875</v>
      </c>
      <c r="O7" t="str">
        <f t="shared" ref="O7:O12" si="3">"["&amp;ROUND(H7,2)&amp;", "&amp;ROUND(I7,2)&amp;")"</f>
        <v>[26199.98, 31065.78)</v>
      </c>
    </row>
    <row r="8" spans="1:15" x14ac:dyDescent="0.2">
      <c r="A8" s="22">
        <v>24579.64</v>
      </c>
      <c r="C8" s="1" t="s">
        <v>4</v>
      </c>
      <c r="D8" s="2"/>
      <c r="G8" s="9">
        <v>3</v>
      </c>
      <c r="H8" s="9">
        <f>I7</f>
        <v>31065.774999999998</v>
      </c>
      <c r="I8" s="15">
        <f t="shared" ref="I8:I12" si="4">H8+$D$14</f>
        <v>35931.571666666663</v>
      </c>
      <c r="J8" s="15">
        <f t="shared" si="1"/>
        <v>33498.673333333332</v>
      </c>
      <c r="K8" s="9">
        <f t="shared" si="2"/>
        <v>5</v>
      </c>
      <c r="L8" s="9">
        <f t="shared" si="0"/>
        <v>0.16129032258064516</v>
      </c>
      <c r="M8" s="9">
        <f t="shared" ref="M8:M12" si="5">M7+K8</f>
        <v>27</v>
      </c>
      <c r="N8" s="9">
        <f t="shared" ref="N8:N12" si="6">N7+L8</f>
        <v>0.87096774193548387</v>
      </c>
      <c r="O8" t="str">
        <f t="shared" si="3"/>
        <v>[31065.78, 35931.57)</v>
      </c>
    </row>
    <row r="9" spans="1:15" x14ac:dyDescent="0.2">
      <c r="A9" s="22">
        <v>26356.42</v>
      </c>
      <c r="C9" s="5" t="s">
        <v>6</v>
      </c>
      <c r="D9" s="6">
        <f>1+3.32*LOG10(D3)</f>
        <v>5.9513208235297848</v>
      </c>
      <c r="G9" s="9">
        <v>4</v>
      </c>
      <c r="H9" s="9">
        <f t="shared" ref="H9:H12" si="7">I8</f>
        <v>35931.571666666663</v>
      </c>
      <c r="I9" s="15">
        <f t="shared" si="4"/>
        <v>40797.368333333332</v>
      </c>
      <c r="J9" s="15">
        <f t="shared" si="1"/>
        <v>38364.47</v>
      </c>
      <c r="K9" s="9">
        <f t="shared" si="2"/>
        <v>1</v>
      </c>
      <c r="L9" s="9">
        <f t="shared" si="0"/>
        <v>3.2258064516129031E-2</v>
      </c>
      <c r="M9" s="9">
        <f t="shared" si="5"/>
        <v>28</v>
      </c>
      <c r="N9" s="9">
        <f t="shared" si="6"/>
        <v>0.90322580645161288</v>
      </c>
      <c r="O9" t="str">
        <f t="shared" si="3"/>
        <v>[35931.57, 40797.37)</v>
      </c>
    </row>
    <row r="10" spans="1:15" x14ac:dyDescent="0.2">
      <c r="A10" s="22">
        <v>26152.16</v>
      </c>
      <c r="C10" s="5" t="s">
        <v>8</v>
      </c>
      <c r="D10" s="6"/>
      <c r="G10" s="9">
        <v>5</v>
      </c>
      <c r="H10" s="9">
        <f t="shared" si="7"/>
        <v>40797.368333333332</v>
      </c>
      <c r="I10" s="15">
        <f t="shared" si="4"/>
        <v>45663.165000000001</v>
      </c>
      <c r="J10" s="15">
        <f t="shared" si="1"/>
        <v>43230.266666666663</v>
      </c>
      <c r="K10" s="9">
        <f t="shared" si="2"/>
        <v>1</v>
      </c>
      <c r="L10" s="9">
        <f t="shared" si="0"/>
        <v>3.2258064516129031E-2</v>
      </c>
      <c r="M10" s="9">
        <f t="shared" si="5"/>
        <v>29</v>
      </c>
      <c r="N10" s="9">
        <f t="shared" si="6"/>
        <v>0.93548387096774188</v>
      </c>
      <c r="O10" t="str">
        <f t="shared" si="3"/>
        <v>[40797.37, 45663.17)</v>
      </c>
    </row>
    <row r="11" spans="1:15" x14ac:dyDescent="0.2">
      <c r="A11" s="22">
        <v>25575.61</v>
      </c>
      <c r="C11" s="3"/>
      <c r="D11" s="4">
        <f>ROUND(D9,0)</f>
        <v>6</v>
      </c>
      <c r="G11" s="9">
        <v>6</v>
      </c>
      <c r="H11" s="9">
        <f t="shared" si="7"/>
        <v>45663.165000000001</v>
      </c>
      <c r="I11" s="15">
        <f t="shared" si="4"/>
        <v>50528.96166666667</v>
      </c>
      <c r="J11" s="15">
        <f t="shared" si="1"/>
        <v>48096.063333333339</v>
      </c>
      <c r="K11" s="9">
        <f t="shared" si="2"/>
        <v>0</v>
      </c>
      <c r="L11" s="9">
        <f t="shared" si="0"/>
        <v>0</v>
      </c>
      <c r="M11" s="9">
        <f t="shared" si="5"/>
        <v>29</v>
      </c>
      <c r="N11" s="9">
        <f t="shared" si="6"/>
        <v>0.93548387096774188</v>
      </c>
      <c r="O11" t="str">
        <f t="shared" si="3"/>
        <v>[45663.17, 50528.96)</v>
      </c>
    </row>
    <row r="12" spans="1:15" x14ac:dyDescent="0.2">
      <c r="A12" s="22">
        <v>24202.62</v>
      </c>
      <c r="G12" s="9">
        <v>7</v>
      </c>
      <c r="H12" s="9">
        <f t="shared" si="7"/>
        <v>50528.96166666667</v>
      </c>
      <c r="I12" s="15">
        <f t="shared" si="4"/>
        <v>55394.758333333339</v>
      </c>
      <c r="J12" s="15">
        <f>(H12+I12)/2</f>
        <v>52961.86</v>
      </c>
      <c r="K12" s="9">
        <f t="shared" si="2"/>
        <v>2</v>
      </c>
      <c r="L12" s="9">
        <f t="shared" si="0"/>
        <v>6.4516129032258063E-2</v>
      </c>
      <c r="M12" s="9">
        <f t="shared" si="5"/>
        <v>31</v>
      </c>
      <c r="N12" s="9">
        <f t="shared" si="6"/>
        <v>1</v>
      </c>
      <c r="O12" t="str">
        <f t="shared" si="3"/>
        <v>[50528.96, 55394.76)</v>
      </c>
    </row>
    <row r="13" spans="1:15" x14ac:dyDescent="0.2">
      <c r="A13" s="22">
        <v>27051.47</v>
      </c>
      <c r="C13" s="1" t="s">
        <v>9</v>
      </c>
      <c r="D13" s="2"/>
    </row>
    <row r="14" spans="1:15" x14ac:dyDescent="0.2">
      <c r="A14" s="22">
        <v>28838.07</v>
      </c>
      <c r="C14" s="3" t="s">
        <v>10</v>
      </c>
      <c r="D14" s="4">
        <f>D6/D11</f>
        <v>4865.7966666666662</v>
      </c>
    </row>
    <row r="15" spans="1:15" x14ac:dyDescent="0.2">
      <c r="A15" s="22">
        <v>24900.86</v>
      </c>
    </row>
    <row r="16" spans="1:15" x14ac:dyDescent="0.2">
      <c r="A16" s="22">
        <v>37173.480000000003</v>
      </c>
      <c r="C16" s="1" t="s">
        <v>11</v>
      </c>
      <c r="D16" s="7"/>
      <c r="E16" s="2"/>
    </row>
    <row r="17" spans="1:5" x14ac:dyDescent="0.2">
      <c r="A17" s="22">
        <v>26500.12</v>
      </c>
      <c r="C17" s="8" t="s">
        <v>12</v>
      </c>
      <c r="D17" s="9"/>
      <c r="E17" s="6"/>
    </row>
    <row r="18" spans="1:5" x14ac:dyDescent="0.2">
      <c r="A18" s="22">
        <v>31125.73</v>
      </c>
      <c r="C18" s="5" t="s">
        <v>13</v>
      </c>
      <c r="D18" s="9">
        <f>D2-0.5*D14</f>
        <v>21334.181666666667</v>
      </c>
      <c r="E18" s="6"/>
    </row>
    <row r="19" spans="1:5" x14ac:dyDescent="0.2">
      <c r="A19" s="22">
        <v>30594.1</v>
      </c>
      <c r="C19" s="8" t="s">
        <v>14</v>
      </c>
      <c r="D19" s="9"/>
      <c r="E19" s="6"/>
    </row>
    <row r="20" spans="1:5" x14ac:dyDescent="0.2">
      <c r="A20" s="22">
        <v>25186.01</v>
      </c>
      <c r="C20" s="3" t="s">
        <v>15</v>
      </c>
      <c r="D20" s="10">
        <f>D11+1</f>
        <v>7</v>
      </c>
      <c r="E20" s="4"/>
    </row>
    <row r="21" spans="1:5" x14ac:dyDescent="0.2">
      <c r="A21" s="22">
        <v>24542.35</v>
      </c>
    </row>
    <row r="22" spans="1:5" x14ac:dyDescent="0.2">
      <c r="A22" s="22">
        <v>31545.27</v>
      </c>
    </row>
    <row r="23" spans="1:5" x14ac:dyDescent="0.2">
      <c r="A23" s="22">
        <v>25827.72</v>
      </c>
    </row>
    <row r="24" spans="1:5" x14ac:dyDescent="0.2">
      <c r="A24" s="22">
        <v>26420.21</v>
      </c>
    </row>
    <row r="25" spans="1:5" x14ac:dyDescent="0.2">
      <c r="A25" s="22">
        <v>52961.86</v>
      </c>
    </row>
    <row r="26" spans="1:5" x14ac:dyDescent="0.2">
      <c r="A26" s="22">
        <v>26205.25</v>
      </c>
    </row>
    <row r="27" spans="1:5" x14ac:dyDescent="0.2">
      <c r="A27" s="22">
        <v>34101.35</v>
      </c>
    </row>
    <row r="28" spans="1:5" x14ac:dyDescent="0.2">
      <c r="A28" s="22">
        <v>25456.63</v>
      </c>
    </row>
    <row r="29" spans="1:5" x14ac:dyDescent="0.2">
      <c r="A29" s="22">
        <v>26274.66</v>
      </c>
    </row>
    <row r="30" spans="1:5" x14ac:dyDescent="0.2">
      <c r="A30" s="22">
        <v>26373.23</v>
      </c>
    </row>
    <row r="31" spans="1:5" x14ac:dyDescent="0.2">
      <c r="A31" s="22">
        <v>43714.48</v>
      </c>
    </row>
    <row r="32" spans="1:5" x14ac:dyDescent="0.2">
      <c r="A32" s="22">
        <v>27238.84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B8DD-2336-49BC-9E63-D2F1E9C295E6}">
  <dimension ref="A1:R42"/>
  <sheetViews>
    <sheetView workbookViewId="0">
      <selection activeCell="D6" sqref="D6"/>
    </sheetView>
  </sheetViews>
  <sheetFormatPr defaultRowHeight="14.25" x14ac:dyDescent="0.2"/>
  <cols>
    <col min="1" max="1" width="10.125" customWidth="1"/>
  </cols>
  <sheetData>
    <row r="1" spans="1:18" ht="14.25" customHeight="1" x14ac:dyDescent="0.2">
      <c r="A1" s="18" t="s">
        <v>25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</row>
    <row r="2" spans="1:18" ht="14.25" customHeight="1" x14ac:dyDescent="0.2">
      <c r="A2" s="18" t="s">
        <v>26</v>
      </c>
      <c r="B2" s="18">
        <v>12</v>
      </c>
      <c r="C2" s="18">
        <v>83</v>
      </c>
      <c r="D2" s="18">
        <v>50</v>
      </c>
      <c r="E2" s="18">
        <v>35</v>
      </c>
      <c r="F2" s="18">
        <v>55</v>
      </c>
      <c r="G2" s="18">
        <v>50</v>
      </c>
      <c r="H2" s="18">
        <v>72</v>
      </c>
      <c r="I2" s="18">
        <v>40</v>
      </c>
      <c r="J2" s="18">
        <v>85</v>
      </c>
      <c r="K2" s="18">
        <v>29</v>
      </c>
      <c r="L2" s="18">
        <v>65</v>
      </c>
      <c r="M2" s="18">
        <v>75</v>
      </c>
    </row>
    <row r="3" spans="1:18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8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8" ht="13.5" customHeight="1" x14ac:dyDescent="0.2">
      <c r="A5" t="s">
        <v>2</v>
      </c>
      <c r="B5">
        <f>MIN(B2:M2)</f>
        <v>12</v>
      </c>
      <c r="F5" s="16" t="s">
        <v>25</v>
      </c>
      <c r="G5" s="16">
        <v>1</v>
      </c>
      <c r="H5" s="16">
        <v>2</v>
      </c>
      <c r="I5" s="16">
        <v>3</v>
      </c>
      <c r="J5" s="16">
        <v>4</v>
      </c>
      <c r="K5" s="16">
        <v>5</v>
      </c>
      <c r="L5" s="16">
        <v>6</v>
      </c>
      <c r="M5" s="16">
        <v>7</v>
      </c>
      <c r="N5" s="16">
        <v>8</v>
      </c>
      <c r="O5" s="16">
        <v>9</v>
      </c>
      <c r="P5" s="16">
        <v>10</v>
      </c>
      <c r="Q5" s="16">
        <v>11</v>
      </c>
      <c r="R5" s="16">
        <v>12</v>
      </c>
    </row>
    <row r="6" spans="1:18" ht="15.75" x14ac:dyDescent="0.2">
      <c r="A6" s="16" t="s">
        <v>1</v>
      </c>
      <c r="B6">
        <f>MAX(B2:M2)</f>
        <v>85</v>
      </c>
      <c r="F6" s="16" t="s">
        <v>26</v>
      </c>
      <c r="G6" s="16">
        <v>12</v>
      </c>
      <c r="H6" s="16">
        <v>83</v>
      </c>
      <c r="I6" s="16">
        <v>50</v>
      </c>
      <c r="J6" s="16">
        <v>35</v>
      </c>
      <c r="K6" s="16">
        <v>55</v>
      </c>
      <c r="L6" s="16">
        <v>50</v>
      </c>
      <c r="M6" s="16">
        <v>72</v>
      </c>
      <c r="N6" s="16">
        <v>40</v>
      </c>
      <c r="O6" s="16">
        <v>85</v>
      </c>
      <c r="P6" s="16">
        <v>29</v>
      </c>
      <c r="Q6" s="16">
        <v>65</v>
      </c>
      <c r="R6" s="16">
        <v>75</v>
      </c>
    </row>
    <row r="7" spans="1:18" x14ac:dyDescent="0.2">
      <c r="A7" s="16" t="s">
        <v>28</v>
      </c>
      <c r="B7">
        <f>COUNT(B2:M2)</f>
        <v>12</v>
      </c>
    </row>
    <row r="8" spans="1:18" x14ac:dyDescent="0.2">
      <c r="A8" s="16" t="s">
        <v>32</v>
      </c>
      <c r="B8">
        <f>AVERAGE(B2:M2)</f>
        <v>54.25</v>
      </c>
      <c r="G8">
        <f>(1/$B$7)*((G6-$B$8)/$B$25)^3</f>
        <v>-0.61252971890504915</v>
      </c>
      <c r="H8">
        <f t="shared" ref="H8:R8" si="0">(1/$B$7)*((H6-$B$8)/$B$25)^3</f>
        <v>0.19300145007596453</v>
      </c>
      <c r="I8">
        <f t="shared" si="0"/>
        <v>-6.2346749353050981E-4</v>
      </c>
      <c r="J8">
        <f t="shared" si="0"/>
        <v>-5.7934761901885637E-2</v>
      </c>
      <c r="K8">
        <f t="shared" si="0"/>
        <v>3.4263428303121849E-6</v>
      </c>
      <c r="L8">
        <f t="shared" si="0"/>
        <v>-6.2346749353050981E-4</v>
      </c>
      <c r="M8">
        <f t="shared" si="0"/>
        <v>4.5419473657032014E-2</v>
      </c>
      <c r="N8">
        <f t="shared" si="0"/>
        <v>-2.3501285473111269E-2</v>
      </c>
      <c r="O8">
        <f t="shared" si="0"/>
        <v>0.236146974207946</v>
      </c>
      <c r="P8">
        <f t="shared" si="0"/>
        <v>-0.13074683127457307</v>
      </c>
      <c r="Q8">
        <f t="shared" si="0"/>
        <v>1.0089564422578919E-2</v>
      </c>
      <c r="R8">
        <f t="shared" si="0"/>
        <v>7.2560677330211598E-2</v>
      </c>
    </row>
    <row r="10" spans="1:18" x14ac:dyDescent="0.2">
      <c r="G10">
        <f>(1/$B$7)*((G6-$B$8)/$B$25)^4</f>
        <v>1.1909585183322891</v>
      </c>
      <c r="H10">
        <f t="shared" ref="H10:R10" si="1">(1/$B$7)*((H6-$B$8)/$B$25)^4</f>
        <v>0.2553531255388275</v>
      </c>
      <c r="I10">
        <f t="shared" si="1"/>
        <v>1.21939806665233E-4</v>
      </c>
      <c r="J10">
        <f t="shared" si="1"/>
        <v>5.1323080701081256E-2</v>
      </c>
      <c r="K10">
        <f t="shared" si="1"/>
        <v>1.1825917242231144E-7</v>
      </c>
      <c r="L10">
        <f t="shared" si="1"/>
        <v>1.21939806665233E-4</v>
      </c>
      <c r="M10">
        <f t="shared" si="1"/>
        <v>3.7100794628639203E-2</v>
      </c>
      <c r="N10">
        <f t="shared" si="1"/>
        <v>1.541165360924804E-2</v>
      </c>
      <c r="O10">
        <f t="shared" si="1"/>
        <v>0.33417215732324301</v>
      </c>
      <c r="P10">
        <f t="shared" si="1"/>
        <v>0.15192712227399829</v>
      </c>
      <c r="Q10">
        <f t="shared" si="1"/>
        <v>4.9914145300811183E-3</v>
      </c>
      <c r="R10">
        <f t="shared" si="1"/>
        <v>6.9288663777930901E-2</v>
      </c>
    </row>
    <row r="12" spans="1:18" x14ac:dyDescent="0.2">
      <c r="A12" s="1" t="s">
        <v>27</v>
      </c>
      <c r="B12" s="2"/>
    </row>
    <row r="13" spans="1:18" x14ac:dyDescent="0.2">
      <c r="A13" s="3" t="s">
        <v>29</v>
      </c>
      <c r="B13" s="4">
        <f>B6-B5</f>
        <v>73</v>
      </c>
    </row>
    <row r="15" spans="1:18" x14ac:dyDescent="0.2">
      <c r="A15" s="1" t="s">
        <v>31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8" x14ac:dyDescent="0.2">
      <c r="A16" s="3" t="s">
        <v>30</v>
      </c>
      <c r="B16" s="10">
        <f>B2-$B$8</f>
        <v>-42.25</v>
      </c>
      <c r="C16" s="10">
        <f t="shared" ref="C16:M16" si="2">C2-$B$8</f>
        <v>28.75</v>
      </c>
      <c r="D16" s="10">
        <f t="shared" si="2"/>
        <v>-4.25</v>
      </c>
      <c r="E16" s="10">
        <f t="shared" si="2"/>
        <v>-19.25</v>
      </c>
      <c r="F16" s="10">
        <f t="shared" si="2"/>
        <v>0.75</v>
      </c>
      <c r="G16" s="10">
        <f t="shared" si="2"/>
        <v>-4.25</v>
      </c>
      <c r="H16" s="10">
        <f t="shared" si="2"/>
        <v>17.75</v>
      </c>
      <c r="I16" s="10">
        <f t="shared" si="2"/>
        <v>-14.25</v>
      </c>
      <c r="J16" s="10">
        <f t="shared" si="2"/>
        <v>30.75</v>
      </c>
      <c r="K16" s="10">
        <f t="shared" si="2"/>
        <v>-25.25</v>
      </c>
      <c r="L16" s="10">
        <f t="shared" si="2"/>
        <v>10.75</v>
      </c>
      <c r="M16" s="4">
        <f t="shared" si="2"/>
        <v>20.75</v>
      </c>
    </row>
    <row r="19" spans="1:18" x14ac:dyDescent="0.2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8" x14ac:dyDescent="0.2">
      <c r="A20" s="5" t="s">
        <v>33</v>
      </c>
      <c r="B20" s="9">
        <f>B16^2</f>
        <v>1785.0625</v>
      </c>
      <c r="C20" s="9">
        <f t="shared" ref="C20:M20" si="3">C16^2</f>
        <v>826.5625</v>
      </c>
      <c r="D20" s="9">
        <f t="shared" si="3"/>
        <v>18.0625</v>
      </c>
      <c r="E20" s="9">
        <f t="shared" si="3"/>
        <v>370.5625</v>
      </c>
      <c r="F20" s="9">
        <f t="shared" si="3"/>
        <v>0.5625</v>
      </c>
      <c r="G20" s="9">
        <f t="shared" si="3"/>
        <v>18.0625</v>
      </c>
      <c r="H20" s="9">
        <f t="shared" si="3"/>
        <v>315.0625</v>
      </c>
      <c r="I20" s="9">
        <f t="shared" si="3"/>
        <v>203.0625</v>
      </c>
      <c r="J20" s="9">
        <f t="shared" si="3"/>
        <v>945.5625</v>
      </c>
      <c r="K20" s="9">
        <f t="shared" si="3"/>
        <v>637.5625</v>
      </c>
      <c r="L20" s="9">
        <f t="shared" si="3"/>
        <v>115.5625</v>
      </c>
      <c r="M20" s="6">
        <f t="shared" si="3"/>
        <v>430.5625</v>
      </c>
    </row>
    <row r="21" spans="1:18" x14ac:dyDescent="0.2">
      <c r="A21" s="3" t="s">
        <v>34</v>
      </c>
      <c r="B21" s="10">
        <f>SUM(B20:M20)</f>
        <v>5666.25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"/>
    </row>
    <row r="24" spans="1:18" x14ac:dyDescent="0.2">
      <c r="A24" s="1" t="s">
        <v>37</v>
      </c>
      <c r="B24" s="7">
        <f>1/B7*B21</f>
        <v>472.1875</v>
      </c>
      <c r="C24" s="2">
        <f>_xlfn.VAR.P(B2:M2)</f>
        <v>472.1875</v>
      </c>
      <c r="E24" s="1" t="s">
        <v>35</v>
      </c>
      <c r="F24" s="7"/>
      <c r="G24" s="7"/>
      <c r="H24" s="7"/>
      <c r="I24" s="2"/>
      <c r="K24" s="1" t="s">
        <v>41</v>
      </c>
      <c r="L24" s="7"/>
      <c r="M24" s="7"/>
      <c r="N24" s="7"/>
      <c r="O24" s="7"/>
      <c r="P24" s="7"/>
      <c r="Q24" s="7"/>
      <c r="R24" s="2"/>
    </row>
    <row r="25" spans="1:18" x14ac:dyDescent="0.2">
      <c r="A25" s="17" t="s">
        <v>38</v>
      </c>
      <c r="B25" s="9">
        <f>B24^(1/2)</f>
        <v>21.729875747458841</v>
      </c>
      <c r="C25" s="6">
        <f>_xlfn.STDEV.P(B2:M2)</f>
        <v>21.729875747458841</v>
      </c>
      <c r="E25" s="5"/>
      <c r="F25" s="9"/>
      <c r="G25" s="9"/>
      <c r="H25" s="9"/>
      <c r="I25" s="6"/>
      <c r="K25" s="5"/>
      <c r="L25" s="9"/>
      <c r="M25" s="9"/>
      <c r="N25" s="9"/>
      <c r="O25" s="9"/>
      <c r="P25" s="9"/>
      <c r="Q25" s="9"/>
      <c r="R25" s="6"/>
    </row>
    <row r="26" spans="1:18" x14ac:dyDescent="0.2">
      <c r="A26" s="17" t="s">
        <v>36</v>
      </c>
      <c r="B26" s="9"/>
      <c r="C26" s="6"/>
      <c r="E26" s="5"/>
      <c r="F26" s="9"/>
      <c r="G26" s="9"/>
      <c r="H26" s="9"/>
      <c r="I26" s="6"/>
      <c r="K26" s="5"/>
      <c r="L26" s="9"/>
      <c r="M26" s="9"/>
      <c r="N26" s="9"/>
      <c r="O26" s="9"/>
      <c r="P26" s="9"/>
      <c r="Q26" s="9"/>
      <c r="R26" s="6"/>
    </row>
    <row r="27" spans="1:18" x14ac:dyDescent="0.2">
      <c r="A27" s="3">
        <f>(1/(B7-1)*(B21))^(1/2)</f>
        <v>22.696115005957218</v>
      </c>
      <c r="B27" s="10">
        <f>_xlfn.STDEV.S(B2:M2)</f>
        <v>22.696115005957218</v>
      </c>
      <c r="C27" s="4"/>
      <c r="E27" s="5"/>
      <c r="F27" s="9"/>
      <c r="G27" s="9"/>
      <c r="H27" s="9"/>
      <c r="I27" s="6"/>
      <c r="K27" s="5"/>
      <c r="L27" s="9"/>
      <c r="M27" s="9"/>
      <c r="N27" s="9"/>
      <c r="O27" s="9"/>
      <c r="P27" s="9"/>
      <c r="Q27" s="9"/>
      <c r="R27" s="6"/>
    </row>
    <row r="28" spans="1:18" x14ac:dyDescent="0.2">
      <c r="E28" s="5"/>
      <c r="F28" s="9"/>
      <c r="G28" s="9"/>
      <c r="H28" s="9"/>
      <c r="I28" s="6"/>
      <c r="K28" s="5"/>
      <c r="L28" s="9"/>
      <c r="M28" s="9"/>
      <c r="N28" s="9"/>
      <c r="O28" s="9"/>
      <c r="P28" s="9"/>
      <c r="Q28" s="9"/>
      <c r="R28" s="6"/>
    </row>
    <row r="29" spans="1:18" x14ac:dyDescent="0.2">
      <c r="E29" s="3" t="s">
        <v>39</v>
      </c>
      <c r="F29" s="10">
        <f>A27/B8</f>
        <v>0.41836156693008697</v>
      </c>
      <c r="G29" s="10"/>
      <c r="H29" s="10"/>
      <c r="I29" s="4"/>
      <c r="K29" s="5"/>
      <c r="L29" s="9"/>
      <c r="M29" s="9"/>
      <c r="N29" s="9"/>
      <c r="O29" s="9"/>
      <c r="P29" s="9"/>
      <c r="Q29" s="9"/>
      <c r="R29" s="6"/>
    </row>
    <row r="30" spans="1:18" x14ac:dyDescent="0.2">
      <c r="K30" s="5"/>
      <c r="L30" s="9"/>
      <c r="M30" s="9"/>
      <c r="N30" s="9"/>
      <c r="O30" s="9"/>
      <c r="P30" s="9"/>
      <c r="Q30" s="9"/>
      <c r="R30" s="6"/>
    </row>
    <row r="31" spans="1:18" x14ac:dyDescent="0.2">
      <c r="K31" s="5"/>
      <c r="L31" s="9"/>
      <c r="M31" s="9"/>
      <c r="N31" s="9"/>
      <c r="O31" s="9"/>
      <c r="P31" s="9"/>
      <c r="Q31" s="9"/>
      <c r="R31" s="6"/>
    </row>
    <row r="32" spans="1:18" x14ac:dyDescent="0.2">
      <c r="K32" s="5"/>
      <c r="L32" s="9"/>
      <c r="M32" s="9"/>
      <c r="N32" s="9"/>
      <c r="O32" s="9"/>
      <c r="P32" s="9"/>
      <c r="Q32" s="9"/>
      <c r="R32" s="6"/>
    </row>
    <row r="33" spans="1:18" x14ac:dyDescent="0.2">
      <c r="K33" s="3" t="s">
        <v>40</v>
      </c>
      <c r="L33" s="10">
        <f>SUM(G8:R8)</f>
        <v>-0.26873796650511667</v>
      </c>
      <c r="M33" s="10"/>
      <c r="N33" s="10"/>
      <c r="O33" s="10"/>
      <c r="P33" s="10"/>
      <c r="Q33" s="10"/>
      <c r="R33" s="4"/>
    </row>
    <row r="34" spans="1:18" x14ac:dyDescent="0.2">
      <c r="A34" s="1" t="s">
        <v>43</v>
      </c>
      <c r="B34" s="7"/>
      <c r="C34" s="7"/>
      <c r="D34" s="7"/>
      <c r="E34" s="2"/>
    </row>
    <row r="35" spans="1:18" x14ac:dyDescent="0.2">
      <c r="A35" s="5"/>
      <c r="B35" s="9"/>
      <c r="C35" s="9"/>
      <c r="D35" s="9"/>
      <c r="E35" s="6"/>
    </row>
    <row r="36" spans="1:18" x14ac:dyDescent="0.2">
      <c r="A36" s="5"/>
      <c r="B36" s="9"/>
      <c r="C36" s="9"/>
      <c r="D36" s="9"/>
      <c r="E36" s="6"/>
    </row>
    <row r="37" spans="1:18" x14ac:dyDescent="0.2">
      <c r="A37" s="5"/>
      <c r="B37" s="9"/>
      <c r="C37" s="9"/>
      <c r="D37" s="9"/>
      <c r="E37" s="6"/>
    </row>
    <row r="38" spans="1:18" x14ac:dyDescent="0.2">
      <c r="A38" s="5"/>
      <c r="B38" s="9"/>
      <c r="C38" s="9"/>
      <c r="D38" s="9"/>
      <c r="E38" s="6"/>
    </row>
    <row r="39" spans="1:18" x14ac:dyDescent="0.2">
      <c r="A39" s="5"/>
      <c r="B39" s="9"/>
      <c r="C39" s="9"/>
      <c r="D39" s="9"/>
      <c r="E39" s="6"/>
    </row>
    <row r="40" spans="1:18" x14ac:dyDescent="0.2">
      <c r="A40" s="5"/>
      <c r="B40" s="9"/>
      <c r="C40" s="9"/>
      <c r="D40" s="9"/>
      <c r="E40" s="6"/>
    </row>
    <row r="41" spans="1:18" x14ac:dyDescent="0.2">
      <c r="A41" s="5"/>
      <c r="B41" s="9"/>
      <c r="C41" s="9"/>
      <c r="D41" s="9"/>
      <c r="E41" s="6"/>
    </row>
    <row r="42" spans="1:18" x14ac:dyDescent="0.2">
      <c r="A42" s="3" t="s">
        <v>42</v>
      </c>
      <c r="B42" s="10">
        <f>SUM(G10:R10)-3</f>
        <v>-0.88922947141215847</v>
      </c>
      <c r="C42" s="10"/>
      <c r="D42" s="10"/>
      <c r="E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4793-C80A-4C29-800D-16D37CF28AC2}">
  <dimension ref="A1:Q41"/>
  <sheetViews>
    <sheetView workbookViewId="0">
      <selection activeCell="G24" sqref="G24"/>
    </sheetView>
  </sheetViews>
  <sheetFormatPr defaultRowHeight="14.25" x14ac:dyDescent="0.2"/>
  <cols>
    <col min="1" max="1" width="9.625" customWidth="1"/>
  </cols>
  <sheetData>
    <row r="1" spans="1:17" x14ac:dyDescent="0.2">
      <c r="A1" s="18" t="s">
        <v>55</v>
      </c>
      <c r="B1" s="18" t="s">
        <v>44</v>
      </c>
      <c r="C1" s="19" t="s">
        <v>45</v>
      </c>
      <c r="E1" s="11" t="s">
        <v>52</v>
      </c>
      <c r="F1" s="7"/>
      <c r="G1" s="23" t="s">
        <v>53</v>
      </c>
      <c r="H1" s="7"/>
      <c r="I1" s="7"/>
      <c r="J1" s="7"/>
      <c r="K1" s="7"/>
      <c r="L1" s="7"/>
      <c r="M1" s="7"/>
      <c r="N1" s="7"/>
      <c r="O1" s="7"/>
      <c r="P1" s="7"/>
      <c r="Q1" s="2"/>
    </row>
    <row r="2" spans="1:17" x14ac:dyDescent="0.2">
      <c r="A2" s="18">
        <v>1953</v>
      </c>
      <c r="B2" s="18">
        <v>151</v>
      </c>
      <c r="C2" s="18">
        <v>160.31</v>
      </c>
      <c r="E2" s="5">
        <v>9600000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6"/>
    </row>
    <row r="3" spans="1:17" x14ac:dyDescent="0.2">
      <c r="A3" s="18">
        <v>1963</v>
      </c>
      <c r="B3" s="18">
        <v>210</v>
      </c>
      <c r="C3" s="18">
        <v>95.96</v>
      </c>
      <c r="E3" s="5"/>
      <c r="F3" s="9"/>
      <c r="G3" s="9"/>
      <c r="H3" s="9" t="s">
        <v>54</v>
      </c>
      <c r="I3" s="9" t="s">
        <v>56</v>
      </c>
      <c r="J3" s="9" t="s">
        <v>57</v>
      </c>
      <c r="K3" s="9" t="s">
        <v>58</v>
      </c>
      <c r="L3" s="9"/>
      <c r="M3" s="9"/>
      <c r="N3" s="9"/>
      <c r="O3" s="9"/>
      <c r="P3" s="9"/>
      <c r="Q3" s="6"/>
    </row>
    <row r="4" spans="1:17" x14ac:dyDescent="0.2">
      <c r="A4" s="18">
        <v>1973</v>
      </c>
      <c r="B4" s="18">
        <v>271</v>
      </c>
      <c r="C4" s="18">
        <v>83.79</v>
      </c>
      <c r="E4" s="5"/>
      <c r="F4" s="9"/>
      <c r="G4" s="9"/>
      <c r="H4" s="9">
        <v>1953</v>
      </c>
      <c r="I4" s="9">
        <v>151</v>
      </c>
      <c r="J4" s="9">
        <f>1/(2*(B2/$E$2)^(1/2))</f>
        <v>126.07156592626008</v>
      </c>
      <c r="K4" s="9">
        <f>C2/J4</f>
        <v>1.2715793511581046</v>
      </c>
      <c r="L4" s="9"/>
      <c r="M4" s="9"/>
      <c r="N4" s="9"/>
      <c r="O4" s="9"/>
      <c r="P4" s="9"/>
      <c r="Q4" s="6"/>
    </row>
    <row r="5" spans="1:17" x14ac:dyDescent="0.2">
      <c r="A5" s="18">
        <v>1978</v>
      </c>
      <c r="B5" s="18">
        <v>302</v>
      </c>
      <c r="C5" s="18">
        <v>81.02</v>
      </c>
      <c r="E5" s="5"/>
      <c r="F5" s="9"/>
      <c r="G5" s="9"/>
      <c r="H5" s="9">
        <v>1963</v>
      </c>
      <c r="I5" s="9">
        <v>210</v>
      </c>
      <c r="J5" s="9">
        <f>1/(2*(B3/$E$2)^(1/2))</f>
        <v>106.90449676496975</v>
      </c>
      <c r="K5" s="9">
        <f>C3/J5</f>
        <v>0.89762360708706856</v>
      </c>
      <c r="L5" s="9"/>
      <c r="M5" s="9"/>
      <c r="N5" s="9"/>
      <c r="O5" s="9"/>
      <c r="P5" s="9"/>
      <c r="Q5" s="6"/>
    </row>
    <row r="6" spans="1:17" x14ac:dyDescent="0.2">
      <c r="E6" s="5"/>
      <c r="F6" s="9"/>
      <c r="G6" s="9"/>
      <c r="H6" s="9">
        <v>1973</v>
      </c>
      <c r="I6" s="9">
        <v>271</v>
      </c>
      <c r="J6" s="9">
        <f>1/(2*(B4/$E$2)^(1/2))</f>
        <v>94.106793383291986</v>
      </c>
      <c r="K6" s="9">
        <f>C4/J6</f>
        <v>0.8903714279024233</v>
      </c>
      <c r="L6" s="9"/>
      <c r="M6" s="9"/>
      <c r="N6" s="9"/>
      <c r="O6" s="9"/>
      <c r="P6" s="9"/>
      <c r="Q6" s="6"/>
    </row>
    <row r="7" spans="1:17" x14ac:dyDescent="0.2">
      <c r="E7" s="5"/>
      <c r="F7" s="9"/>
      <c r="G7" s="9"/>
      <c r="H7" s="9">
        <v>1978</v>
      </c>
      <c r="I7" s="9">
        <v>302</v>
      </c>
      <c r="J7" s="9">
        <f>1/(2*(B5/$E$2)^(1/2))</f>
        <v>89.146059181265386</v>
      </c>
      <c r="K7" s="9">
        <f>C5/J7</f>
        <v>0.90884555912065335</v>
      </c>
      <c r="L7" s="9"/>
      <c r="M7" s="9"/>
      <c r="N7" s="9"/>
      <c r="O7" s="9"/>
      <c r="P7" s="9"/>
      <c r="Q7" s="6"/>
    </row>
    <row r="8" spans="1:17" x14ac:dyDescent="0.2">
      <c r="E8" s="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/>
    </row>
    <row r="9" spans="1:17" x14ac:dyDescent="0.2">
      <c r="E9" s="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/>
    </row>
    <row r="10" spans="1:17" x14ac:dyDescent="0.2">
      <c r="E10" s="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4"/>
    </row>
    <row r="12" spans="1:17" x14ac:dyDescent="0.2">
      <c r="A12" s="20" t="s">
        <v>51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7" x14ac:dyDescent="0.2">
      <c r="A13" s="18" t="s">
        <v>46</v>
      </c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8">
        <v>6</v>
      </c>
      <c r="H13" s="18">
        <v>7</v>
      </c>
      <c r="I13" s="18">
        <v>8</v>
      </c>
      <c r="J13" s="18">
        <v>9</v>
      </c>
      <c r="K13" s="18">
        <v>10</v>
      </c>
    </row>
    <row r="14" spans="1:17" x14ac:dyDescent="0.2">
      <c r="A14" s="18" t="s">
        <v>48</v>
      </c>
      <c r="B14" s="18">
        <v>3.58</v>
      </c>
      <c r="C14" s="18">
        <v>7.45</v>
      </c>
      <c r="D14" s="18">
        <v>3.21</v>
      </c>
      <c r="E14" s="18">
        <v>6.47</v>
      </c>
      <c r="F14" s="18">
        <v>5.32</v>
      </c>
      <c r="G14" s="18">
        <v>6.54</v>
      </c>
      <c r="H14" s="18">
        <v>7.81</v>
      </c>
      <c r="I14" s="18">
        <v>9.65</v>
      </c>
      <c r="J14" s="18">
        <v>6.78</v>
      </c>
      <c r="K14" s="18">
        <v>8.92</v>
      </c>
    </row>
    <row r="15" spans="1:17" x14ac:dyDescent="0.2">
      <c r="A15" s="18" t="s">
        <v>50</v>
      </c>
      <c r="B15" s="18">
        <v>6.89</v>
      </c>
      <c r="C15" s="18">
        <v>6.41</v>
      </c>
      <c r="D15" s="18">
        <v>4.2300000000000004</v>
      </c>
      <c r="E15" s="18">
        <v>4.58</v>
      </c>
      <c r="F15" s="18">
        <v>6.31</v>
      </c>
      <c r="G15" s="18">
        <v>2.97</v>
      </c>
      <c r="H15" s="18">
        <v>6.35</v>
      </c>
      <c r="I15" s="18">
        <v>7.43</v>
      </c>
      <c r="J15" s="18">
        <v>5.98</v>
      </c>
      <c r="K15" s="18">
        <v>4.47</v>
      </c>
    </row>
    <row r="18" spans="1:15" x14ac:dyDescent="0.2">
      <c r="A18" s="11"/>
      <c r="B18" s="7" t="s">
        <v>59</v>
      </c>
      <c r="C18" s="7" t="s">
        <v>60</v>
      </c>
      <c r="D18" s="2" t="s">
        <v>32</v>
      </c>
      <c r="F18" s="1" t="s">
        <v>61</v>
      </c>
      <c r="G18" s="2"/>
      <c r="I18" s="11" t="s">
        <v>63</v>
      </c>
      <c r="J18" s="2"/>
    </row>
    <row r="19" spans="1:15" x14ac:dyDescent="0.2">
      <c r="A19" s="5" t="s">
        <v>47</v>
      </c>
      <c r="B19" s="9">
        <f>MAX(B14:K14)</f>
        <v>9.65</v>
      </c>
      <c r="C19" s="9">
        <f>MIN(B14:K14)</f>
        <v>3.21</v>
      </c>
      <c r="D19" s="6">
        <f>AVERAGE(B14:K14)</f>
        <v>6.5730000000000004</v>
      </c>
      <c r="F19" s="5" t="s">
        <v>47</v>
      </c>
      <c r="G19" s="6">
        <f>D19</f>
        <v>6.5730000000000004</v>
      </c>
      <c r="I19" s="3">
        <f>COUNT(B13:K13)</f>
        <v>10</v>
      </c>
      <c r="J19" s="4"/>
    </row>
    <row r="20" spans="1:15" x14ac:dyDescent="0.2">
      <c r="A20" s="3" t="s">
        <v>49</v>
      </c>
      <c r="B20" s="10">
        <f>MAX(B15:K15)</f>
        <v>7.43</v>
      </c>
      <c r="C20" s="10">
        <f>MIN(B15:K15)</f>
        <v>2.97</v>
      </c>
      <c r="D20" s="4">
        <f>AVERAGE(B15:K15)</f>
        <v>5.5619999999999994</v>
      </c>
      <c r="F20" s="3" t="s">
        <v>49</v>
      </c>
      <c r="G20" s="4">
        <f>D20</f>
        <v>5.5619999999999994</v>
      </c>
    </row>
    <row r="23" spans="1:15" x14ac:dyDescent="0.2">
      <c r="A23" s="11" t="s">
        <v>62</v>
      </c>
      <c r="B23" s="2"/>
    </row>
    <row r="24" spans="1:15" x14ac:dyDescent="0.2">
      <c r="A24" s="3">
        <f>(B19-C19)*(B20-C20)</f>
        <v>28.722399999999997</v>
      </c>
      <c r="B24" s="4"/>
    </row>
    <row r="26" spans="1:15" x14ac:dyDescent="0.2">
      <c r="A26" s="11" t="s">
        <v>64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  <c r="H26" s="7">
        <v>7</v>
      </c>
      <c r="I26" s="7">
        <v>8</v>
      </c>
      <c r="J26" s="7">
        <v>9</v>
      </c>
      <c r="K26" s="2">
        <v>10</v>
      </c>
      <c r="N26" t="s">
        <v>48</v>
      </c>
      <c r="O26" t="s">
        <v>50</v>
      </c>
    </row>
    <row r="27" spans="1:15" x14ac:dyDescent="0.2">
      <c r="A27" s="5">
        <v>1</v>
      </c>
      <c r="B27" s="9">
        <v>999</v>
      </c>
      <c r="C27" s="9">
        <f>SQRT((INDEX($N$27:$N$36,C$26)-INDEX($N$27:$N$36,$A27))^2+(INDEX($O$27:$O$36,C$26)-INDEX($O$27:$O$36,$A27))^2)</f>
        <v>3.8996538307906254</v>
      </c>
      <c r="D27" s="9">
        <f>SQRT((INDEX($N$27:$N$36,D$26)-INDEX($N$27:$N$36,$A27))^2+(INDEX($O$27:$O$36,D$26)-INDEX($O$27:$O$36,$A27))^2)</f>
        <v>2.6856098003991562</v>
      </c>
      <c r="E27" s="9">
        <f t="shared" ref="E27:K27" si="0">SQRT((INDEX($N$27:$N$36,E$26)-INDEX($N$27:$N$36,$A27))^2+(INDEX($O$27:$O$36,E$26)-INDEX($O$27:$O$36,$A27))^2)</f>
        <v>3.6997567487606529</v>
      </c>
      <c r="F27" s="9">
        <f t="shared" si="0"/>
        <v>1.8341210428976604</v>
      </c>
      <c r="G27" s="9">
        <f t="shared" si="0"/>
        <v>4.9120260585627999</v>
      </c>
      <c r="H27" s="9">
        <f t="shared" si="0"/>
        <v>4.264328786573568</v>
      </c>
      <c r="I27" s="9">
        <f t="shared" si="0"/>
        <v>6.0939724318378738</v>
      </c>
      <c r="J27" s="9">
        <f t="shared" si="0"/>
        <v>3.3268754109524452</v>
      </c>
      <c r="K27" s="6">
        <f t="shared" si="0"/>
        <v>5.8627638533374347</v>
      </c>
      <c r="N27">
        <v>3.58</v>
      </c>
      <c r="O27">
        <v>6.89</v>
      </c>
    </row>
    <row r="28" spans="1:15" x14ac:dyDescent="0.2">
      <c r="A28" s="5">
        <v>2</v>
      </c>
      <c r="B28" s="9">
        <f>SQRT((INDEX($N$27:$N$36,B$26)-INDEX($N$27:$N$36,$A28))^2+(INDEX($O$27:$O$36,B$26)-INDEX($O$27:$O$36,$A28))^2)</f>
        <v>3.8996538307906254</v>
      </c>
      <c r="C28" s="9">
        <v>999</v>
      </c>
      <c r="D28" s="9">
        <f t="shared" ref="B28:K36" si="1">SQRT((INDEX($N$27:$N$36,D$26)-INDEX($N$27:$N$36,$A28))^2+(INDEX($O$27:$O$36,D$26)-INDEX($O$27:$O$36,$A28))^2)</f>
        <v>4.7675989764240869</v>
      </c>
      <c r="E28" s="9">
        <f t="shared" si="1"/>
        <v>2.0758853532890496</v>
      </c>
      <c r="F28" s="9">
        <f t="shared" si="1"/>
        <v>2.1323461257497573</v>
      </c>
      <c r="G28" s="9">
        <f t="shared" si="1"/>
        <v>3.5583282591689036</v>
      </c>
      <c r="H28" s="9">
        <f t="shared" si="1"/>
        <v>0.3649657518178927</v>
      </c>
      <c r="I28" s="9">
        <f t="shared" si="1"/>
        <v>2.4249536078036629</v>
      </c>
      <c r="J28" s="9">
        <f t="shared" si="1"/>
        <v>0.79611556949980555</v>
      </c>
      <c r="K28" s="6">
        <f t="shared" si="1"/>
        <v>2.4340295807569801</v>
      </c>
      <c r="N28">
        <v>7.45</v>
      </c>
      <c r="O28">
        <v>6.41</v>
      </c>
    </row>
    <row r="29" spans="1:15" x14ac:dyDescent="0.2">
      <c r="A29" s="5">
        <v>3</v>
      </c>
      <c r="B29" s="9">
        <f>SQRT((INDEX($N$27:$N$36,B$26)-INDEX($N$27:$N$36,$A29))^2+(INDEX($O$27:$O$36,B$26)-INDEX($O$27:$O$36,$A29))^2)</f>
        <v>2.6856098003991562</v>
      </c>
      <c r="C29" s="9">
        <f t="shared" si="1"/>
        <v>4.7675989764240869</v>
      </c>
      <c r="D29" s="9">
        <v>999</v>
      </c>
      <c r="E29" s="9">
        <f t="shared" si="1"/>
        <v>3.2787345119725688</v>
      </c>
      <c r="F29" s="9">
        <f t="shared" si="1"/>
        <v>2.9628533544541145</v>
      </c>
      <c r="G29" s="9">
        <f t="shared" si="1"/>
        <v>3.5604072800734472</v>
      </c>
      <c r="H29" s="9">
        <f t="shared" si="1"/>
        <v>5.0650172753900842</v>
      </c>
      <c r="I29" s="9">
        <f t="shared" si="1"/>
        <v>7.1912168650375161</v>
      </c>
      <c r="J29" s="9">
        <f t="shared" si="1"/>
        <v>3.9758521099256194</v>
      </c>
      <c r="K29" s="6">
        <f t="shared" si="1"/>
        <v>5.7150415571542439</v>
      </c>
      <c r="N29">
        <v>3.21</v>
      </c>
      <c r="O29">
        <v>4.2300000000000004</v>
      </c>
    </row>
    <row r="30" spans="1:15" x14ac:dyDescent="0.2">
      <c r="A30" s="5">
        <v>4</v>
      </c>
      <c r="B30" s="9">
        <f t="shared" si="1"/>
        <v>3.6997567487606529</v>
      </c>
      <c r="C30" s="9">
        <f t="shared" si="1"/>
        <v>2.0758853532890496</v>
      </c>
      <c r="D30" s="9">
        <f t="shared" si="1"/>
        <v>3.2787345119725688</v>
      </c>
      <c r="E30" s="9">
        <v>999</v>
      </c>
      <c r="F30" s="9">
        <f t="shared" si="1"/>
        <v>2.0773540863319369</v>
      </c>
      <c r="G30" s="9">
        <f t="shared" si="1"/>
        <v>1.6115210206509871</v>
      </c>
      <c r="H30" s="9">
        <f t="shared" si="1"/>
        <v>2.2200225224082746</v>
      </c>
      <c r="I30" s="9">
        <f t="shared" si="1"/>
        <v>4.2702341856155854</v>
      </c>
      <c r="J30" s="9">
        <f t="shared" si="1"/>
        <v>1.4339107364128361</v>
      </c>
      <c r="K30" s="6">
        <f t="shared" si="1"/>
        <v>2.4524681445433703</v>
      </c>
      <c r="N30">
        <v>6.47</v>
      </c>
      <c r="O30">
        <v>4.58</v>
      </c>
    </row>
    <row r="31" spans="1:15" x14ac:dyDescent="0.2">
      <c r="A31" s="5">
        <v>5</v>
      </c>
      <c r="B31" s="9">
        <f>SQRT((INDEX($N$27:$N$36,B$26)-INDEX($N$27:$N$36,$A31))^2+(INDEX($O$27:$O$36,B$26)-INDEX($O$27:$O$36,$A31))^2)</f>
        <v>1.8341210428976604</v>
      </c>
      <c r="C31" s="9">
        <f t="shared" si="1"/>
        <v>2.1323461257497573</v>
      </c>
      <c r="D31" s="9">
        <f t="shared" si="1"/>
        <v>2.9628533544541145</v>
      </c>
      <c r="E31" s="9">
        <f t="shared" si="1"/>
        <v>2.0773540863319369</v>
      </c>
      <c r="F31" s="9">
        <v>999</v>
      </c>
      <c r="G31" s="9">
        <f t="shared" si="1"/>
        <v>3.555840266378679</v>
      </c>
      <c r="H31" s="9">
        <f t="shared" si="1"/>
        <v>2.4903212644154964</v>
      </c>
      <c r="I31" s="9">
        <f t="shared" si="1"/>
        <v>4.4725048909978842</v>
      </c>
      <c r="J31" s="9">
        <f t="shared" si="1"/>
        <v>1.4968299836654793</v>
      </c>
      <c r="K31" s="6">
        <f t="shared" si="1"/>
        <v>4.0429692059178484</v>
      </c>
      <c r="N31">
        <v>5.32</v>
      </c>
      <c r="O31">
        <v>6.31</v>
      </c>
    </row>
    <row r="32" spans="1:15" x14ac:dyDescent="0.2">
      <c r="A32" s="5">
        <v>6</v>
      </c>
      <c r="B32" s="9">
        <f t="shared" si="1"/>
        <v>4.9120260585627999</v>
      </c>
      <c r="C32" s="9">
        <f t="shared" si="1"/>
        <v>3.5583282591689036</v>
      </c>
      <c r="D32" s="9">
        <f t="shared" si="1"/>
        <v>3.5604072800734472</v>
      </c>
      <c r="E32" s="9">
        <f t="shared" si="1"/>
        <v>1.6115210206509871</v>
      </c>
      <c r="F32" s="9">
        <f t="shared" si="1"/>
        <v>3.555840266378679</v>
      </c>
      <c r="G32" s="9">
        <v>999</v>
      </c>
      <c r="H32" s="9">
        <f t="shared" si="1"/>
        <v>3.6107201497762182</v>
      </c>
      <c r="I32" s="9">
        <f t="shared" si="1"/>
        <v>5.4372511437306255</v>
      </c>
      <c r="J32" s="9">
        <f t="shared" si="1"/>
        <v>3.019552947043652</v>
      </c>
      <c r="K32" s="6">
        <f t="shared" si="1"/>
        <v>2.8132543432828818</v>
      </c>
      <c r="N32">
        <v>6.54</v>
      </c>
      <c r="O32">
        <v>2.97</v>
      </c>
    </row>
    <row r="33" spans="1:15" x14ac:dyDescent="0.2">
      <c r="A33" s="5">
        <v>7</v>
      </c>
      <c r="B33" s="9">
        <f t="shared" si="1"/>
        <v>4.264328786573568</v>
      </c>
      <c r="C33" s="9">
        <f t="shared" si="1"/>
        <v>0.3649657518178927</v>
      </c>
      <c r="D33" s="9">
        <f t="shared" si="1"/>
        <v>5.0650172753900842</v>
      </c>
      <c r="E33" s="9">
        <f t="shared" si="1"/>
        <v>2.2200225224082746</v>
      </c>
      <c r="F33" s="9">
        <f t="shared" si="1"/>
        <v>2.4903212644154964</v>
      </c>
      <c r="G33" s="9">
        <f t="shared" si="1"/>
        <v>3.6107201497762182</v>
      </c>
      <c r="H33" s="9">
        <v>999</v>
      </c>
      <c r="I33" s="9">
        <f t="shared" si="1"/>
        <v>2.1335416564951348</v>
      </c>
      <c r="J33" s="9">
        <f t="shared" si="1"/>
        <v>1.0944404963267751</v>
      </c>
      <c r="K33" s="6">
        <f t="shared" si="1"/>
        <v>2.1832315497903561</v>
      </c>
      <c r="N33">
        <v>7.81</v>
      </c>
      <c r="O33">
        <v>6.35</v>
      </c>
    </row>
    <row r="34" spans="1:15" x14ac:dyDescent="0.2">
      <c r="A34" s="5">
        <v>8</v>
      </c>
      <c r="B34" s="9">
        <f t="shared" si="1"/>
        <v>6.0939724318378738</v>
      </c>
      <c r="C34" s="9">
        <f t="shared" si="1"/>
        <v>2.4249536078036629</v>
      </c>
      <c r="D34" s="9">
        <f t="shared" si="1"/>
        <v>7.1912168650375161</v>
      </c>
      <c r="E34" s="9">
        <f t="shared" si="1"/>
        <v>4.2702341856155854</v>
      </c>
      <c r="F34" s="9">
        <f t="shared" si="1"/>
        <v>4.4725048909978842</v>
      </c>
      <c r="G34" s="9">
        <f t="shared" si="1"/>
        <v>5.4372511437306255</v>
      </c>
      <c r="H34" s="9">
        <f t="shared" si="1"/>
        <v>2.1335416564951348</v>
      </c>
      <c r="I34" s="9">
        <v>999</v>
      </c>
      <c r="J34" s="9">
        <f t="shared" si="1"/>
        <v>3.2154937412472129</v>
      </c>
      <c r="K34" s="6">
        <f t="shared" si="1"/>
        <v>3.0486882425069308</v>
      </c>
      <c r="N34">
        <v>9.65</v>
      </c>
      <c r="O34">
        <v>7.43</v>
      </c>
    </row>
    <row r="35" spans="1:15" x14ac:dyDescent="0.2">
      <c r="A35" s="5">
        <v>9</v>
      </c>
      <c r="B35" s="9">
        <f t="shared" si="1"/>
        <v>3.3268754109524452</v>
      </c>
      <c r="C35" s="9">
        <f t="shared" si="1"/>
        <v>0.79611556949980555</v>
      </c>
      <c r="D35" s="9">
        <f t="shared" si="1"/>
        <v>3.9758521099256194</v>
      </c>
      <c r="E35" s="9">
        <f t="shared" si="1"/>
        <v>1.4339107364128361</v>
      </c>
      <c r="F35" s="9">
        <f t="shared" si="1"/>
        <v>1.4968299836654793</v>
      </c>
      <c r="G35" s="9">
        <f t="shared" si="1"/>
        <v>3.019552947043652</v>
      </c>
      <c r="H35" s="9">
        <f t="shared" si="1"/>
        <v>1.0944404963267751</v>
      </c>
      <c r="I35" s="9">
        <f t="shared" si="1"/>
        <v>3.2154937412472129</v>
      </c>
      <c r="J35" s="9">
        <v>999</v>
      </c>
      <c r="K35" s="6">
        <f t="shared" si="1"/>
        <v>2.6191028998494885</v>
      </c>
      <c r="N35">
        <v>6.78</v>
      </c>
      <c r="O35">
        <v>5.98</v>
      </c>
    </row>
    <row r="36" spans="1:15" x14ac:dyDescent="0.2">
      <c r="A36" s="5">
        <v>10</v>
      </c>
      <c r="B36" s="9">
        <f t="shared" si="1"/>
        <v>5.8627638533374347</v>
      </c>
      <c r="C36" s="9">
        <f t="shared" si="1"/>
        <v>2.4340295807569801</v>
      </c>
      <c r="D36" s="9">
        <f t="shared" si="1"/>
        <v>5.7150415571542439</v>
      </c>
      <c r="E36" s="9">
        <f t="shared" si="1"/>
        <v>2.4524681445433703</v>
      </c>
      <c r="F36" s="9">
        <f t="shared" si="1"/>
        <v>4.0429692059178484</v>
      </c>
      <c r="G36" s="9">
        <f t="shared" si="1"/>
        <v>2.8132543432828818</v>
      </c>
      <c r="H36" s="9">
        <f t="shared" si="1"/>
        <v>2.1832315497903561</v>
      </c>
      <c r="I36" s="9">
        <f t="shared" si="1"/>
        <v>3.0486882425069308</v>
      </c>
      <c r="J36" s="9">
        <f t="shared" si="1"/>
        <v>2.6191028998494885</v>
      </c>
      <c r="K36" s="6">
        <v>999</v>
      </c>
      <c r="N36">
        <v>8.92</v>
      </c>
      <c r="O36">
        <v>4.47</v>
      </c>
    </row>
    <row r="37" spans="1:15" x14ac:dyDescent="0.2">
      <c r="A37" s="5" t="s">
        <v>60</v>
      </c>
      <c r="B37" s="9">
        <f>MIN(B27:B36)</f>
        <v>1.8341210428976604</v>
      </c>
      <c r="C37" s="9">
        <f t="shared" ref="C37:K37" si="2">MIN(C27:C36)</f>
        <v>0.3649657518178927</v>
      </c>
      <c r="D37" s="9">
        <f t="shared" si="2"/>
        <v>2.6856098003991562</v>
      </c>
      <c r="E37" s="9">
        <f t="shared" si="2"/>
        <v>1.4339107364128361</v>
      </c>
      <c r="F37" s="9">
        <f t="shared" si="2"/>
        <v>1.4968299836654793</v>
      </c>
      <c r="G37" s="9">
        <f t="shared" si="2"/>
        <v>1.6115210206509871</v>
      </c>
      <c r="H37" s="9">
        <f t="shared" si="2"/>
        <v>0.3649657518178927</v>
      </c>
      <c r="I37" s="9">
        <f t="shared" si="2"/>
        <v>2.1335416564951348</v>
      </c>
      <c r="J37" s="9">
        <f t="shared" si="2"/>
        <v>0.79611556949980555</v>
      </c>
      <c r="K37" s="6">
        <f t="shared" si="2"/>
        <v>2.1832315497903561</v>
      </c>
    </row>
    <row r="38" spans="1:15" x14ac:dyDescent="0.2">
      <c r="A38" s="3" t="s">
        <v>65</v>
      </c>
      <c r="B38" s="10"/>
      <c r="C38" s="10"/>
      <c r="D38" s="10"/>
      <c r="E38" s="10"/>
      <c r="F38" s="10"/>
      <c r="G38" s="10"/>
      <c r="H38" s="10"/>
      <c r="I38" s="10"/>
      <c r="J38" s="10"/>
      <c r="K38" s="4"/>
    </row>
    <row r="40" spans="1:15" x14ac:dyDescent="0.2">
      <c r="A40" s="1" t="s">
        <v>66</v>
      </c>
      <c r="B40" s="7"/>
      <c r="C40" s="23" t="s">
        <v>67</v>
      </c>
      <c r="D40" s="7"/>
      <c r="E40" s="7"/>
      <c r="F40" s="7"/>
      <c r="G40" s="7"/>
      <c r="H40" s="7"/>
      <c r="I40" s="23" t="s">
        <v>68</v>
      </c>
      <c r="J40" s="2"/>
    </row>
    <row r="41" spans="1:15" x14ac:dyDescent="0.2">
      <c r="A41" s="3">
        <f>AVERAGE(B37:K37)</f>
        <v>1.4904812863447201</v>
      </c>
      <c r="B41" s="10"/>
      <c r="C41" s="10">
        <f>1/(2*SQRT(I19/A24))</f>
        <v>0.84738421037921163</v>
      </c>
      <c r="D41" s="10"/>
      <c r="E41" s="10"/>
      <c r="F41" s="10"/>
      <c r="G41" s="10"/>
      <c r="H41" s="10"/>
      <c r="I41" s="10">
        <f>A41/C41</f>
        <v>1.7589202962345936</v>
      </c>
      <c r="J4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D31F-0EA6-481C-A57B-3E16B047AF72}">
  <dimension ref="A1:AM26"/>
  <sheetViews>
    <sheetView topLeftCell="A10" zoomScaleNormal="100" workbookViewId="0">
      <selection activeCell="A26" sqref="A26:B26"/>
    </sheetView>
  </sheetViews>
  <sheetFormatPr defaultRowHeight="14.25" x14ac:dyDescent="0.2"/>
  <cols>
    <col min="14" max="14" width="11.25" bestFit="1" customWidth="1"/>
    <col min="18" max="18" width="11.25" bestFit="1" customWidth="1"/>
    <col min="22" max="22" width="14" bestFit="1" customWidth="1"/>
    <col min="26" max="26" width="17.875" bestFit="1" customWidth="1"/>
    <col min="30" max="30" width="17.875" bestFit="1" customWidth="1"/>
    <col min="34" max="34" width="17.875" bestFit="1" customWidth="1"/>
    <col min="38" max="38" width="17.875" bestFit="1" customWidth="1"/>
  </cols>
  <sheetData>
    <row r="1" spans="1:39" x14ac:dyDescent="0.2">
      <c r="A1" s="20" t="s">
        <v>69</v>
      </c>
      <c r="B1" s="20"/>
      <c r="C1" s="20"/>
      <c r="D1" s="20"/>
      <c r="E1" s="20"/>
      <c r="F1" s="20"/>
    </row>
    <row r="2" spans="1:39" x14ac:dyDescent="0.2">
      <c r="A2" s="20"/>
      <c r="B2" s="20"/>
      <c r="C2" s="20"/>
      <c r="D2" s="20"/>
      <c r="E2" s="20"/>
      <c r="F2" s="20"/>
    </row>
    <row r="3" spans="1:39" x14ac:dyDescent="0.2">
      <c r="A3" s="20"/>
      <c r="B3" s="20"/>
      <c r="C3" s="20"/>
      <c r="D3" s="20"/>
      <c r="E3" s="20"/>
      <c r="F3" s="20"/>
    </row>
    <row r="4" spans="1:39" x14ac:dyDescent="0.2">
      <c r="A4" s="20"/>
      <c r="B4" s="20"/>
      <c r="C4" s="20"/>
      <c r="D4" s="20"/>
      <c r="E4" s="20"/>
      <c r="F4" s="20"/>
    </row>
    <row r="5" spans="1:39" x14ac:dyDescent="0.2">
      <c r="A5" s="20"/>
      <c r="B5" s="20"/>
      <c r="C5" s="20"/>
      <c r="D5" s="20"/>
      <c r="E5" s="20"/>
      <c r="F5" s="20"/>
    </row>
    <row r="6" spans="1:39" x14ac:dyDescent="0.2">
      <c r="A6" s="20"/>
      <c r="B6" s="20"/>
      <c r="C6" s="20"/>
      <c r="D6" s="20"/>
      <c r="E6" s="20"/>
      <c r="F6" s="20"/>
    </row>
    <row r="7" spans="1:39" x14ac:dyDescent="0.2">
      <c r="A7" s="20"/>
      <c r="B7" s="20"/>
      <c r="C7" s="20"/>
      <c r="D7" s="20"/>
      <c r="E7" s="20"/>
      <c r="F7" s="20"/>
    </row>
    <row r="8" spans="1:39" x14ac:dyDescent="0.2">
      <c r="A8" s="20"/>
      <c r="B8" s="20"/>
      <c r="C8" s="20"/>
      <c r="D8" s="20"/>
      <c r="E8" s="20"/>
      <c r="F8" s="20"/>
    </row>
    <row r="9" spans="1:39" x14ac:dyDescent="0.2">
      <c r="A9" s="20"/>
      <c r="B9" s="20"/>
      <c r="C9" s="20"/>
      <c r="D9" s="20"/>
      <c r="E9" s="20"/>
      <c r="F9" s="20"/>
    </row>
    <row r="10" spans="1:39" x14ac:dyDescent="0.2">
      <c r="A10" s="20"/>
      <c r="B10" s="20"/>
      <c r="C10" s="20"/>
      <c r="D10" s="20"/>
      <c r="E10" s="20"/>
      <c r="F10" s="20"/>
    </row>
    <row r="11" spans="1:39" x14ac:dyDescent="0.2">
      <c r="A11" s="20"/>
      <c r="B11" s="20"/>
      <c r="C11" s="20"/>
      <c r="D11" s="20"/>
      <c r="E11" s="20"/>
      <c r="F11" s="20"/>
    </row>
    <row r="12" spans="1:39" x14ac:dyDescent="0.2">
      <c r="A12" s="20"/>
      <c r="B12" s="20"/>
      <c r="C12" s="20"/>
      <c r="D12" s="20"/>
      <c r="E12" s="20"/>
      <c r="F12" s="20"/>
    </row>
    <row r="14" spans="1:39" x14ac:dyDescent="0.2">
      <c r="A14" s="1" t="s">
        <v>80</v>
      </c>
      <c r="B14" s="7"/>
      <c r="C14" s="2"/>
      <c r="E14" s="1" t="s">
        <v>85</v>
      </c>
      <c r="F14" s="7"/>
      <c r="G14" s="2"/>
      <c r="I14" s="1" t="s">
        <v>88</v>
      </c>
      <c r="J14" s="7"/>
      <c r="K14" s="2"/>
      <c r="M14" s="1" t="s">
        <v>90</v>
      </c>
      <c r="N14" s="7"/>
      <c r="O14" s="2"/>
      <c r="Q14" s="1" t="s">
        <v>92</v>
      </c>
      <c r="R14" s="7"/>
      <c r="S14" s="2"/>
      <c r="U14" s="1" t="s">
        <v>94</v>
      </c>
      <c r="V14" s="7"/>
      <c r="W14" s="2"/>
      <c r="Y14" s="1" t="s">
        <v>99</v>
      </c>
      <c r="Z14" s="7"/>
      <c r="AA14" s="2"/>
      <c r="AC14" s="1" t="s">
        <v>101</v>
      </c>
      <c r="AD14" s="7"/>
      <c r="AE14" s="2"/>
      <c r="AG14" s="1" t="s">
        <v>102</v>
      </c>
      <c r="AH14" s="7"/>
      <c r="AI14" s="2"/>
      <c r="AK14" s="1" t="s">
        <v>103</v>
      </c>
      <c r="AL14" s="7"/>
      <c r="AM14" s="2"/>
    </row>
    <row r="15" spans="1:39" x14ac:dyDescent="0.2">
      <c r="A15" s="5" t="s">
        <v>70</v>
      </c>
      <c r="B15" s="9" t="s">
        <v>82</v>
      </c>
      <c r="C15" s="6">
        <v>9</v>
      </c>
      <c r="E15" s="26" t="s">
        <v>70</v>
      </c>
      <c r="F15" s="28" t="s">
        <v>82</v>
      </c>
      <c r="G15" s="27">
        <v>9</v>
      </c>
      <c r="I15" s="26" t="s">
        <v>70</v>
      </c>
      <c r="J15" s="28" t="s">
        <v>82</v>
      </c>
      <c r="K15" s="27">
        <v>9</v>
      </c>
      <c r="M15" s="26" t="s">
        <v>70</v>
      </c>
      <c r="N15" s="28" t="s">
        <v>82</v>
      </c>
      <c r="O15" s="27">
        <v>9</v>
      </c>
      <c r="Q15" s="26" t="s">
        <v>70</v>
      </c>
      <c r="R15" s="28" t="s">
        <v>82</v>
      </c>
      <c r="S15" s="27">
        <v>9</v>
      </c>
      <c r="U15" s="26" t="s">
        <v>70</v>
      </c>
      <c r="V15" s="28" t="s">
        <v>82</v>
      </c>
      <c r="W15" s="27">
        <v>9</v>
      </c>
      <c r="Y15" s="26" t="s">
        <v>70</v>
      </c>
      <c r="Z15" s="28" t="s">
        <v>82</v>
      </c>
      <c r="AA15" s="27">
        <v>9</v>
      </c>
      <c r="AC15" s="26" t="s">
        <v>70</v>
      </c>
      <c r="AD15" s="28" t="s">
        <v>82</v>
      </c>
      <c r="AE15" s="27">
        <v>9</v>
      </c>
      <c r="AG15" s="26" t="s">
        <v>70</v>
      </c>
      <c r="AH15" s="28" t="s">
        <v>82</v>
      </c>
      <c r="AI15" s="27">
        <v>9</v>
      </c>
      <c r="AK15" s="26" t="s">
        <v>70</v>
      </c>
      <c r="AL15" s="28" t="s">
        <v>82</v>
      </c>
      <c r="AM15" s="27">
        <v>9</v>
      </c>
    </row>
    <row r="16" spans="1:39" x14ac:dyDescent="0.2">
      <c r="A16" s="5" t="s">
        <v>71</v>
      </c>
      <c r="B16" s="9" t="s">
        <v>83</v>
      </c>
      <c r="C16" s="6" t="s">
        <v>81</v>
      </c>
      <c r="E16" s="5" t="s">
        <v>71</v>
      </c>
      <c r="F16" s="29" t="s">
        <v>87</v>
      </c>
      <c r="G16" s="6">
        <f>8+3</f>
        <v>11</v>
      </c>
      <c r="I16" s="5" t="s">
        <v>71</v>
      </c>
      <c r="J16" s="29" t="s">
        <v>87</v>
      </c>
      <c r="K16" s="6">
        <f>8+3</f>
        <v>11</v>
      </c>
      <c r="M16" s="26" t="s">
        <v>71</v>
      </c>
      <c r="N16" s="28" t="s">
        <v>87</v>
      </c>
      <c r="O16" s="27">
        <f>8+3</f>
        <v>11</v>
      </c>
      <c r="Q16" s="26" t="s">
        <v>71</v>
      </c>
      <c r="R16" s="28" t="s">
        <v>87</v>
      </c>
      <c r="S16" s="27">
        <f>8+3</f>
        <v>11</v>
      </c>
      <c r="U16" s="26" t="s">
        <v>71</v>
      </c>
      <c r="V16" s="28" t="s">
        <v>87</v>
      </c>
      <c r="W16" s="27">
        <f>8+3</f>
        <v>11</v>
      </c>
      <c r="Y16" s="26" t="s">
        <v>71</v>
      </c>
      <c r="Z16" s="28" t="s">
        <v>87</v>
      </c>
      <c r="AA16" s="27">
        <f>8+3</f>
        <v>11</v>
      </c>
      <c r="AC16" s="26" t="s">
        <v>71</v>
      </c>
      <c r="AD16" s="28" t="s">
        <v>87</v>
      </c>
      <c r="AE16" s="27">
        <f>8+3</f>
        <v>11</v>
      </c>
      <c r="AG16" s="26" t="s">
        <v>71</v>
      </c>
      <c r="AH16" s="28" t="s">
        <v>87</v>
      </c>
      <c r="AI16" s="27">
        <f>8+3</f>
        <v>11</v>
      </c>
      <c r="AK16" s="26" t="s">
        <v>71</v>
      </c>
      <c r="AL16" s="28" t="s">
        <v>87</v>
      </c>
      <c r="AM16" s="27">
        <f>8+3</f>
        <v>11</v>
      </c>
    </row>
    <row r="17" spans="1:39" x14ac:dyDescent="0.2">
      <c r="A17" s="26" t="s">
        <v>72</v>
      </c>
      <c r="B17" s="28" t="s">
        <v>84</v>
      </c>
      <c r="C17" s="27">
        <v>8</v>
      </c>
      <c r="E17" s="26" t="s">
        <v>72</v>
      </c>
      <c r="F17" s="28" t="s">
        <v>86</v>
      </c>
      <c r="G17" s="27">
        <v>8</v>
      </c>
      <c r="I17" s="26" t="s">
        <v>72</v>
      </c>
      <c r="J17" s="28" t="s">
        <v>86</v>
      </c>
      <c r="K17" s="27">
        <v>8</v>
      </c>
      <c r="M17" s="26" t="s">
        <v>72</v>
      </c>
      <c r="N17" s="28" t="s">
        <v>86</v>
      </c>
      <c r="O17" s="27">
        <v>8</v>
      </c>
      <c r="Q17" s="26" t="s">
        <v>72</v>
      </c>
      <c r="R17" s="28" t="s">
        <v>86</v>
      </c>
      <c r="S17" s="27">
        <v>8</v>
      </c>
      <c r="U17" s="26" t="s">
        <v>72</v>
      </c>
      <c r="V17" s="28" t="s">
        <v>86</v>
      </c>
      <c r="W17" s="27">
        <v>8</v>
      </c>
      <c r="Y17" s="26" t="s">
        <v>72</v>
      </c>
      <c r="Z17" s="28" t="s">
        <v>86</v>
      </c>
      <c r="AA17" s="27">
        <v>8</v>
      </c>
      <c r="AC17" s="26" t="s">
        <v>72</v>
      </c>
      <c r="AD17" s="28" t="s">
        <v>86</v>
      </c>
      <c r="AE17" s="27">
        <v>8</v>
      </c>
      <c r="AG17" s="26" t="s">
        <v>72</v>
      </c>
      <c r="AH17" s="28" t="s">
        <v>86</v>
      </c>
      <c r="AI17" s="27">
        <v>8</v>
      </c>
      <c r="AK17" s="26" t="s">
        <v>72</v>
      </c>
      <c r="AL17" s="28" t="s">
        <v>86</v>
      </c>
      <c r="AM17" s="27">
        <v>8</v>
      </c>
    </row>
    <row r="18" spans="1:39" x14ac:dyDescent="0.2">
      <c r="A18" s="5" t="s">
        <v>73</v>
      </c>
      <c r="B18" s="9" t="s">
        <v>83</v>
      </c>
      <c r="C18" s="6" t="s">
        <v>81</v>
      </c>
      <c r="E18" s="5" t="s">
        <v>73</v>
      </c>
      <c r="F18" s="9" t="s">
        <v>83</v>
      </c>
      <c r="G18" s="6" t="s">
        <v>81</v>
      </c>
      <c r="I18" s="26" t="s">
        <v>73</v>
      </c>
      <c r="J18" s="28" t="s">
        <v>89</v>
      </c>
      <c r="K18" s="27">
        <f>9+1</f>
        <v>10</v>
      </c>
      <c r="M18" s="26" t="s">
        <v>73</v>
      </c>
      <c r="N18" s="28" t="s">
        <v>89</v>
      </c>
      <c r="O18" s="27">
        <f>9+1</f>
        <v>10</v>
      </c>
      <c r="Q18" s="26" t="s">
        <v>73</v>
      </c>
      <c r="R18" s="28" t="s">
        <v>89</v>
      </c>
      <c r="S18" s="27">
        <f>9+1</f>
        <v>10</v>
      </c>
      <c r="U18" s="26" t="s">
        <v>73</v>
      </c>
      <c r="V18" s="28" t="s">
        <v>89</v>
      </c>
      <c r="W18" s="27">
        <f>9+1</f>
        <v>10</v>
      </c>
      <c r="Y18" s="26" t="s">
        <v>73</v>
      </c>
      <c r="Z18" s="28" t="s">
        <v>89</v>
      </c>
      <c r="AA18" s="27">
        <f>9+1</f>
        <v>10</v>
      </c>
      <c r="AC18" s="26" t="s">
        <v>73</v>
      </c>
      <c r="AD18" s="28" t="s">
        <v>89</v>
      </c>
      <c r="AE18" s="27">
        <f>9+1</f>
        <v>10</v>
      </c>
      <c r="AG18" s="26" t="s">
        <v>73</v>
      </c>
      <c r="AH18" s="28" t="s">
        <v>89</v>
      </c>
      <c r="AI18" s="27">
        <f>9+1</f>
        <v>10</v>
      </c>
      <c r="AK18" s="26" t="s">
        <v>73</v>
      </c>
      <c r="AL18" s="28" t="s">
        <v>89</v>
      </c>
      <c r="AM18" s="27">
        <f>9+1</f>
        <v>10</v>
      </c>
    </row>
    <row r="19" spans="1:39" x14ac:dyDescent="0.2">
      <c r="A19" s="5" t="s">
        <v>74</v>
      </c>
      <c r="B19" s="9" t="s">
        <v>83</v>
      </c>
      <c r="C19" s="6" t="s">
        <v>81</v>
      </c>
      <c r="E19" s="5" t="s">
        <v>74</v>
      </c>
      <c r="F19" s="9" t="s">
        <v>83</v>
      </c>
      <c r="G19" s="6" t="s">
        <v>81</v>
      </c>
      <c r="I19" s="5" t="s">
        <v>74</v>
      </c>
      <c r="J19" s="9" t="s">
        <v>83</v>
      </c>
      <c r="K19" s="6" t="s">
        <v>81</v>
      </c>
      <c r="M19" s="5" t="s">
        <v>74</v>
      </c>
      <c r="N19" s="9" t="s">
        <v>83</v>
      </c>
      <c r="O19" s="6" t="s">
        <v>81</v>
      </c>
      <c r="Q19" s="5" t="s">
        <v>74</v>
      </c>
      <c r="R19" s="9" t="s">
        <v>83</v>
      </c>
      <c r="S19" s="6" t="s">
        <v>81</v>
      </c>
      <c r="U19" s="5" t="s">
        <v>74</v>
      </c>
      <c r="V19" s="9" t="s">
        <v>95</v>
      </c>
      <c r="W19" s="6">
        <f>11+6</f>
        <v>17</v>
      </c>
      <c r="Y19" s="5" t="s">
        <v>74</v>
      </c>
      <c r="Z19" s="9" t="s">
        <v>95</v>
      </c>
      <c r="AA19" s="6">
        <f>11+6</f>
        <v>17</v>
      </c>
      <c r="AC19" s="26" t="s">
        <v>74</v>
      </c>
      <c r="AD19" s="28" t="s">
        <v>95</v>
      </c>
      <c r="AE19" s="27">
        <f>11+6</f>
        <v>17</v>
      </c>
      <c r="AG19" s="26" t="s">
        <v>74</v>
      </c>
      <c r="AH19" s="28" t="s">
        <v>95</v>
      </c>
      <c r="AI19" s="27">
        <f>11+6</f>
        <v>17</v>
      </c>
      <c r="AK19" s="26" t="s">
        <v>74</v>
      </c>
      <c r="AL19" s="28" t="s">
        <v>95</v>
      </c>
      <c r="AM19" s="27">
        <f>11+6</f>
        <v>17</v>
      </c>
    </row>
    <row r="20" spans="1:39" x14ac:dyDescent="0.2">
      <c r="A20" s="5" t="s">
        <v>75</v>
      </c>
      <c r="B20" s="9" t="s">
        <v>83</v>
      </c>
      <c r="C20" s="6" t="s">
        <v>81</v>
      </c>
      <c r="E20" s="5" t="s">
        <v>75</v>
      </c>
      <c r="F20" s="9" t="s">
        <v>83</v>
      </c>
      <c r="G20" s="6" t="s">
        <v>81</v>
      </c>
      <c r="I20" s="5" t="s">
        <v>75</v>
      </c>
      <c r="J20" s="9" t="s">
        <v>83</v>
      </c>
      <c r="K20" s="6" t="s">
        <v>81</v>
      </c>
      <c r="M20" s="5" t="s">
        <v>75</v>
      </c>
      <c r="N20" s="9" t="s">
        <v>83</v>
      </c>
      <c r="O20" s="6" t="s">
        <v>81</v>
      </c>
      <c r="Q20" s="5" t="s">
        <v>75</v>
      </c>
      <c r="R20" s="9" t="s">
        <v>93</v>
      </c>
      <c r="S20" s="6">
        <f>11+9</f>
        <v>20</v>
      </c>
      <c r="U20" s="26" t="s">
        <v>75</v>
      </c>
      <c r="V20" s="28" t="s">
        <v>97</v>
      </c>
      <c r="W20" s="27">
        <f>11+3</f>
        <v>14</v>
      </c>
      <c r="Y20" s="26" t="s">
        <v>75</v>
      </c>
      <c r="Z20" s="28" t="s">
        <v>97</v>
      </c>
      <c r="AA20" s="27">
        <f>11+3</f>
        <v>14</v>
      </c>
      <c r="AC20" s="26" t="s">
        <v>75</v>
      </c>
      <c r="AD20" s="28" t="s">
        <v>97</v>
      </c>
      <c r="AE20" s="27">
        <f>11+3</f>
        <v>14</v>
      </c>
      <c r="AG20" s="26" t="s">
        <v>75</v>
      </c>
      <c r="AH20" s="28" t="s">
        <v>97</v>
      </c>
      <c r="AI20" s="27">
        <f>11+3</f>
        <v>14</v>
      </c>
      <c r="AK20" s="26" t="s">
        <v>75</v>
      </c>
      <c r="AL20" s="28" t="s">
        <v>97</v>
      </c>
      <c r="AM20" s="27">
        <f>11+3</f>
        <v>14</v>
      </c>
    </row>
    <row r="21" spans="1:39" x14ac:dyDescent="0.2">
      <c r="A21" s="5" t="s">
        <v>76</v>
      </c>
      <c r="B21" s="9" t="s">
        <v>83</v>
      </c>
      <c r="C21" s="6" t="s">
        <v>81</v>
      </c>
      <c r="E21" s="5" t="s">
        <v>76</v>
      </c>
      <c r="F21" s="9" t="s">
        <v>83</v>
      </c>
      <c r="G21" s="6" t="s">
        <v>81</v>
      </c>
      <c r="I21" s="5" t="s">
        <v>76</v>
      </c>
      <c r="J21" s="9" t="s">
        <v>83</v>
      </c>
      <c r="K21" s="6" t="s">
        <v>81</v>
      </c>
      <c r="M21" s="5" t="s">
        <v>76</v>
      </c>
      <c r="N21" s="9" t="s">
        <v>83</v>
      </c>
      <c r="O21" s="6" t="s">
        <v>81</v>
      </c>
      <c r="Q21" s="5" t="s">
        <v>76</v>
      </c>
      <c r="R21" s="9" t="s">
        <v>83</v>
      </c>
      <c r="S21" s="6" t="s">
        <v>81</v>
      </c>
      <c r="U21" s="5" t="s">
        <v>76</v>
      </c>
      <c r="V21" s="9" t="s">
        <v>96</v>
      </c>
      <c r="W21" s="6">
        <f>11+7</f>
        <v>18</v>
      </c>
      <c r="Y21" s="5" t="s">
        <v>76</v>
      </c>
      <c r="Z21" s="9" t="s">
        <v>96</v>
      </c>
      <c r="AA21" s="6">
        <f>11+7</f>
        <v>18</v>
      </c>
      <c r="AC21" s="5" t="s">
        <v>76</v>
      </c>
      <c r="AD21" s="9" t="s">
        <v>96</v>
      </c>
      <c r="AE21" s="6">
        <f>11+7</f>
        <v>18</v>
      </c>
      <c r="AG21" s="26" t="s">
        <v>76</v>
      </c>
      <c r="AH21" s="28" t="s">
        <v>96</v>
      </c>
      <c r="AI21" s="27">
        <f>11+7</f>
        <v>18</v>
      </c>
      <c r="AK21" s="26" t="s">
        <v>76</v>
      </c>
      <c r="AL21" s="28" t="s">
        <v>96</v>
      </c>
      <c r="AM21" s="27">
        <f>11+7</f>
        <v>18</v>
      </c>
    </row>
    <row r="22" spans="1:39" x14ac:dyDescent="0.2">
      <c r="A22" s="5" t="s">
        <v>77</v>
      </c>
      <c r="B22" s="9" t="s">
        <v>83</v>
      </c>
      <c r="C22" s="6" t="s">
        <v>81</v>
      </c>
      <c r="E22" s="5" t="s">
        <v>77</v>
      </c>
      <c r="F22" s="9" t="s">
        <v>83</v>
      </c>
      <c r="G22" s="6" t="s">
        <v>81</v>
      </c>
      <c r="I22" s="5" t="s">
        <v>77</v>
      </c>
      <c r="J22" s="9" t="s">
        <v>83</v>
      </c>
      <c r="K22" s="6" t="s">
        <v>81</v>
      </c>
      <c r="M22" s="5" t="s">
        <v>77</v>
      </c>
      <c r="N22" s="9" t="s">
        <v>91</v>
      </c>
      <c r="O22" s="6">
        <f>10+1</f>
        <v>11</v>
      </c>
      <c r="Q22" s="26" t="s">
        <v>77</v>
      </c>
      <c r="R22" s="28" t="s">
        <v>91</v>
      </c>
      <c r="S22" s="27">
        <f>10+1</f>
        <v>11</v>
      </c>
      <c r="U22" s="26" t="s">
        <v>77</v>
      </c>
      <c r="V22" s="28" t="s">
        <v>91</v>
      </c>
      <c r="W22" s="27">
        <f>10+1</f>
        <v>11</v>
      </c>
      <c r="Y22" s="26" t="s">
        <v>77</v>
      </c>
      <c r="Z22" s="28" t="s">
        <v>91</v>
      </c>
      <c r="AA22" s="27">
        <f>10+1</f>
        <v>11</v>
      </c>
      <c r="AC22" s="26" t="s">
        <v>77</v>
      </c>
      <c r="AD22" s="28" t="s">
        <v>91</v>
      </c>
      <c r="AE22" s="27">
        <f>10+1</f>
        <v>11</v>
      </c>
      <c r="AG22" s="26" t="s">
        <v>77</v>
      </c>
      <c r="AH22" s="28" t="s">
        <v>91</v>
      </c>
      <c r="AI22" s="27">
        <f>10+1</f>
        <v>11</v>
      </c>
      <c r="AK22" s="26" t="s">
        <v>77</v>
      </c>
      <c r="AL22" s="28" t="s">
        <v>91</v>
      </c>
      <c r="AM22" s="27">
        <f>10+1</f>
        <v>11</v>
      </c>
    </row>
    <row r="23" spans="1:39" x14ac:dyDescent="0.2">
      <c r="A23" s="5" t="s">
        <v>78</v>
      </c>
      <c r="B23" s="9" t="s">
        <v>83</v>
      </c>
      <c r="C23" s="6" t="s">
        <v>81</v>
      </c>
      <c r="E23" s="5" t="s">
        <v>78</v>
      </c>
      <c r="F23" s="9" t="s">
        <v>83</v>
      </c>
      <c r="G23" s="6" t="s">
        <v>81</v>
      </c>
      <c r="I23" s="5" t="s">
        <v>78</v>
      </c>
      <c r="J23" s="9" t="s">
        <v>83</v>
      </c>
      <c r="K23" s="6" t="s">
        <v>81</v>
      </c>
      <c r="M23" s="5" t="s">
        <v>78</v>
      </c>
      <c r="N23" s="9" t="s">
        <v>83</v>
      </c>
      <c r="O23" s="6" t="s">
        <v>81</v>
      </c>
      <c r="Q23" s="5" t="s">
        <v>78</v>
      </c>
      <c r="R23" s="9" t="s">
        <v>83</v>
      </c>
      <c r="S23" s="6" t="s">
        <v>81</v>
      </c>
      <c r="U23" s="5" t="s">
        <v>78</v>
      </c>
      <c r="V23" s="9" t="s">
        <v>83</v>
      </c>
      <c r="W23" s="6" t="s">
        <v>81</v>
      </c>
      <c r="Y23" s="26" t="s">
        <v>78</v>
      </c>
      <c r="Z23" s="30" t="s">
        <v>100</v>
      </c>
      <c r="AA23" s="27">
        <f>14+1</f>
        <v>15</v>
      </c>
      <c r="AC23" s="26" t="s">
        <v>78</v>
      </c>
      <c r="AD23" s="30" t="s">
        <v>100</v>
      </c>
      <c r="AE23" s="27">
        <f>14+1</f>
        <v>15</v>
      </c>
      <c r="AG23" s="26" t="s">
        <v>78</v>
      </c>
      <c r="AH23" s="30" t="s">
        <v>100</v>
      </c>
      <c r="AI23" s="27">
        <f>14+1</f>
        <v>15</v>
      </c>
      <c r="AK23" s="26" t="s">
        <v>78</v>
      </c>
      <c r="AL23" s="30" t="s">
        <v>100</v>
      </c>
      <c r="AM23" s="27">
        <f>14+1</f>
        <v>15</v>
      </c>
    </row>
    <row r="24" spans="1:39" x14ac:dyDescent="0.2">
      <c r="A24" s="3" t="s">
        <v>79</v>
      </c>
      <c r="B24" s="10" t="s">
        <v>83</v>
      </c>
      <c r="C24" s="4" t="s">
        <v>81</v>
      </c>
      <c r="E24" s="3" t="s">
        <v>79</v>
      </c>
      <c r="F24" s="10" t="s">
        <v>83</v>
      </c>
      <c r="G24" s="4" t="s">
        <v>81</v>
      </c>
      <c r="I24" s="3" t="s">
        <v>79</v>
      </c>
      <c r="J24" s="10" t="s">
        <v>83</v>
      </c>
      <c r="K24" s="4" t="s">
        <v>81</v>
      </c>
      <c r="M24" s="3" t="s">
        <v>79</v>
      </c>
      <c r="N24" s="10" t="s">
        <v>83</v>
      </c>
      <c r="O24" s="4" t="s">
        <v>81</v>
      </c>
      <c r="Q24" s="3" t="s">
        <v>79</v>
      </c>
      <c r="R24" s="10" t="s">
        <v>83</v>
      </c>
      <c r="S24" s="4" t="s">
        <v>81</v>
      </c>
      <c r="U24" s="3" t="s">
        <v>79</v>
      </c>
      <c r="V24" s="10" t="s">
        <v>98</v>
      </c>
      <c r="W24" s="4">
        <f>11+10</f>
        <v>21</v>
      </c>
      <c r="Y24" s="3" t="s">
        <v>79</v>
      </c>
      <c r="Z24" s="10" t="s">
        <v>98</v>
      </c>
      <c r="AA24" s="4">
        <f>11+10</f>
        <v>21</v>
      </c>
      <c r="AC24" s="3" t="s">
        <v>79</v>
      </c>
      <c r="AD24" s="10" t="s">
        <v>98</v>
      </c>
      <c r="AE24" s="4">
        <f>11+10</f>
        <v>21</v>
      </c>
      <c r="AG24" s="3" t="s">
        <v>79</v>
      </c>
      <c r="AH24" s="10" t="s">
        <v>98</v>
      </c>
      <c r="AI24" s="4">
        <f>11+10</f>
        <v>21</v>
      </c>
      <c r="AK24" s="31" t="s">
        <v>79</v>
      </c>
      <c r="AL24" s="32" t="s">
        <v>98</v>
      </c>
      <c r="AM24" s="33">
        <f>11+10</f>
        <v>21</v>
      </c>
    </row>
    <row r="26" spans="1:39" x14ac:dyDescent="0.2">
      <c r="A26" t="s">
        <v>104</v>
      </c>
      <c r="B26" t="s">
        <v>105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523-3386-4FC9-BC6D-8F75B06D8B83}">
  <dimension ref="A1:O22"/>
  <sheetViews>
    <sheetView workbookViewId="0">
      <selection activeCell="H26" sqref="H26"/>
    </sheetView>
  </sheetViews>
  <sheetFormatPr defaultRowHeight="14.25" x14ac:dyDescent="0.2"/>
  <sheetData>
    <row r="1" spans="1:6" x14ac:dyDescent="0.2">
      <c r="A1" s="24" t="s">
        <v>106</v>
      </c>
    </row>
    <row r="16" spans="1:6" x14ac:dyDescent="0.2">
      <c r="A16" s="1" t="s">
        <v>107</v>
      </c>
      <c r="B16" s="7"/>
      <c r="C16" s="7"/>
      <c r="D16" s="7"/>
      <c r="E16" s="7"/>
      <c r="F16" s="2"/>
    </row>
    <row r="17" spans="1:15" x14ac:dyDescent="0.2">
      <c r="A17" s="5"/>
      <c r="B17" s="9" t="s">
        <v>108</v>
      </c>
      <c r="C17" s="9" t="s">
        <v>109</v>
      </c>
      <c r="D17" s="9" t="s">
        <v>110</v>
      </c>
      <c r="E17" s="9" t="s">
        <v>111</v>
      </c>
      <c r="F17" s="6" t="s">
        <v>112</v>
      </c>
      <c r="H17" s="11"/>
      <c r="I17" s="34" t="s">
        <v>113</v>
      </c>
      <c r="K17" t="s">
        <v>114</v>
      </c>
      <c r="L17" t="s">
        <v>115</v>
      </c>
      <c r="M17" t="s">
        <v>116</v>
      </c>
      <c r="N17" s="25" t="s">
        <v>117</v>
      </c>
      <c r="O17" t="s">
        <v>118</v>
      </c>
    </row>
    <row r="18" spans="1:15" x14ac:dyDescent="0.2">
      <c r="A18" s="5" t="s">
        <v>108</v>
      </c>
      <c r="B18" s="9">
        <v>0</v>
      </c>
      <c r="C18" s="9">
        <v>15</v>
      </c>
      <c r="D18" s="9">
        <v>27</v>
      </c>
      <c r="E18" s="9">
        <v>48</v>
      </c>
      <c r="F18" s="6">
        <v>63</v>
      </c>
      <c r="H18" s="5" t="s">
        <v>108</v>
      </c>
      <c r="I18" s="6">
        <v>1</v>
      </c>
      <c r="K18">
        <f>$I$18*B18+$I$19*B19+$I$20*B20+$I$21*B21+$I$22*B22</f>
        <v>618</v>
      </c>
      <c r="L18">
        <f t="shared" ref="L18:O18" si="0">$I$18*C18+$I$19*C19+$I$20*C20+$I$21*C21+$I$22*C22</f>
        <v>612</v>
      </c>
      <c r="M18">
        <f t="shared" si="0"/>
        <v>504</v>
      </c>
      <c r="N18" s="25">
        <f t="shared" si="0"/>
        <v>357</v>
      </c>
      <c r="O18">
        <f t="shared" si="0"/>
        <v>432</v>
      </c>
    </row>
    <row r="19" spans="1:15" x14ac:dyDescent="0.2">
      <c r="A19" s="5" t="s">
        <v>109</v>
      </c>
      <c r="B19" s="9">
        <v>15</v>
      </c>
      <c r="C19" s="9">
        <v>0</v>
      </c>
      <c r="D19" s="9">
        <v>12</v>
      </c>
      <c r="E19" s="9">
        <v>54</v>
      </c>
      <c r="F19" s="6">
        <v>69</v>
      </c>
      <c r="H19" s="5" t="s">
        <v>109</v>
      </c>
      <c r="I19" s="6">
        <v>2</v>
      </c>
      <c r="K19" t="s">
        <v>60</v>
      </c>
    </row>
    <row r="20" spans="1:15" x14ac:dyDescent="0.2">
      <c r="A20" s="5" t="s">
        <v>110</v>
      </c>
      <c r="B20" s="9">
        <v>27</v>
      </c>
      <c r="C20" s="9">
        <v>12</v>
      </c>
      <c r="D20" s="9">
        <v>0</v>
      </c>
      <c r="E20" s="9">
        <v>42</v>
      </c>
      <c r="F20" s="6">
        <v>57</v>
      </c>
      <c r="H20" s="5" t="s">
        <v>110</v>
      </c>
      <c r="I20" s="6">
        <v>3</v>
      </c>
      <c r="K20">
        <f>MIN(K18:O18)</f>
        <v>357</v>
      </c>
    </row>
    <row r="21" spans="1:15" x14ac:dyDescent="0.2">
      <c r="A21" s="5" t="s">
        <v>111</v>
      </c>
      <c r="B21" s="9">
        <v>48</v>
      </c>
      <c r="C21" s="9">
        <v>54</v>
      </c>
      <c r="D21" s="9">
        <v>42</v>
      </c>
      <c r="E21" s="9">
        <v>0</v>
      </c>
      <c r="F21" s="6">
        <v>15</v>
      </c>
      <c r="H21" s="5" t="s">
        <v>111</v>
      </c>
      <c r="I21" s="6">
        <v>4</v>
      </c>
    </row>
    <row r="22" spans="1:15" x14ac:dyDescent="0.2">
      <c r="A22" s="3" t="s">
        <v>112</v>
      </c>
      <c r="B22" s="10">
        <v>63</v>
      </c>
      <c r="C22" s="10">
        <v>69</v>
      </c>
      <c r="D22" s="10">
        <v>57</v>
      </c>
      <c r="E22" s="10">
        <v>15</v>
      </c>
      <c r="F22" s="4">
        <v>0</v>
      </c>
      <c r="H22" s="3" t="s">
        <v>112</v>
      </c>
      <c r="I22" s="4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D1D7-3291-47CB-9A9B-A77B83051595}">
  <dimension ref="A1:S51"/>
  <sheetViews>
    <sheetView topLeftCell="C10" workbookViewId="0">
      <selection activeCell="P15" sqref="P15"/>
    </sheetView>
  </sheetViews>
  <sheetFormatPr defaultRowHeight="14.25" x14ac:dyDescent="0.2"/>
  <cols>
    <col min="4" max="4" width="10.5" customWidth="1"/>
    <col min="5" max="5" width="10.75" customWidth="1"/>
  </cols>
  <sheetData>
    <row r="1" spans="1:19" x14ac:dyDescent="0.2">
      <c r="A1" s="20" t="s">
        <v>119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 t="s">
        <v>128</v>
      </c>
    </row>
    <row r="2" spans="1:19" x14ac:dyDescent="0.2">
      <c r="A2" s="20" t="s">
        <v>120</v>
      </c>
      <c r="B2" s="20">
        <v>5.2</v>
      </c>
      <c r="C2" s="20">
        <v>7.8</v>
      </c>
      <c r="D2" s="20">
        <v>7.6</v>
      </c>
      <c r="E2" s="20">
        <v>12.6</v>
      </c>
      <c r="F2" s="20">
        <v>23.2</v>
      </c>
      <c r="G2" s="20">
        <v>11.2</v>
      </c>
      <c r="H2" s="20">
        <v>3.6</v>
      </c>
      <c r="I2" s="20">
        <v>6.9</v>
      </c>
      <c r="J2" s="20">
        <v>4.2</v>
      </c>
      <c r="K2" s="20">
        <v>15.6</v>
      </c>
      <c r="L2" s="20">
        <v>2.1</v>
      </c>
      <c r="M2" s="20">
        <f>SUM(B2:L2)</f>
        <v>100</v>
      </c>
    </row>
    <row r="3" spans="1:19" x14ac:dyDescent="0.2">
      <c r="A3" s="20" t="s">
        <v>121</v>
      </c>
      <c r="B3" s="20">
        <v>2.6</v>
      </c>
      <c r="C3" s="20">
        <v>22.7</v>
      </c>
      <c r="D3" s="20">
        <v>15.3</v>
      </c>
      <c r="E3" s="20">
        <v>0.5</v>
      </c>
      <c r="F3" s="20">
        <v>4.2</v>
      </c>
      <c r="G3" s="20">
        <v>2</v>
      </c>
      <c r="H3" s="20">
        <v>2.2000000000000002</v>
      </c>
      <c r="I3" s="20">
        <v>4.5999999999999996</v>
      </c>
      <c r="J3" s="20">
        <v>27.4</v>
      </c>
      <c r="K3" s="20">
        <v>12</v>
      </c>
      <c r="L3" s="20">
        <v>6.5</v>
      </c>
      <c r="M3" s="20">
        <f t="shared" ref="M3:M5" si="0">SUM(B3:L3)</f>
        <v>100</v>
      </c>
    </row>
    <row r="4" spans="1:19" x14ac:dyDescent="0.2">
      <c r="A4" s="20" t="s">
        <v>122</v>
      </c>
      <c r="B4" s="20">
        <v>5.2</v>
      </c>
      <c r="C4" s="20">
        <v>7.9</v>
      </c>
      <c r="D4" s="20">
        <v>4.9000000000000004</v>
      </c>
      <c r="E4" s="20">
        <v>2.7</v>
      </c>
      <c r="F4" s="20">
        <v>36</v>
      </c>
      <c r="G4" s="20">
        <v>6.6</v>
      </c>
      <c r="H4" s="20">
        <v>4.5999999999999996</v>
      </c>
      <c r="I4" s="20">
        <v>8.3000000000000007</v>
      </c>
      <c r="J4" s="20">
        <v>11.6</v>
      </c>
      <c r="K4" s="20">
        <v>10</v>
      </c>
      <c r="L4" s="20">
        <v>2.2000000000000002</v>
      </c>
      <c r="M4" s="20">
        <f t="shared" si="0"/>
        <v>100</v>
      </c>
    </row>
    <row r="5" spans="1:19" x14ac:dyDescent="0.2">
      <c r="A5" s="20" t="s">
        <v>123</v>
      </c>
      <c r="B5" s="20">
        <v>5.5</v>
      </c>
      <c r="C5" s="20">
        <v>8.8000000000000007</v>
      </c>
      <c r="D5" s="20">
        <v>6</v>
      </c>
      <c r="E5" s="20">
        <v>2.6</v>
      </c>
      <c r="F5" s="20">
        <v>33.700000000000003</v>
      </c>
      <c r="G5" s="20">
        <v>5.6</v>
      </c>
      <c r="H5" s="20">
        <v>4.2</v>
      </c>
      <c r="I5" s="20">
        <v>10</v>
      </c>
      <c r="J5" s="20">
        <v>12.6</v>
      </c>
      <c r="K5" s="20">
        <v>9</v>
      </c>
      <c r="L5" s="20">
        <v>2</v>
      </c>
      <c r="M5" s="20">
        <f t="shared" si="0"/>
        <v>100</v>
      </c>
    </row>
    <row r="8" spans="1:19" x14ac:dyDescent="0.2">
      <c r="A8" s="1" t="s">
        <v>129</v>
      </c>
      <c r="B8" s="7"/>
      <c r="C8" s="7"/>
      <c r="D8" s="7"/>
      <c r="E8" s="7"/>
      <c r="F8" s="7"/>
      <c r="G8" s="7"/>
      <c r="H8" s="7"/>
      <c r="I8" s="7"/>
      <c r="J8" s="7"/>
      <c r="K8" s="7"/>
      <c r="L8" s="2"/>
    </row>
    <row r="9" spans="1:19" x14ac:dyDescent="0.2">
      <c r="A9" s="5" t="s">
        <v>125</v>
      </c>
      <c r="B9" s="9">
        <f>B2/B$5</f>
        <v>0.94545454545454544</v>
      </c>
      <c r="C9" s="9">
        <f t="shared" ref="C9:L9" si="1">C2/C$5</f>
        <v>0.88636363636363624</v>
      </c>
      <c r="D9" s="9">
        <f t="shared" si="1"/>
        <v>1.2666666666666666</v>
      </c>
      <c r="E9" s="9">
        <f t="shared" si="1"/>
        <v>4.8461538461538458</v>
      </c>
      <c r="F9" s="9">
        <f t="shared" si="1"/>
        <v>0.688427299703264</v>
      </c>
      <c r="G9" s="9">
        <f t="shared" si="1"/>
        <v>2</v>
      </c>
      <c r="H9" s="9">
        <f t="shared" si="1"/>
        <v>0.8571428571428571</v>
      </c>
      <c r="I9" s="9">
        <f t="shared" si="1"/>
        <v>0.69000000000000006</v>
      </c>
      <c r="J9" s="9">
        <f t="shared" si="1"/>
        <v>0.33333333333333337</v>
      </c>
      <c r="K9" s="9">
        <f t="shared" si="1"/>
        <v>1.7333333333333334</v>
      </c>
      <c r="L9" s="6">
        <f t="shared" si="1"/>
        <v>1.05</v>
      </c>
    </row>
    <row r="10" spans="1:19" x14ac:dyDescent="0.2">
      <c r="A10" s="5" t="s">
        <v>126</v>
      </c>
      <c r="B10" s="9">
        <f t="shared" ref="B10:L11" si="2">B3/B$5</f>
        <v>0.47272727272727272</v>
      </c>
      <c r="C10" s="9">
        <f t="shared" si="2"/>
        <v>2.5795454545454541</v>
      </c>
      <c r="D10" s="9">
        <f t="shared" si="2"/>
        <v>2.5500000000000003</v>
      </c>
      <c r="E10" s="9">
        <f t="shared" si="2"/>
        <v>0.19230769230769229</v>
      </c>
      <c r="F10" s="9">
        <f t="shared" si="2"/>
        <v>0.12462908011869436</v>
      </c>
      <c r="G10" s="9">
        <f t="shared" si="2"/>
        <v>0.35714285714285715</v>
      </c>
      <c r="H10" s="9">
        <f t="shared" si="2"/>
        <v>0.52380952380952384</v>
      </c>
      <c r="I10" s="9">
        <f t="shared" si="2"/>
        <v>0.45999999999999996</v>
      </c>
      <c r="J10" s="9">
        <f t="shared" si="2"/>
        <v>2.1746031746031744</v>
      </c>
      <c r="K10" s="9">
        <f t="shared" si="2"/>
        <v>1.3333333333333333</v>
      </c>
      <c r="L10" s="6">
        <f t="shared" si="2"/>
        <v>3.25</v>
      </c>
    </row>
    <row r="11" spans="1:19" x14ac:dyDescent="0.2">
      <c r="A11" s="3" t="s">
        <v>127</v>
      </c>
      <c r="B11" s="10">
        <f t="shared" si="2"/>
        <v>0.94545454545454544</v>
      </c>
      <c r="C11" s="10">
        <f t="shared" si="2"/>
        <v>0.89772727272727271</v>
      </c>
      <c r="D11" s="10">
        <f t="shared" si="2"/>
        <v>0.81666666666666676</v>
      </c>
      <c r="E11" s="10">
        <f t="shared" si="2"/>
        <v>1.0384615384615385</v>
      </c>
      <c r="F11" s="10">
        <f t="shared" si="2"/>
        <v>1.0682492581602372</v>
      </c>
      <c r="G11" s="10">
        <f t="shared" si="2"/>
        <v>1.1785714285714286</v>
      </c>
      <c r="H11" s="10">
        <f t="shared" si="2"/>
        <v>1.0952380952380951</v>
      </c>
      <c r="I11" s="10">
        <f t="shared" si="2"/>
        <v>0.83000000000000007</v>
      </c>
      <c r="J11" s="10">
        <f t="shared" si="2"/>
        <v>0.92063492063492058</v>
      </c>
      <c r="K11" s="10">
        <f t="shared" si="2"/>
        <v>1.1111111111111112</v>
      </c>
      <c r="L11" s="4">
        <f t="shared" si="2"/>
        <v>1.1000000000000001</v>
      </c>
    </row>
    <row r="13" spans="1:19" x14ac:dyDescent="0.2">
      <c r="A13" s="24" t="s">
        <v>130</v>
      </c>
      <c r="C13" s="11"/>
      <c r="D13" s="7"/>
      <c r="E13" s="7"/>
      <c r="F13" s="7"/>
      <c r="G13" s="2"/>
    </row>
    <row r="14" spans="1:19" x14ac:dyDescent="0.2">
      <c r="A14" t="s">
        <v>119</v>
      </c>
      <c r="B14" t="s">
        <v>124</v>
      </c>
      <c r="C14" s="5" t="s">
        <v>120</v>
      </c>
      <c r="D14" s="9" t="s">
        <v>123</v>
      </c>
      <c r="E14" s="9" t="s">
        <v>133</v>
      </c>
      <c r="F14" s="9" t="s">
        <v>132</v>
      </c>
      <c r="G14" s="6"/>
    </row>
    <row r="15" spans="1:19" x14ac:dyDescent="0.2">
      <c r="A15">
        <v>4</v>
      </c>
      <c r="B15">
        <v>4.8461538461538458</v>
      </c>
      <c r="C15" s="5">
        <v>12.6</v>
      </c>
      <c r="D15" s="9">
        <v>2.6</v>
      </c>
      <c r="E15" s="9">
        <f>C15</f>
        <v>12.6</v>
      </c>
      <c r="F15" s="9">
        <f>D15</f>
        <v>2.6</v>
      </c>
      <c r="G15" s="6"/>
      <c r="P15" s="9"/>
      <c r="Q15" s="9"/>
      <c r="R15" s="9"/>
      <c r="S15" s="6"/>
    </row>
    <row r="16" spans="1:19" x14ac:dyDescent="0.2">
      <c r="A16">
        <v>6</v>
      </c>
      <c r="B16">
        <v>2</v>
      </c>
      <c r="C16" s="5">
        <v>11.2</v>
      </c>
      <c r="D16" s="9">
        <v>5.6</v>
      </c>
      <c r="E16" s="9">
        <f>C16+E15</f>
        <v>23.799999999999997</v>
      </c>
      <c r="F16" s="9">
        <f>D16+F15</f>
        <v>8.1999999999999993</v>
      </c>
      <c r="G16" s="6"/>
    </row>
    <row r="17" spans="1:7" x14ac:dyDescent="0.2">
      <c r="A17">
        <v>10</v>
      </c>
      <c r="B17">
        <v>1.7333333333333334</v>
      </c>
      <c r="C17" s="5">
        <v>15.6</v>
      </c>
      <c r="D17" s="9">
        <v>9</v>
      </c>
      <c r="E17" s="9">
        <f t="shared" ref="E17:E25" si="3">C17+E16</f>
        <v>39.4</v>
      </c>
      <c r="F17" s="9">
        <f t="shared" ref="F17:F25" si="4">D17+F16</f>
        <v>17.2</v>
      </c>
      <c r="G17" s="6"/>
    </row>
    <row r="18" spans="1:7" x14ac:dyDescent="0.2">
      <c r="A18">
        <v>3</v>
      </c>
      <c r="B18">
        <v>1.2666666666666666</v>
      </c>
      <c r="C18" s="5">
        <v>7.6</v>
      </c>
      <c r="D18" s="9">
        <v>6</v>
      </c>
      <c r="E18" s="9">
        <f t="shared" si="3"/>
        <v>47</v>
      </c>
      <c r="F18" s="9">
        <f t="shared" si="4"/>
        <v>23.2</v>
      </c>
      <c r="G18" s="6"/>
    </row>
    <row r="19" spans="1:7" x14ac:dyDescent="0.2">
      <c r="A19">
        <v>11</v>
      </c>
      <c r="B19">
        <v>1.05</v>
      </c>
      <c r="C19" s="5">
        <v>2.1</v>
      </c>
      <c r="D19" s="9">
        <v>2</v>
      </c>
      <c r="E19" s="9">
        <f t="shared" si="3"/>
        <v>49.1</v>
      </c>
      <c r="F19" s="9">
        <f t="shared" si="4"/>
        <v>25.2</v>
      </c>
      <c r="G19" s="6"/>
    </row>
    <row r="20" spans="1:7" x14ac:dyDescent="0.2">
      <c r="A20">
        <v>1</v>
      </c>
      <c r="B20">
        <v>0.94545454545454544</v>
      </c>
      <c r="C20" s="5">
        <v>5.2</v>
      </c>
      <c r="D20" s="9">
        <v>5.5</v>
      </c>
      <c r="E20" s="9">
        <f t="shared" si="3"/>
        <v>54.300000000000004</v>
      </c>
      <c r="F20" s="9">
        <f t="shared" si="4"/>
        <v>30.7</v>
      </c>
      <c r="G20" s="6"/>
    </row>
    <row r="21" spans="1:7" x14ac:dyDescent="0.2">
      <c r="A21">
        <v>2</v>
      </c>
      <c r="B21">
        <v>0.88636363636363624</v>
      </c>
      <c r="C21" s="5">
        <v>7.8</v>
      </c>
      <c r="D21" s="9">
        <v>8.8000000000000007</v>
      </c>
      <c r="E21" s="9">
        <f t="shared" si="3"/>
        <v>62.1</v>
      </c>
      <c r="F21" s="9">
        <f t="shared" si="4"/>
        <v>39.5</v>
      </c>
      <c r="G21" s="6"/>
    </row>
    <row r="22" spans="1:7" x14ac:dyDescent="0.2">
      <c r="A22">
        <v>7</v>
      </c>
      <c r="B22">
        <v>0.8571428571428571</v>
      </c>
      <c r="C22" s="5">
        <v>3.6</v>
      </c>
      <c r="D22" s="9">
        <v>4.2</v>
      </c>
      <c r="E22" s="9">
        <f t="shared" si="3"/>
        <v>65.7</v>
      </c>
      <c r="F22" s="9">
        <f t="shared" si="4"/>
        <v>43.7</v>
      </c>
      <c r="G22" s="6"/>
    </row>
    <row r="23" spans="1:7" x14ac:dyDescent="0.2">
      <c r="A23">
        <v>8</v>
      </c>
      <c r="B23">
        <v>0.69000000000000006</v>
      </c>
      <c r="C23" s="5">
        <v>6.9</v>
      </c>
      <c r="D23" s="9">
        <v>10</v>
      </c>
      <c r="E23" s="9">
        <f t="shared" si="3"/>
        <v>72.600000000000009</v>
      </c>
      <c r="F23" s="9">
        <f t="shared" si="4"/>
        <v>53.7</v>
      </c>
      <c r="G23" s="6"/>
    </row>
    <row r="24" spans="1:7" x14ac:dyDescent="0.2">
      <c r="A24">
        <v>5</v>
      </c>
      <c r="B24">
        <v>0.688427299703264</v>
      </c>
      <c r="C24" s="5">
        <v>23.2</v>
      </c>
      <c r="D24" s="9">
        <v>33.700000000000003</v>
      </c>
      <c r="E24" s="9">
        <f t="shared" si="3"/>
        <v>95.800000000000011</v>
      </c>
      <c r="F24" s="9">
        <f t="shared" si="4"/>
        <v>87.4</v>
      </c>
      <c r="G24" s="6"/>
    </row>
    <row r="25" spans="1:7" x14ac:dyDescent="0.2">
      <c r="A25">
        <v>9</v>
      </c>
      <c r="B25">
        <v>0.33333333333333337</v>
      </c>
      <c r="C25" s="5">
        <v>4.2</v>
      </c>
      <c r="D25" s="9">
        <v>12.6</v>
      </c>
      <c r="E25" s="9">
        <f t="shared" si="3"/>
        <v>100.00000000000001</v>
      </c>
      <c r="F25" s="9">
        <f t="shared" si="4"/>
        <v>100</v>
      </c>
      <c r="G25" s="6"/>
    </row>
    <row r="26" spans="1:7" x14ac:dyDescent="0.2">
      <c r="C26" s="5"/>
      <c r="D26" s="9"/>
      <c r="E26" s="9"/>
      <c r="F26" s="9"/>
      <c r="G26" s="6"/>
    </row>
    <row r="27" spans="1:7" x14ac:dyDescent="0.2">
      <c r="A27" t="s">
        <v>119</v>
      </c>
      <c r="B27" t="s">
        <v>126</v>
      </c>
      <c r="C27" s="5" t="s">
        <v>121</v>
      </c>
      <c r="D27" s="9" t="s">
        <v>123</v>
      </c>
      <c r="E27" s="9" t="s">
        <v>131</v>
      </c>
      <c r="F27" s="9" t="s">
        <v>132</v>
      </c>
      <c r="G27" s="6"/>
    </row>
    <row r="28" spans="1:7" x14ac:dyDescent="0.2">
      <c r="A28">
        <v>11</v>
      </c>
      <c r="B28">
        <v>3.25</v>
      </c>
      <c r="C28" s="5">
        <v>6.5</v>
      </c>
      <c r="D28" s="9">
        <v>2</v>
      </c>
      <c r="E28" s="9">
        <f>C28</f>
        <v>6.5</v>
      </c>
      <c r="F28" s="9">
        <f>D28</f>
        <v>2</v>
      </c>
      <c r="G28" s="6"/>
    </row>
    <row r="29" spans="1:7" x14ac:dyDescent="0.2">
      <c r="A29">
        <v>2</v>
      </c>
      <c r="B29">
        <v>2.5795454545454541</v>
      </c>
      <c r="C29" s="5">
        <v>22.7</v>
      </c>
      <c r="D29" s="9">
        <v>8.8000000000000007</v>
      </c>
      <c r="E29" s="9">
        <f>C29+E28</f>
        <v>29.2</v>
      </c>
      <c r="F29" s="9">
        <f>D29+F28</f>
        <v>10.8</v>
      </c>
      <c r="G29" s="6"/>
    </row>
    <row r="30" spans="1:7" x14ac:dyDescent="0.2">
      <c r="A30">
        <v>3</v>
      </c>
      <c r="B30">
        <v>2.5500000000000003</v>
      </c>
      <c r="C30" s="5">
        <v>15.3</v>
      </c>
      <c r="D30" s="9">
        <v>6</v>
      </c>
      <c r="E30" s="9">
        <f t="shared" ref="E30:E38" si="5">C30+E29</f>
        <v>44.5</v>
      </c>
      <c r="F30" s="9">
        <f t="shared" ref="F30:F38" si="6">D30+F29</f>
        <v>16.8</v>
      </c>
      <c r="G30" s="6"/>
    </row>
    <row r="31" spans="1:7" x14ac:dyDescent="0.2">
      <c r="A31">
        <v>9</v>
      </c>
      <c r="B31">
        <v>2.1746031746031744</v>
      </c>
      <c r="C31" s="5">
        <v>27.4</v>
      </c>
      <c r="D31" s="9">
        <v>12.6</v>
      </c>
      <c r="E31" s="9">
        <f t="shared" si="5"/>
        <v>71.900000000000006</v>
      </c>
      <c r="F31" s="9">
        <f t="shared" si="6"/>
        <v>29.4</v>
      </c>
      <c r="G31" s="6"/>
    </row>
    <row r="32" spans="1:7" x14ac:dyDescent="0.2">
      <c r="A32">
        <v>10</v>
      </c>
      <c r="B32">
        <v>1.3333333333333333</v>
      </c>
      <c r="C32" s="5">
        <v>12</v>
      </c>
      <c r="D32" s="9">
        <v>9</v>
      </c>
      <c r="E32" s="9">
        <f t="shared" si="5"/>
        <v>83.9</v>
      </c>
      <c r="F32" s="9">
        <f t="shared" si="6"/>
        <v>38.4</v>
      </c>
      <c r="G32" s="6"/>
    </row>
    <row r="33" spans="1:7" x14ac:dyDescent="0.2">
      <c r="A33">
        <v>7</v>
      </c>
      <c r="B33">
        <v>0.52380952380952384</v>
      </c>
      <c r="C33" s="5">
        <v>2.2000000000000002</v>
      </c>
      <c r="D33" s="9">
        <v>4.2</v>
      </c>
      <c r="E33" s="9">
        <f t="shared" si="5"/>
        <v>86.100000000000009</v>
      </c>
      <c r="F33" s="9">
        <f t="shared" si="6"/>
        <v>42.6</v>
      </c>
      <c r="G33" s="6"/>
    </row>
    <row r="34" spans="1:7" x14ac:dyDescent="0.2">
      <c r="A34">
        <v>1</v>
      </c>
      <c r="B34">
        <v>0.47272727272727272</v>
      </c>
      <c r="C34" s="5">
        <v>2.6</v>
      </c>
      <c r="D34" s="9">
        <v>5.5</v>
      </c>
      <c r="E34" s="9">
        <f t="shared" si="5"/>
        <v>88.7</v>
      </c>
      <c r="F34" s="9">
        <f t="shared" si="6"/>
        <v>48.1</v>
      </c>
      <c r="G34" s="6"/>
    </row>
    <row r="35" spans="1:7" x14ac:dyDescent="0.2">
      <c r="A35">
        <v>8</v>
      </c>
      <c r="B35">
        <v>0.45999999999999996</v>
      </c>
      <c r="C35" s="5">
        <v>4.5999999999999996</v>
      </c>
      <c r="D35" s="9">
        <v>10</v>
      </c>
      <c r="E35" s="9">
        <f t="shared" si="5"/>
        <v>93.3</v>
      </c>
      <c r="F35" s="9">
        <f t="shared" si="6"/>
        <v>58.1</v>
      </c>
      <c r="G35" s="6"/>
    </row>
    <row r="36" spans="1:7" x14ac:dyDescent="0.2">
      <c r="A36">
        <v>6</v>
      </c>
      <c r="B36">
        <v>0.35714285714285715</v>
      </c>
      <c r="C36" s="5">
        <v>2</v>
      </c>
      <c r="D36" s="9">
        <v>5.6</v>
      </c>
      <c r="E36" s="9">
        <f t="shared" si="5"/>
        <v>95.3</v>
      </c>
      <c r="F36" s="9">
        <f t="shared" si="6"/>
        <v>63.7</v>
      </c>
      <c r="G36" s="6"/>
    </row>
    <row r="37" spans="1:7" x14ac:dyDescent="0.2">
      <c r="A37">
        <v>4</v>
      </c>
      <c r="B37">
        <v>0.19230769230769229</v>
      </c>
      <c r="C37" s="5">
        <v>0.5</v>
      </c>
      <c r="D37" s="9">
        <v>2.6</v>
      </c>
      <c r="E37" s="9">
        <f t="shared" si="5"/>
        <v>95.8</v>
      </c>
      <c r="F37" s="9">
        <f t="shared" si="6"/>
        <v>66.3</v>
      </c>
      <c r="G37" s="6"/>
    </row>
    <row r="38" spans="1:7" x14ac:dyDescent="0.2">
      <c r="A38">
        <v>5</v>
      </c>
      <c r="B38">
        <v>0.12462908011869436</v>
      </c>
      <c r="C38" s="5">
        <v>4.2</v>
      </c>
      <c r="D38" s="9">
        <v>33.700000000000003</v>
      </c>
      <c r="E38" s="9">
        <f t="shared" si="5"/>
        <v>100</v>
      </c>
      <c r="F38" s="9">
        <f t="shared" si="6"/>
        <v>100</v>
      </c>
      <c r="G38" s="6"/>
    </row>
    <row r="39" spans="1:7" x14ac:dyDescent="0.2">
      <c r="C39" s="5"/>
      <c r="D39" s="9"/>
      <c r="E39" s="9"/>
      <c r="F39" s="9"/>
      <c r="G39" s="6"/>
    </row>
    <row r="40" spans="1:7" x14ac:dyDescent="0.2">
      <c r="A40" t="s">
        <v>119</v>
      </c>
      <c r="B40" t="s">
        <v>127</v>
      </c>
      <c r="C40" s="5" t="s">
        <v>122</v>
      </c>
      <c r="D40" s="9" t="s">
        <v>123</v>
      </c>
      <c r="E40" s="9" t="s">
        <v>134</v>
      </c>
      <c r="F40" s="9" t="s">
        <v>132</v>
      </c>
      <c r="G40" s="6"/>
    </row>
    <row r="41" spans="1:7" x14ac:dyDescent="0.2">
      <c r="A41">
        <v>6</v>
      </c>
      <c r="B41">
        <v>1.1785714285714286</v>
      </c>
      <c r="C41" s="5">
        <v>6.6</v>
      </c>
      <c r="D41" s="9">
        <v>5.6</v>
      </c>
      <c r="E41" s="9">
        <f>C41</f>
        <v>6.6</v>
      </c>
      <c r="F41" s="9">
        <f>D41</f>
        <v>5.6</v>
      </c>
      <c r="G41" s="6"/>
    </row>
    <row r="42" spans="1:7" x14ac:dyDescent="0.2">
      <c r="A42">
        <v>10</v>
      </c>
      <c r="B42">
        <v>1.1111111111111112</v>
      </c>
      <c r="C42" s="5">
        <v>10</v>
      </c>
      <c r="D42" s="9">
        <v>9</v>
      </c>
      <c r="E42" s="9">
        <f>C42+E41</f>
        <v>16.600000000000001</v>
      </c>
      <c r="F42" s="9">
        <f>D42+F41</f>
        <v>14.6</v>
      </c>
      <c r="G42" s="6"/>
    </row>
    <row r="43" spans="1:7" x14ac:dyDescent="0.2">
      <c r="A43">
        <v>11</v>
      </c>
      <c r="B43">
        <v>1.1000000000000001</v>
      </c>
      <c r="C43" s="5">
        <v>2.2000000000000002</v>
      </c>
      <c r="D43" s="9">
        <v>2</v>
      </c>
      <c r="E43" s="9">
        <f t="shared" ref="E43:E51" si="7">C43+E42</f>
        <v>18.8</v>
      </c>
      <c r="F43" s="9">
        <f t="shared" ref="F43:F51" si="8">D43+F42</f>
        <v>16.600000000000001</v>
      </c>
      <c r="G43" s="6"/>
    </row>
    <row r="44" spans="1:7" x14ac:dyDescent="0.2">
      <c r="A44">
        <v>7</v>
      </c>
      <c r="B44">
        <v>1.0952380952380951</v>
      </c>
      <c r="C44" s="5">
        <v>4.5999999999999996</v>
      </c>
      <c r="D44" s="9">
        <v>4.2</v>
      </c>
      <c r="E44" s="9">
        <f t="shared" si="7"/>
        <v>23.4</v>
      </c>
      <c r="F44" s="9">
        <f t="shared" si="8"/>
        <v>20.8</v>
      </c>
      <c r="G44" s="6"/>
    </row>
    <row r="45" spans="1:7" x14ac:dyDescent="0.2">
      <c r="A45">
        <v>5</v>
      </c>
      <c r="B45">
        <v>1.0682492581602372</v>
      </c>
      <c r="C45" s="5">
        <v>36</v>
      </c>
      <c r="D45" s="9">
        <v>33.700000000000003</v>
      </c>
      <c r="E45" s="9">
        <f t="shared" si="7"/>
        <v>59.4</v>
      </c>
      <c r="F45" s="9">
        <f t="shared" si="8"/>
        <v>54.5</v>
      </c>
      <c r="G45" s="6"/>
    </row>
    <row r="46" spans="1:7" x14ac:dyDescent="0.2">
      <c r="A46">
        <v>4</v>
      </c>
      <c r="B46">
        <v>1.0384615384615385</v>
      </c>
      <c r="C46" s="5">
        <v>2.7</v>
      </c>
      <c r="D46" s="9">
        <v>2.6</v>
      </c>
      <c r="E46" s="9">
        <f t="shared" si="7"/>
        <v>62.1</v>
      </c>
      <c r="F46" s="9">
        <f t="shared" si="8"/>
        <v>57.1</v>
      </c>
      <c r="G46" s="6"/>
    </row>
    <row r="47" spans="1:7" x14ac:dyDescent="0.2">
      <c r="A47">
        <v>1</v>
      </c>
      <c r="B47">
        <v>0.94545454545454544</v>
      </c>
      <c r="C47" s="5">
        <v>5.2</v>
      </c>
      <c r="D47" s="9">
        <v>5.5</v>
      </c>
      <c r="E47" s="9">
        <f t="shared" si="7"/>
        <v>67.3</v>
      </c>
      <c r="F47" s="9">
        <f t="shared" si="8"/>
        <v>62.6</v>
      </c>
      <c r="G47" s="6"/>
    </row>
    <row r="48" spans="1:7" x14ac:dyDescent="0.2">
      <c r="A48">
        <v>9</v>
      </c>
      <c r="B48">
        <v>0.92063492063492058</v>
      </c>
      <c r="C48" s="5">
        <v>11.6</v>
      </c>
      <c r="D48" s="9">
        <v>12.6</v>
      </c>
      <c r="E48" s="9">
        <f t="shared" si="7"/>
        <v>78.899999999999991</v>
      </c>
      <c r="F48" s="9">
        <f t="shared" si="8"/>
        <v>75.2</v>
      </c>
      <c r="G48" s="6"/>
    </row>
    <row r="49" spans="1:7" x14ac:dyDescent="0.2">
      <c r="A49">
        <v>2</v>
      </c>
      <c r="B49">
        <v>0.89772727272727271</v>
      </c>
      <c r="C49" s="5">
        <v>7.9</v>
      </c>
      <c r="D49" s="9">
        <v>8.8000000000000007</v>
      </c>
      <c r="E49" s="9">
        <f t="shared" si="7"/>
        <v>86.8</v>
      </c>
      <c r="F49" s="9">
        <f t="shared" si="8"/>
        <v>84</v>
      </c>
      <c r="G49" s="6"/>
    </row>
    <row r="50" spans="1:7" x14ac:dyDescent="0.2">
      <c r="A50">
        <v>8</v>
      </c>
      <c r="B50">
        <v>0.83000000000000007</v>
      </c>
      <c r="C50" s="5">
        <v>8.3000000000000007</v>
      </c>
      <c r="D50" s="9">
        <v>10</v>
      </c>
      <c r="E50" s="9">
        <f t="shared" si="7"/>
        <v>95.1</v>
      </c>
      <c r="F50" s="9">
        <f t="shared" si="8"/>
        <v>94</v>
      </c>
      <c r="G50" s="6"/>
    </row>
    <row r="51" spans="1:7" x14ac:dyDescent="0.2">
      <c r="A51">
        <v>3</v>
      </c>
      <c r="B51">
        <v>0.81666666666666676</v>
      </c>
      <c r="C51" s="3">
        <v>4.9000000000000004</v>
      </c>
      <c r="D51" s="10">
        <v>6</v>
      </c>
      <c r="E51" s="10">
        <f t="shared" si="7"/>
        <v>100</v>
      </c>
      <c r="F51" s="10">
        <f t="shared" si="8"/>
        <v>100</v>
      </c>
      <c r="G51" s="4"/>
    </row>
  </sheetData>
  <sortState xmlns:xlrd2="http://schemas.microsoft.com/office/spreadsheetml/2017/richdata2" ref="A41:F51">
    <sortCondition descending="1" ref="B4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F100-A7AD-4B73-9AE9-8B165B717FBF}">
  <dimension ref="A1:H30"/>
  <sheetViews>
    <sheetView topLeftCell="A13" workbookViewId="0">
      <selection activeCell="D31" sqref="D31:F33"/>
    </sheetView>
  </sheetViews>
  <sheetFormatPr defaultRowHeight="14.25" x14ac:dyDescent="0.2"/>
  <cols>
    <col min="2" max="2" width="16.125" customWidth="1"/>
  </cols>
  <sheetData>
    <row r="1" spans="1:8" x14ac:dyDescent="0.2">
      <c r="A1" s="20" t="s">
        <v>54</v>
      </c>
      <c r="B1" s="20" t="s">
        <v>135</v>
      </c>
      <c r="D1" s="1" t="s">
        <v>136</v>
      </c>
      <c r="E1" s="7"/>
      <c r="F1" s="23" t="s">
        <v>137</v>
      </c>
      <c r="G1" s="7"/>
      <c r="H1" s="34" t="s">
        <v>138</v>
      </c>
    </row>
    <row r="2" spans="1:8" x14ac:dyDescent="0.2">
      <c r="A2" s="20">
        <v>1940</v>
      </c>
      <c r="B2" s="20">
        <v>9.8000000000000007</v>
      </c>
      <c r="D2" s="5">
        <f>AVERAGE(B2:B4)</f>
        <v>6.6000000000000005</v>
      </c>
      <c r="E2" s="9"/>
      <c r="F2" s="9">
        <f t="shared" ref="F2:F26" si="0">AVERAGE(B2:B6)</f>
        <v>6.08</v>
      </c>
      <c r="G2" s="9"/>
      <c r="H2" s="6">
        <f>B2-AVERAGE($B$2:$B$30)</f>
        <v>-0.53793103448275836</v>
      </c>
    </row>
    <row r="3" spans="1:8" x14ac:dyDescent="0.2">
      <c r="A3" s="20">
        <v>1941</v>
      </c>
      <c r="B3" s="20">
        <v>3</v>
      </c>
      <c r="D3" s="5">
        <f t="shared" ref="D3:D27" si="1">AVERAGE(B3:B5)</f>
        <v>4.9333333333333336</v>
      </c>
      <c r="E3" s="9"/>
      <c r="F3" s="9">
        <f t="shared" si="0"/>
        <v>5.28</v>
      </c>
      <c r="G3" s="9"/>
      <c r="H3" s="6">
        <f t="shared" ref="H3:H28" si="2">B3-AVERAGE($B$2:$B$30)</f>
        <v>-7.3379310344827591</v>
      </c>
    </row>
    <row r="4" spans="1:8" x14ac:dyDescent="0.2">
      <c r="A4" s="20">
        <v>1942</v>
      </c>
      <c r="B4" s="20">
        <v>7</v>
      </c>
      <c r="D4" s="5">
        <f t="shared" si="1"/>
        <v>5.8666666666666671</v>
      </c>
      <c r="E4" s="9"/>
      <c r="F4" s="9">
        <f t="shared" si="0"/>
        <v>7.080000000000001</v>
      </c>
      <c r="G4" s="9"/>
      <c r="H4" s="6">
        <f t="shared" si="2"/>
        <v>-3.3379310344827591</v>
      </c>
    </row>
    <row r="5" spans="1:8" x14ac:dyDescent="0.2">
      <c r="A5" s="20">
        <v>1943</v>
      </c>
      <c r="B5" s="20">
        <v>4.8</v>
      </c>
      <c r="D5" s="5">
        <f t="shared" si="1"/>
        <v>5.4666666666666659</v>
      </c>
      <c r="E5" s="9"/>
      <c r="F5" s="9">
        <f t="shared" si="0"/>
        <v>7.4599999999999991</v>
      </c>
      <c r="G5" s="9"/>
      <c r="H5" s="6">
        <f t="shared" si="2"/>
        <v>-5.5379310344827593</v>
      </c>
    </row>
    <row r="6" spans="1:8" x14ac:dyDescent="0.2">
      <c r="A6" s="20">
        <v>1944</v>
      </c>
      <c r="B6" s="20">
        <v>5.8</v>
      </c>
      <c r="D6" s="5">
        <f t="shared" si="1"/>
        <v>7.8666666666666671</v>
      </c>
      <c r="E6" s="9"/>
      <c r="F6" s="9">
        <f t="shared" si="0"/>
        <v>8.1</v>
      </c>
      <c r="G6" s="9"/>
      <c r="H6" s="6">
        <f t="shared" si="2"/>
        <v>-4.5379310344827593</v>
      </c>
    </row>
    <row r="7" spans="1:8" x14ac:dyDescent="0.2">
      <c r="A7" s="20">
        <v>1945</v>
      </c>
      <c r="B7" s="20">
        <v>5.8</v>
      </c>
      <c r="D7" s="5">
        <f t="shared" si="1"/>
        <v>8.9</v>
      </c>
      <c r="E7" s="9"/>
      <c r="F7" s="9">
        <f t="shared" si="0"/>
        <v>7.1800000000000015</v>
      </c>
      <c r="G7" s="9"/>
      <c r="H7" s="6">
        <f t="shared" si="2"/>
        <v>-4.5379310344827593</v>
      </c>
    </row>
    <row r="8" spans="1:8" x14ac:dyDescent="0.2">
      <c r="A8" s="20">
        <v>1946</v>
      </c>
      <c r="B8" s="20">
        <v>12</v>
      </c>
      <c r="D8" s="5">
        <f t="shared" si="1"/>
        <v>9.6333333333333329</v>
      </c>
      <c r="E8" s="9"/>
      <c r="F8" s="9">
        <f t="shared" si="0"/>
        <v>8.1199999999999992</v>
      </c>
      <c r="G8" s="9"/>
      <c r="H8" s="6">
        <f t="shared" si="2"/>
        <v>1.6620689655172409</v>
      </c>
    </row>
    <row r="9" spans="1:8" x14ac:dyDescent="0.2">
      <c r="A9" s="20">
        <v>1947</v>
      </c>
      <c r="B9" s="20">
        <v>8.9</v>
      </c>
      <c r="D9" s="5">
        <f t="shared" si="1"/>
        <v>6.0333333333333323</v>
      </c>
      <c r="E9" s="9"/>
      <c r="F9" s="9">
        <f t="shared" si="0"/>
        <v>9.3199999999999985</v>
      </c>
      <c r="G9" s="9"/>
      <c r="H9" s="6">
        <f t="shared" si="2"/>
        <v>-1.4379310344827587</v>
      </c>
    </row>
    <row r="10" spans="1:8" x14ac:dyDescent="0.2">
      <c r="A10" s="20">
        <v>1948</v>
      </c>
      <c r="B10" s="20">
        <v>8</v>
      </c>
      <c r="D10" s="5">
        <f t="shared" si="1"/>
        <v>6.5666666666666664</v>
      </c>
      <c r="E10" s="9"/>
      <c r="F10" s="9">
        <f t="shared" si="0"/>
        <v>11.540000000000001</v>
      </c>
      <c r="G10" s="9"/>
      <c r="H10" s="6">
        <f t="shared" si="2"/>
        <v>-2.3379310344827591</v>
      </c>
    </row>
    <row r="11" spans="1:8" x14ac:dyDescent="0.2">
      <c r="A11" s="20">
        <v>1949</v>
      </c>
      <c r="B11" s="20">
        <v>1.2</v>
      </c>
      <c r="D11" s="5">
        <f t="shared" si="1"/>
        <v>9.9</v>
      </c>
      <c r="E11" s="9"/>
      <c r="F11" s="9">
        <f t="shared" si="0"/>
        <v>10.540000000000001</v>
      </c>
      <c r="G11" s="9"/>
      <c r="H11" s="6">
        <f t="shared" si="2"/>
        <v>-9.1379310344827598</v>
      </c>
    </row>
    <row r="12" spans="1:8" x14ac:dyDescent="0.2">
      <c r="A12" s="20">
        <v>1950</v>
      </c>
      <c r="B12" s="20">
        <v>10.5</v>
      </c>
      <c r="D12" s="5">
        <f t="shared" si="1"/>
        <v>16.166666666666668</v>
      </c>
      <c r="E12" s="9"/>
      <c r="F12" s="9">
        <f t="shared" si="0"/>
        <v>13.7</v>
      </c>
      <c r="G12" s="9"/>
      <c r="H12" s="6">
        <f t="shared" si="2"/>
        <v>0.16206896551724093</v>
      </c>
    </row>
    <row r="13" spans="1:8" x14ac:dyDescent="0.2">
      <c r="A13" s="20">
        <v>1951</v>
      </c>
      <c r="B13" s="20">
        <v>18</v>
      </c>
      <c r="D13" s="5">
        <f t="shared" si="1"/>
        <v>13.666666666666666</v>
      </c>
      <c r="E13" s="9"/>
      <c r="F13" s="9">
        <f t="shared" si="0"/>
        <v>13</v>
      </c>
      <c r="G13" s="9"/>
      <c r="H13" s="6">
        <f t="shared" si="2"/>
        <v>7.6620689655172409</v>
      </c>
    </row>
    <row r="14" spans="1:8" x14ac:dyDescent="0.2">
      <c r="A14" s="20">
        <v>1952</v>
      </c>
      <c r="B14" s="20">
        <v>20</v>
      </c>
      <c r="D14" s="5">
        <f t="shared" si="1"/>
        <v>13.333333333333334</v>
      </c>
      <c r="E14" s="9"/>
      <c r="F14" s="9">
        <f t="shared" si="0"/>
        <v>10.6</v>
      </c>
      <c r="G14" s="9"/>
      <c r="H14" s="6">
        <f t="shared" si="2"/>
        <v>9.6620689655172409</v>
      </c>
    </row>
    <row r="15" spans="1:8" x14ac:dyDescent="0.2">
      <c r="A15" s="20">
        <v>1953</v>
      </c>
      <c r="B15" s="20">
        <v>3</v>
      </c>
      <c r="D15" s="5">
        <f t="shared" si="1"/>
        <v>9</v>
      </c>
      <c r="E15" s="9"/>
      <c r="F15" s="9">
        <f t="shared" si="0"/>
        <v>7.6</v>
      </c>
      <c r="G15" s="9"/>
      <c r="H15" s="6">
        <f t="shared" si="2"/>
        <v>-7.3379310344827591</v>
      </c>
    </row>
    <row r="16" spans="1:8" x14ac:dyDescent="0.2">
      <c r="A16" s="20">
        <v>1954</v>
      </c>
      <c r="B16" s="20">
        <v>17</v>
      </c>
      <c r="D16" s="5">
        <f t="shared" si="1"/>
        <v>10</v>
      </c>
      <c r="E16" s="9"/>
      <c r="F16" s="9">
        <f t="shared" si="0"/>
        <v>8.4</v>
      </c>
      <c r="G16" s="9"/>
      <c r="H16" s="6">
        <f t="shared" si="2"/>
        <v>6.6620689655172409</v>
      </c>
    </row>
    <row r="17" spans="1:8" x14ac:dyDescent="0.2">
      <c r="A17" s="20">
        <v>1955</v>
      </c>
      <c r="B17" s="20">
        <v>7</v>
      </c>
      <c r="D17" s="5">
        <f t="shared" si="1"/>
        <v>6</v>
      </c>
      <c r="E17" s="9"/>
      <c r="F17" s="9">
        <f t="shared" si="0"/>
        <v>8.3000000000000007</v>
      </c>
      <c r="G17" s="9"/>
      <c r="H17" s="6">
        <f t="shared" si="2"/>
        <v>-3.3379310344827591</v>
      </c>
    </row>
    <row r="18" spans="1:8" x14ac:dyDescent="0.2">
      <c r="A18" s="20">
        <v>1956</v>
      </c>
      <c r="B18" s="20">
        <v>6</v>
      </c>
      <c r="D18" s="5">
        <f t="shared" si="1"/>
        <v>6</v>
      </c>
      <c r="E18" s="9"/>
      <c r="F18" s="9">
        <f t="shared" si="0"/>
        <v>9.9</v>
      </c>
      <c r="G18" s="9"/>
      <c r="H18" s="6">
        <f t="shared" si="2"/>
        <v>-4.3379310344827591</v>
      </c>
    </row>
    <row r="19" spans="1:8" x14ac:dyDescent="0.2">
      <c r="A19" s="20">
        <v>1957</v>
      </c>
      <c r="B19" s="20">
        <v>5</v>
      </c>
      <c r="D19" s="5">
        <f t="shared" si="1"/>
        <v>9.5</v>
      </c>
      <c r="E19" s="9"/>
      <c r="F19" s="9">
        <f t="shared" si="0"/>
        <v>12.3</v>
      </c>
      <c r="G19" s="9"/>
      <c r="H19" s="6">
        <f t="shared" si="2"/>
        <v>-5.3379310344827591</v>
      </c>
    </row>
    <row r="20" spans="1:8" x14ac:dyDescent="0.2">
      <c r="A20" s="20">
        <v>1958</v>
      </c>
      <c r="B20" s="20">
        <v>7</v>
      </c>
      <c r="D20" s="5">
        <f t="shared" si="1"/>
        <v>12.833333333333334</v>
      </c>
      <c r="E20" s="9"/>
      <c r="F20" s="9">
        <f t="shared" si="0"/>
        <v>12.2</v>
      </c>
      <c r="G20" s="9"/>
      <c r="H20" s="6">
        <f t="shared" si="2"/>
        <v>-3.3379310344827591</v>
      </c>
    </row>
    <row r="21" spans="1:8" x14ac:dyDescent="0.2">
      <c r="A21" s="20">
        <v>1959</v>
      </c>
      <c r="B21" s="20">
        <v>16.5</v>
      </c>
      <c r="D21" s="5">
        <f t="shared" si="1"/>
        <v>16.5</v>
      </c>
      <c r="E21" s="9"/>
      <c r="F21" s="9">
        <f t="shared" si="0"/>
        <v>13.6</v>
      </c>
      <c r="G21" s="9"/>
      <c r="H21" s="6">
        <f t="shared" si="2"/>
        <v>6.1620689655172409</v>
      </c>
    </row>
    <row r="22" spans="1:8" x14ac:dyDescent="0.2">
      <c r="A22" s="20">
        <v>1960</v>
      </c>
      <c r="B22" s="20">
        <v>15</v>
      </c>
      <c r="D22" s="5">
        <f t="shared" si="1"/>
        <v>12.5</v>
      </c>
      <c r="E22" s="9"/>
      <c r="F22" s="9">
        <f t="shared" si="0"/>
        <v>13.1</v>
      </c>
      <c r="G22" s="9"/>
      <c r="H22" s="6">
        <f t="shared" si="2"/>
        <v>4.6620689655172409</v>
      </c>
    </row>
    <row r="23" spans="1:8" x14ac:dyDescent="0.2">
      <c r="A23" s="20">
        <v>1961</v>
      </c>
      <c r="B23" s="20">
        <v>18</v>
      </c>
      <c r="D23" s="5">
        <f t="shared" si="1"/>
        <v>12.166666666666666</v>
      </c>
      <c r="E23" s="9"/>
      <c r="F23" s="9">
        <f t="shared" si="0"/>
        <v>12.7</v>
      </c>
      <c r="G23" s="9"/>
      <c r="H23" s="6">
        <f t="shared" si="2"/>
        <v>7.6620689655172409</v>
      </c>
    </row>
    <row r="24" spans="1:8" x14ac:dyDescent="0.2">
      <c r="A24" s="20">
        <v>1962</v>
      </c>
      <c r="B24" s="20">
        <v>4.5</v>
      </c>
      <c r="D24" s="5">
        <f t="shared" si="1"/>
        <v>10.833333333333334</v>
      </c>
      <c r="E24" s="9"/>
      <c r="F24" s="9">
        <f t="shared" si="0"/>
        <v>12</v>
      </c>
      <c r="G24" s="9"/>
      <c r="H24" s="6">
        <f t="shared" si="2"/>
        <v>-5.8379310344827591</v>
      </c>
    </row>
    <row r="25" spans="1:8" x14ac:dyDescent="0.2">
      <c r="A25" s="20">
        <v>1963</v>
      </c>
      <c r="B25" s="20">
        <v>14</v>
      </c>
      <c r="D25" s="5">
        <f t="shared" si="1"/>
        <v>13.666666666666666</v>
      </c>
      <c r="E25" s="9"/>
      <c r="F25" s="9">
        <f t="shared" si="0"/>
        <v>14</v>
      </c>
      <c r="G25" s="9"/>
      <c r="H25" s="6">
        <f t="shared" si="2"/>
        <v>3.6620689655172409</v>
      </c>
    </row>
    <row r="26" spans="1:8" x14ac:dyDescent="0.2">
      <c r="A26" s="20">
        <v>1964</v>
      </c>
      <c r="B26" s="20">
        <v>14</v>
      </c>
      <c r="D26" s="5">
        <f t="shared" si="1"/>
        <v>13.833333333333334</v>
      </c>
      <c r="E26" s="9"/>
      <c r="F26" s="9">
        <f t="shared" si="0"/>
        <v>14.4</v>
      </c>
      <c r="G26" s="9"/>
      <c r="H26" s="6">
        <f t="shared" si="2"/>
        <v>3.6620689655172409</v>
      </c>
    </row>
    <row r="27" spans="1:8" x14ac:dyDescent="0.2">
      <c r="A27" s="20">
        <v>1965</v>
      </c>
      <c r="B27" s="20">
        <v>13</v>
      </c>
      <c r="D27" s="5">
        <f t="shared" si="1"/>
        <v>14</v>
      </c>
      <c r="E27" s="9"/>
      <c r="F27" s="9"/>
      <c r="G27" s="9"/>
      <c r="H27" s="6">
        <f t="shared" si="2"/>
        <v>2.6620689655172409</v>
      </c>
    </row>
    <row r="28" spans="1:8" x14ac:dyDescent="0.2">
      <c r="A28" s="20">
        <v>1966</v>
      </c>
      <c r="B28" s="20">
        <v>14.5</v>
      </c>
      <c r="D28" s="5">
        <f>AVERAGE(B28:B30)</f>
        <v>15</v>
      </c>
      <c r="E28" s="9"/>
      <c r="F28" s="9"/>
      <c r="G28" s="9"/>
      <c r="H28" s="6">
        <f t="shared" si="2"/>
        <v>4.1620689655172409</v>
      </c>
    </row>
    <row r="29" spans="1:8" x14ac:dyDescent="0.2">
      <c r="A29" s="20">
        <v>1967</v>
      </c>
      <c r="B29" s="20">
        <v>14.5</v>
      </c>
      <c r="D29" s="5"/>
      <c r="E29" s="9"/>
      <c r="F29" s="9"/>
      <c r="G29" s="9"/>
      <c r="H29" s="6">
        <f>B29-AVERAGE($B$2:$B$30)</f>
        <v>4.1620689655172409</v>
      </c>
    </row>
    <row r="30" spans="1:8" x14ac:dyDescent="0.2">
      <c r="A30" s="20">
        <v>1968</v>
      </c>
      <c r="B30" s="20">
        <v>16</v>
      </c>
      <c r="D30" s="3"/>
      <c r="E30" s="10"/>
      <c r="F30" s="10"/>
      <c r="G30" s="10"/>
      <c r="H30" s="4">
        <f>B30-AVERAGE($B$2:$B$30)</f>
        <v>5.6620689655172409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0ADA-3513-4CC9-9333-75C0927798CB}">
  <dimension ref="A1:K41"/>
  <sheetViews>
    <sheetView tabSelected="1" topLeftCell="A22" workbookViewId="0">
      <selection activeCell="N30" sqref="N30"/>
    </sheetView>
  </sheetViews>
  <sheetFormatPr defaultRowHeight="14.25" x14ac:dyDescent="0.2"/>
  <cols>
    <col min="3" max="3" width="13" bestFit="1" customWidth="1"/>
  </cols>
  <sheetData>
    <row r="1" spans="1:11" x14ac:dyDescent="0.2">
      <c r="A1" s="20" t="s">
        <v>141</v>
      </c>
      <c r="B1" s="20" t="s">
        <v>139</v>
      </c>
      <c r="C1" s="20" t="s">
        <v>140</v>
      </c>
      <c r="E1" s="1" t="s">
        <v>143</v>
      </c>
      <c r="F1" s="7"/>
      <c r="G1" s="7"/>
      <c r="H1" s="7"/>
      <c r="I1" s="7"/>
      <c r="J1" s="7"/>
      <c r="K1" s="2"/>
    </row>
    <row r="2" spans="1:11" x14ac:dyDescent="0.2">
      <c r="A2" s="20">
        <v>1995</v>
      </c>
      <c r="B2" s="20">
        <v>2462.5700000000002</v>
      </c>
      <c r="C2" s="20">
        <v>1301.3699999999999</v>
      </c>
      <c r="E2" s="5"/>
      <c r="F2" s="9" t="s">
        <v>142</v>
      </c>
      <c r="G2" s="9" t="s">
        <v>141</v>
      </c>
      <c r="H2" s="9"/>
      <c r="I2" s="9"/>
      <c r="J2" s="9"/>
      <c r="K2" s="6"/>
    </row>
    <row r="3" spans="1:11" x14ac:dyDescent="0.2">
      <c r="A3" s="20">
        <v>1996</v>
      </c>
      <c r="B3" s="20">
        <v>2902.2</v>
      </c>
      <c r="C3" s="20">
        <v>1304.43</v>
      </c>
      <c r="E3" s="5" t="s">
        <v>28</v>
      </c>
      <c r="F3" s="9">
        <f>COUNT(A2:A7)</f>
        <v>6</v>
      </c>
      <c r="G3" s="9">
        <f>COUNT(A10:A15)</f>
        <v>6</v>
      </c>
      <c r="H3" s="9"/>
      <c r="I3" s="9"/>
      <c r="J3" s="9"/>
      <c r="K3" s="6"/>
    </row>
    <row r="4" spans="1:11" x14ac:dyDescent="0.2">
      <c r="A4" s="20">
        <v>1997</v>
      </c>
      <c r="B4" s="20">
        <v>3360.21</v>
      </c>
      <c r="C4" s="20">
        <v>1305.46</v>
      </c>
      <c r="E4" s="38" t="s">
        <v>149</v>
      </c>
      <c r="F4" s="9"/>
      <c r="G4" s="9"/>
      <c r="H4" s="9"/>
      <c r="I4" s="9"/>
      <c r="J4" s="9"/>
      <c r="K4" s="6"/>
    </row>
    <row r="5" spans="1:11" x14ac:dyDescent="0.2">
      <c r="A5" s="20">
        <v>1998</v>
      </c>
      <c r="B5" s="20">
        <v>3688.2</v>
      </c>
      <c r="C5" s="20">
        <v>1306.58</v>
      </c>
      <c r="E5" s="5" t="s">
        <v>159</v>
      </c>
      <c r="F5" s="9"/>
      <c r="G5" s="9"/>
      <c r="H5" s="9"/>
      <c r="I5" s="9"/>
      <c r="J5" s="9"/>
      <c r="K5" s="6"/>
    </row>
    <row r="6" spans="1:11" x14ac:dyDescent="0.2">
      <c r="A6" s="20">
        <v>1999</v>
      </c>
      <c r="B6" s="20">
        <v>4034.96</v>
      </c>
      <c r="C6" s="20">
        <v>1313.12</v>
      </c>
      <c r="E6" s="17" t="s">
        <v>144</v>
      </c>
      <c r="F6" s="9"/>
      <c r="G6" s="9"/>
      <c r="H6" s="9"/>
      <c r="I6" s="9"/>
      <c r="J6" s="9"/>
      <c r="K6" s="6"/>
    </row>
    <row r="7" spans="1:11" x14ac:dyDescent="0.2">
      <c r="A7" s="20">
        <v>2000</v>
      </c>
      <c r="B7" s="20">
        <v>4551.1499999999996</v>
      </c>
      <c r="C7" s="20">
        <v>1321.63</v>
      </c>
      <c r="E7" s="5" t="s">
        <v>147</v>
      </c>
      <c r="F7" s="9" t="s">
        <v>145</v>
      </c>
      <c r="G7" s="9" t="s">
        <v>146</v>
      </c>
      <c r="H7" s="9"/>
      <c r="I7" s="9"/>
      <c r="J7" s="9"/>
      <c r="K7" s="6"/>
    </row>
    <row r="8" spans="1:11" x14ac:dyDescent="0.2">
      <c r="A8" s="20"/>
      <c r="B8" s="20"/>
      <c r="C8" s="20"/>
      <c r="E8" s="5" t="s">
        <v>141</v>
      </c>
      <c r="F8" s="9">
        <f>_xlfn.VAR.S(B2:B7)</f>
        <v>575936.9538166672</v>
      </c>
      <c r="G8" s="9">
        <f>_xlfn.VAR.S(C2:C7)</f>
        <v>54.729950000000599</v>
      </c>
      <c r="H8" s="9"/>
      <c r="I8" s="9"/>
      <c r="J8" s="9"/>
      <c r="K8" s="6"/>
    </row>
    <row r="9" spans="1:11" x14ac:dyDescent="0.2">
      <c r="A9" s="20" t="s">
        <v>142</v>
      </c>
      <c r="B9" s="20" t="s">
        <v>139</v>
      </c>
      <c r="C9" s="20" t="s">
        <v>140</v>
      </c>
      <c r="E9" s="5" t="s">
        <v>142</v>
      </c>
      <c r="F9" s="9">
        <f>_xlfn.VAR.S(B10:B15)</f>
        <v>202522.50176000223</v>
      </c>
      <c r="G9" s="9">
        <f>_xlfn.VAR.S(C10:C15)</f>
        <v>4085.4496666666701</v>
      </c>
      <c r="H9" s="9"/>
      <c r="I9" s="9"/>
      <c r="J9" s="9"/>
      <c r="K9" s="6"/>
    </row>
    <row r="10" spans="1:11" x14ac:dyDescent="0.2">
      <c r="A10" s="20">
        <v>1996</v>
      </c>
      <c r="B10" s="20">
        <v>1615.73</v>
      </c>
      <c r="C10" s="20">
        <v>1184</v>
      </c>
      <c r="E10" s="38" t="s">
        <v>148</v>
      </c>
      <c r="F10" s="9"/>
      <c r="G10" s="9"/>
      <c r="H10" s="9"/>
      <c r="I10" s="9"/>
      <c r="J10" s="9"/>
      <c r="K10" s="6"/>
    </row>
    <row r="11" spans="1:11" x14ac:dyDescent="0.2">
      <c r="A11" s="20">
        <v>1997</v>
      </c>
      <c r="B11" s="20">
        <v>1810.09</v>
      </c>
      <c r="C11" s="20">
        <v>1217</v>
      </c>
      <c r="E11" s="5"/>
      <c r="F11" s="9" t="s">
        <v>145</v>
      </c>
      <c r="G11" s="9" t="s">
        <v>146</v>
      </c>
      <c r="H11" s="9"/>
      <c r="I11" s="9"/>
      <c r="J11" s="9"/>
      <c r="K11" s="6"/>
    </row>
    <row r="12" spans="1:11" x14ac:dyDescent="0.2">
      <c r="A12" s="20">
        <v>1998</v>
      </c>
      <c r="B12" s="20">
        <v>2011.31</v>
      </c>
      <c r="C12" s="20">
        <v>1223.4000000000001</v>
      </c>
      <c r="E12" s="5" t="s">
        <v>150</v>
      </c>
      <c r="F12" s="9">
        <f>F8/F9</f>
        <v>2.8438171008729536</v>
      </c>
      <c r="G12" s="9">
        <f>G8/G9</f>
        <v>1.3396309945155907E-2</v>
      </c>
      <c r="H12" s="9"/>
      <c r="I12" s="9"/>
      <c r="J12" s="9"/>
      <c r="K12" s="6"/>
    </row>
    <row r="13" spans="1:11" x14ac:dyDescent="0.2">
      <c r="A13" s="20">
        <v>1999</v>
      </c>
      <c r="B13" s="20">
        <v>2174.46</v>
      </c>
      <c r="C13" s="20">
        <v>1249.9000000000001</v>
      </c>
      <c r="E13" s="38" t="s">
        <v>151</v>
      </c>
      <c r="F13" s="9"/>
      <c r="G13" s="9"/>
      <c r="H13" s="9"/>
      <c r="I13" s="9"/>
      <c r="J13" s="9"/>
      <c r="K13" s="6"/>
    </row>
    <row r="14" spans="1:11" x14ac:dyDescent="0.2">
      <c r="A14" s="20">
        <v>2000</v>
      </c>
      <c r="B14" s="20">
        <v>2478.7600000000002</v>
      </c>
      <c r="C14" s="20">
        <v>1278</v>
      </c>
      <c r="E14" s="5"/>
      <c r="F14" s="9" t="s">
        <v>145</v>
      </c>
      <c r="G14" s="9" t="s">
        <v>146</v>
      </c>
      <c r="H14" s="9"/>
      <c r="I14" s="9"/>
      <c r="J14" s="9"/>
      <c r="K14" s="6"/>
    </row>
    <row r="15" spans="1:11" x14ac:dyDescent="0.2">
      <c r="A15" s="20">
        <v>2001</v>
      </c>
      <c r="B15" s="20">
        <v>2845.65</v>
      </c>
      <c r="C15" s="20">
        <v>1366.4</v>
      </c>
      <c r="E15" s="5" t="s">
        <v>152</v>
      </c>
      <c r="F15" s="9">
        <f>F3-1</f>
        <v>5</v>
      </c>
      <c r="G15" s="9">
        <f>G3-1</f>
        <v>5</v>
      </c>
      <c r="H15" s="9" t="s">
        <v>154</v>
      </c>
      <c r="I15" s="9"/>
      <c r="J15" s="9"/>
      <c r="K15" s="6"/>
    </row>
    <row r="16" spans="1:11" x14ac:dyDescent="0.2">
      <c r="E16" s="5" t="s">
        <v>153</v>
      </c>
      <c r="F16" s="9">
        <v>0.1</v>
      </c>
      <c r="G16" s="9">
        <v>0.1</v>
      </c>
      <c r="H16" s="9"/>
      <c r="I16" s="9"/>
      <c r="J16" s="9"/>
      <c r="K16" s="6"/>
    </row>
    <row r="17" spans="2:11" x14ac:dyDescent="0.2">
      <c r="E17" s="5" t="s">
        <v>155</v>
      </c>
      <c r="F17" s="9">
        <f>FINV(F16/2,F15,G15)</f>
        <v>5.0503290576326485</v>
      </c>
      <c r="G17" s="9" t="s">
        <v>156</v>
      </c>
      <c r="H17" s="9"/>
      <c r="I17" s="9"/>
      <c r="J17" s="9"/>
      <c r="K17" s="6"/>
    </row>
    <row r="18" spans="2:11" x14ac:dyDescent="0.2">
      <c r="E18" s="38" t="s">
        <v>157</v>
      </c>
      <c r="F18" s="9"/>
      <c r="G18" s="9"/>
      <c r="H18" s="9"/>
      <c r="I18" s="9"/>
      <c r="J18" s="9"/>
      <c r="K18" s="6"/>
    </row>
    <row r="19" spans="2:11" x14ac:dyDescent="0.2">
      <c r="E19" s="5" t="s">
        <v>145</v>
      </c>
      <c r="F19" s="9" t="s">
        <v>158</v>
      </c>
      <c r="G19" s="9" t="s">
        <v>160</v>
      </c>
      <c r="H19" s="9"/>
      <c r="I19" s="9"/>
      <c r="J19" s="9"/>
      <c r="K19" s="6"/>
    </row>
    <row r="20" spans="2:11" x14ac:dyDescent="0.2">
      <c r="E20" s="3" t="s">
        <v>146</v>
      </c>
      <c r="F20" s="10" t="s">
        <v>158</v>
      </c>
      <c r="G20" s="10" t="s">
        <v>161</v>
      </c>
      <c r="H20" s="10"/>
      <c r="I20" s="10"/>
      <c r="J20" s="10"/>
      <c r="K20" s="4"/>
    </row>
    <row r="23" spans="2:11" ht="39" customHeight="1" x14ac:dyDescent="0.2">
      <c r="B23" s="35" t="s">
        <v>173</v>
      </c>
      <c r="C23" s="35"/>
      <c r="D23" s="35"/>
      <c r="E23" s="35"/>
      <c r="F23" s="35"/>
      <c r="G23" s="35"/>
      <c r="H23" s="35"/>
      <c r="I23" s="35"/>
      <c r="J23" s="35"/>
    </row>
    <row r="24" spans="2:11" x14ac:dyDescent="0.2">
      <c r="B24" s="20" t="s">
        <v>162</v>
      </c>
      <c r="C24" s="20" t="s">
        <v>163</v>
      </c>
      <c r="D24" s="20"/>
      <c r="E24" s="20"/>
      <c r="F24" s="20"/>
      <c r="G24" s="36" t="s">
        <v>174</v>
      </c>
      <c r="H24" s="20"/>
      <c r="I24" s="20"/>
      <c r="J24" s="20"/>
    </row>
    <row r="25" spans="2:11" x14ac:dyDescent="0.2">
      <c r="B25" s="20" t="s">
        <v>164</v>
      </c>
      <c r="C25" s="20" t="s">
        <v>165</v>
      </c>
      <c r="D25" s="20" t="s">
        <v>166</v>
      </c>
      <c r="E25" s="20" t="s">
        <v>167</v>
      </c>
      <c r="F25" s="20" t="s">
        <v>168</v>
      </c>
      <c r="G25" s="37" t="s">
        <v>169</v>
      </c>
      <c r="H25" s="20" t="s">
        <v>169</v>
      </c>
      <c r="I25" s="20" t="s">
        <v>170</v>
      </c>
      <c r="J25" s="20" t="s">
        <v>171</v>
      </c>
    </row>
    <row r="26" spans="2:11" x14ac:dyDescent="0.2">
      <c r="B26" s="20" t="s">
        <v>172</v>
      </c>
      <c r="C26" s="20">
        <v>4.1000000000000003E-3</v>
      </c>
      <c r="D26" s="20">
        <v>6.1999999999999998E-3</v>
      </c>
      <c r="E26" s="20">
        <v>5.4000000000000003E-3</v>
      </c>
      <c r="F26" s="20">
        <v>7.0000000000000001E-3</v>
      </c>
      <c r="G26" s="37">
        <v>6.0000000000000001E-3</v>
      </c>
      <c r="H26" s="20">
        <v>8.0000000000000002E-3</v>
      </c>
      <c r="I26" s="20">
        <v>1.03E-2</v>
      </c>
      <c r="J26" s="20">
        <v>0.01</v>
      </c>
    </row>
    <row r="27" spans="2:11" x14ac:dyDescent="0.2">
      <c r="B27" s="11" t="s">
        <v>177</v>
      </c>
      <c r="C27" s="7"/>
      <c r="D27" s="7"/>
      <c r="E27" s="7"/>
      <c r="F27" s="7"/>
      <c r="G27" s="7"/>
      <c r="H27" s="7"/>
      <c r="I27" s="2"/>
    </row>
    <row r="28" spans="2:11" x14ac:dyDescent="0.2">
      <c r="B28" s="38" t="s">
        <v>175</v>
      </c>
      <c r="C28" s="9"/>
      <c r="D28" s="9"/>
      <c r="E28" s="9"/>
      <c r="F28" s="9"/>
      <c r="G28" s="9"/>
      <c r="H28" s="9"/>
      <c r="I28" s="6"/>
    </row>
    <row r="29" spans="2:11" x14ac:dyDescent="0.2">
      <c r="B29" s="5" t="s">
        <v>176</v>
      </c>
      <c r="C29" s="9"/>
      <c r="D29" s="9"/>
      <c r="E29" s="9"/>
      <c r="F29" s="9"/>
      <c r="G29" s="9"/>
      <c r="H29" s="9"/>
      <c r="I29" s="6"/>
    </row>
    <row r="30" spans="2:11" x14ac:dyDescent="0.2">
      <c r="B30" s="38" t="s">
        <v>179</v>
      </c>
      <c r="C30" s="9"/>
      <c r="D30" s="9"/>
      <c r="E30" s="9"/>
      <c r="F30" s="9"/>
      <c r="G30" s="9"/>
      <c r="H30" s="9"/>
      <c r="I30" s="6"/>
    </row>
    <row r="31" spans="2:11" x14ac:dyDescent="0.2">
      <c r="B31" s="5"/>
      <c r="C31" s="9" t="s">
        <v>28</v>
      </c>
      <c r="D31" s="9" t="s">
        <v>32</v>
      </c>
      <c r="E31" s="9" t="s">
        <v>147</v>
      </c>
      <c r="F31" s="9"/>
      <c r="G31" s="9"/>
      <c r="H31" s="9"/>
      <c r="I31" s="6"/>
    </row>
    <row r="32" spans="2:11" x14ac:dyDescent="0.2">
      <c r="B32" s="5" t="s">
        <v>178</v>
      </c>
      <c r="C32" s="9">
        <f>COUNT(C26:F26)</f>
        <v>4</v>
      </c>
      <c r="D32" s="9">
        <f>AVERAGE(C26:F26)</f>
        <v>5.6749999999999995E-3</v>
      </c>
      <c r="E32" s="9">
        <f>_xlfn.VAR.S(C26:F26)</f>
        <v>1.5291666666666663E-6</v>
      </c>
      <c r="F32" s="9"/>
      <c r="G32" s="9"/>
      <c r="H32" s="9"/>
      <c r="I32" s="6"/>
    </row>
    <row r="33" spans="2:9" x14ac:dyDescent="0.2">
      <c r="B33" s="5" t="s">
        <v>174</v>
      </c>
      <c r="C33" s="9">
        <f>COUNT(G26:J26)</f>
        <v>4</v>
      </c>
      <c r="D33" s="9">
        <f>AVERAGE(G26:J26)</f>
        <v>8.575000000000001E-3</v>
      </c>
      <c r="E33" s="9">
        <f>_xlfn.VAR.S(G26:J26)</f>
        <v>3.9891666666666664E-6</v>
      </c>
      <c r="F33" s="9"/>
      <c r="G33" s="9"/>
      <c r="H33" s="9"/>
      <c r="I33" s="6"/>
    </row>
    <row r="34" spans="2:9" x14ac:dyDescent="0.2">
      <c r="B34" s="38" t="s">
        <v>180</v>
      </c>
      <c r="C34" s="9"/>
      <c r="D34" s="9"/>
      <c r="E34" s="9"/>
      <c r="F34" s="9"/>
      <c r="G34" s="9"/>
      <c r="H34" s="9"/>
      <c r="I34" s="6"/>
    </row>
    <row r="35" spans="2:9" x14ac:dyDescent="0.2">
      <c r="B35" s="5" t="s">
        <v>181</v>
      </c>
      <c r="C35" s="9">
        <f>(D32-D33)/(SQRT((C32*E32+C33*E33)/(C32+C33-2))*SQRT(1/C32+1/C33))</f>
        <v>-2.1382311892179131</v>
      </c>
      <c r="D35" s="9"/>
      <c r="E35" s="9"/>
      <c r="F35" s="9"/>
      <c r="G35" s="9"/>
      <c r="H35" s="9"/>
      <c r="I35" s="6"/>
    </row>
    <row r="36" spans="2:9" x14ac:dyDescent="0.2">
      <c r="B36" s="38" t="s">
        <v>183</v>
      </c>
      <c r="C36" s="9"/>
      <c r="D36" s="9"/>
      <c r="E36" s="9"/>
      <c r="F36" s="9"/>
      <c r="G36" s="9"/>
      <c r="H36" s="9"/>
      <c r="I36" s="6"/>
    </row>
    <row r="37" spans="2:9" x14ac:dyDescent="0.2">
      <c r="B37" s="5" t="s">
        <v>152</v>
      </c>
      <c r="C37" s="9">
        <f>C32+C33-2</f>
        <v>6</v>
      </c>
      <c r="D37" s="9"/>
      <c r="E37" s="9"/>
      <c r="F37" s="9"/>
      <c r="G37" s="9"/>
      <c r="H37" s="9"/>
      <c r="I37" s="6"/>
    </row>
    <row r="38" spans="2:9" x14ac:dyDescent="0.2">
      <c r="B38" s="5" t="s">
        <v>153</v>
      </c>
      <c r="C38" s="9">
        <v>0.1</v>
      </c>
      <c r="D38" s="9"/>
      <c r="E38" s="9"/>
      <c r="F38" s="9"/>
      <c r="G38" s="9"/>
      <c r="H38" s="9"/>
      <c r="I38" s="6"/>
    </row>
    <row r="39" spans="2:9" x14ac:dyDescent="0.2">
      <c r="B39" s="5" t="s">
        <v>184</v>
      </c>
      <c r="C39" s="9">
        <f>TINV(C38,C37)</f>
        <v>1.9431802805153031</v>
      </c>
      <c r="D39" s="9"/>
      <c r="E39" s="9"/>
      <c r="F39" s="9"/>
      <c r="G39" s="9"/>
      <c r="H39" s="9"/>
      <c r="I39" s="6"/>
    </row>
    <row r="40" spans="2:9" x14ac:dyDescent="0.2">
      <c r="B40" s="5" t="s">
        <v>182</v>
      </c>
      <c r="C40" s="9">
        <f>ABS(C35)</f>
        <v>2.1382311892179131</v>
      </c>
      <c r="D40" s="9"/>
      <c r="E40" s="9"/>
      <c r="F40" s="9"/>
      <c r="G40" s="9"/>
      <c r="H40" s="9"/>
      <c r="I40" s="6"/>
    </row>
    <row r="41" spans="2:9" x14ac:dyDescent="0.2">
      <c r="B41" s="3" t="s">
        <v>185</v>
      </c>
      <c r="C41" s="10" t="s">
        <v>186</v>
      </c>
      <c r="D41" s="10"/>
      <c r="E41" s="10"/>
      <c r="F41" s="10"/>
      <c r="G41" s="10"/>
      <c r="H41" s="10"/>
      <c r="I41" s="4"/>
    </row>
  </sheetData>
  <mergeCells count="1">
    <mergeCell ref="B23:J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统计分组</vt:lpstr>
      <vt:lpstr>统计指标计算</vt:lpstr>
      <vt:lpstr>空间布局测度</vt:lpstr>
      <vt:lpstr>最短路径问题</vt:lpstr>
      <vt:lpstr>服务点最优区位</vt:lpstr>
      <vt:lpstr>离散区域分布的测度-空间罗伦兹曲线</vt:lpstr>
      <vt:lpstr>时间序列</vt:lpstr>
      <vt:lpstr>统计假设检验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2019-12-08T03:21:46Z</dcterms:modified>
</cp:coreProperties>
</file>