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E:\Desktop\通过SPSS和R的计量地理的分析\"/>
    </mc:Choice>
  </mc:AlternateContent>
  <xr:revisionPtr revIDLastSave="0" documentId="13_ncr:1_{C10181E3-1321-4630-A35D-3D356289A2D0}" xr6:coauthVersionLast="45" xr6:coauthVersionMax="45" xr10:uidLastSave="{00000000-0000-0000-0000-000000000000}"/>
  <bookViews>
    <workbookView xWindow="-120" yWindow="-120" windowWidth="29040" windowHeight="16440" firstSheet="1" activeTab="9" xr2:uid="{00000000-000D-0000-FFFF-FFFF00000000}"/>
  </bookViews>
  <sheets>
    <sheet name="统计分组和统计指标计算" sheetId="1" r:id="rId1"/>
    <sheet name="空间布局测度和路径分析" sheetId="3" r:id="rId2"/>
    <sheet name="空间洛伦兹曲线" sheetId="2" r:id="rId3"/>
    <sheet name="统计假设检验" sheetId="4" r:id="rId4"/>
    <sheet name="相关性分析" sheetId="5" r:id="rId5"/>
    <sheet name="Sheet5" sheetId="9" r:id="rId6"/>
    <sheet name="聚类分析" sheetId="6" r:id="rId7"/>
    <sheet name="线性回归和趋势面" sheetId="7" r:id="rId8"/>
    <sheet name="主成分分析" sheetId="8" r:id="rId9"/>
    <sheet name="逐步回归" sheetId="10" r:id="rId10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5" i="8" l="1"/>
  <c r="W65" i="8"/>
  <c r="Y65" i="8" s="1"/>
  <c r="Y64" i="8"/>
  <c r="X64" i="8"/>
  <c r="W64" i="8"/>
  <c r="X63" i="8"/>
  <c r="Y63" i="8" s="1"/>
  <c r="W63" i="8"/>
  <c r="X62" i="8"/>
  <c r="W62" i="8"/>
  <c r="Y62" i="8" s="1"/>
  <c r="X61" i="8"/>
  <c r="W61" i="8"/>
  <c r="Y61" i="8" s="1"/>
  <c r="Y60" i="8"/>
  <c r="X60" i="8"/>
  <c r="W60" i="8"/>
  <c r="X59" i="8"/>
  <c r="Y59" i="8" s="1"/>
  <c r="W59" i="8"/>
  <c r="X58" i="8"/>
  <c r="W58" i="8"/>
  <c r="Y58" i="8" s="1"/>
  <c r="X57" i="8"/>
  <c r="W57" i="8"/>
  <c r="Y57" i="8" s="1"/>
  <c r="Y56" i="8"/>
  <c r="X56" i="8"/>
  <c r="W56" i="8"/>
  <c r="X55" i="8"/>
  <c r="Y55" i="8" s="1"/>
  <c r="W55" i="8"/>
  <c r="X54" i="8"/>
  <c r="W54" i="8"/>
  <c r="Y54" i="8" s="1"/>
  <c r="X53" i="8"/>
  <c r="W53" i="8"/>
  <c r="Y53" i="8" s="1"/>
  <c r="Y52" i="8"/>
  <c r="X52" i="8"/>
  <c r="W52" i="8"/>
  <c r="X51" i="8"/>
  <c r="Y51" i="8" s="1"/>
  <c r="W51" i="8"/>
  <c r="X50" i="8"/>
  <c r="W50" i="8"/>
  <c r="Y50" i="8" s="1"/>
  <c r="X49" i="8"/>
  <c r="W49" i="8"/>
  <c r="Y49" i="8" s="1"/>
  <c r="Y48" i="8"/>
  <c r="X48" i="8"/>
  <c r="W48" i="8"/>
  <c r="X47" i="8"/>
  <c r="Y47" i="8" s="1"/>
  <c r="W47" i="8"/>
  <c r="X46" i="8"/>
  <c r="W46" i="8"/>
  <c r="Y46" i="8" s="1"/>
  <c r="X45" i="8"/>
  <c r="W45" i="8"/>
  <c r="Y45" i="8" s="1"/>
  <c r="Y44" i="8"/>
  <c r="X44" i="8"/>
  <c r="W44" i="8"/>
  <c r="X43" i="8"/>
  <c r="Y43" i="8" s="1"/>
  <c r="W43" i="8"/>
  <c r="X42" i="8"/>
  <c r="W42" i="8"/>
  <c r="Y42" i="8" s="1"/>
  <c r="X41" i="8"/>
  <c r="W41" i="8"/>
  <c r="Y41" i="8" s="1"/>
  <c r="Y40" i="8"/>
  <c r="X40" i="8"/>
  <c r="W40" i="8"/>
  <c r="X39" i="8"/>
  <c r="Y39" i="8" s="1"/>
  <c r="W39" i="8"/>
  <c r="X38" i="8"/>
  <c r="W38" i="8"/>
  <c r="Y38" i="8" s="1"/>
  <c r="X37" i="8"/>
  <c r="W37" i="8"/>
  <c r="Y37" i="8" s="1"/>
  <c r="Y36" i="8"/>
  <c r="X36" i="8"/>
  <c r="W36" i="8"/>
  <c r="X35" i="8"/>
  <c r="Y35" i="8" s="1"/>
  <c r="W35" i="8"/>
  <c r="N35" i="8"/>
  <c r="O35" i="8"/>
  <c r="P35" i="8"/>
  <c r="Q35" i="8"/>
  <c r="R35" i="8"/>
  <c r="S35" i="8"/>
  <c r="T35" i="8"/>
  <c r="U35" i="8"/>
  <c r="V35" i="8"/>
  <c r="N36" i="8"/>
  <c r="O36" i="8"/>
  <c r="P36" i="8"/>
  <c r="Q36" i="8"/>
  <c r="R36" i="8"/>
  <c r="S36" i="8"/>
  <c r="T36" i="8"/>
  <c r="U36" i="8"/>
  <c r="V36" i="8"/>
  <c r="N37" i="8"/>
  <c r="O37" i="8"/>
  <c r="P37" i="8"/>
  <c r="Q37" i="8"/>
  <c r="R37" i="8"/>
  <c r="S37" i="8"/>
  <c r="T37" i="8"/>
  <c r="U37" i="8"/>
  <c r="V37" i="8"/>
  <c r="N38" i="8"/>
  <c r="O38" i="8"/>
  <c r="P38" i="8"/>
  <c r="Q38" i="8"/>
  <c r="R38" i="8"/>
  <c r="S38" i="8"/>
  <c r="T38" i="8"/>
  <c r="U38" i="8"/>
  <c r="V38" i="8"/>
  <c r="N39" i="8"/>
  <c r="O39" i="8"/>
  <c r="P39" i="8"/>
  <c r="Q39" i="8"/>
  <c r="R39" i="8"/>
  <c r="S39" i="8"/>
  <c r="T39" i="8"/>
  <c r="U39" i="8"/>
  <c r="V39" i="8"/>
  <c r="N40" i="8"/>
  <c r="O40" i="8"/>
  <c r="P40" i="8"/>
  <c r="Q40" i="8"/>
  <c r="R40" i="8"/>
  <c r="S40" i="8"/>
  <c r="T40" i="8"/>
  <c r="U40" i="8"/>
  <c r="V40" i="8"/>
  <c r="N41" i="8"/>
  <c r="O41" i="8"/>
  <c r="P41" i="8"/>
  <c r="Q41" i="8"/>
  <c r="R41" i="8"/>
  <c r="S41" i="8"/>
  <c r="T41" i="8"/>
  <c r="U41" i="8"/>
  <c r="V41" i="8"/>
  <c r="N42" i="8"/>
  <c r="O42" i="8"/>
  <c r="P42" i="8"/>
  <c r="Q42" i="8"/>
  <c r="R42" i="8"/>
  <c r="S42" i="8"/>
  <c r="T42" i="8"/>
  <c r="U42" i="8"/>
  <c r="V42" i="8"/>
  <c r="N43" i="8"/>
  <c r="O43" i="8"/>
  <c r="P43" i="8"/>
  <c r="Q43" i="8"/>
  <c r="R43" i="8"/>
  <c r="S43" i="8"/>
  <c r="T43" i="8"/>
  <c r="U43" i="8"/>
  <c r="V43" i="8"/>
  <c r="N44" i="8"/>
  <c r="O44" i="8"/>
  <c r="P44" i="8"/>
  <c r="Q44" i="8"/>
  <c r="R44" i="8"/>
  <c r="S44" i="8"/>
  <c r="T44" i="8"/>
  <c r="U44" i="8"/>
  <c r="V44" i="8"/>
  <c r="N45" i="8"/>
  <c r="O45" i="8"/>
  <c r="P45" i="8"/>
  <c r="Q45" i="8"/>
  <c r="R45" i="8"/>
  <c r="S45" i="8"/>
  <c r="T45" i="8"/>
  <c r="U45" i="8"/>
  <c r="V45" i="8"/>
  <c r="N46" i="8"/>
  <c r="O46" i="8"/>
  <c r="P46" i="8"/>
  <c r="Q46" i="8"/>
  <c r="R46" i="8"/>
  <c r="S46" i="8"/>
  <c r="T46" i="8"/>
  <c r="U46" i="8"/>
  <c r="V46" i="8"/>
  <c r="N47" i="8"/>
  <c r="O47" i="8"/>
  <c r="P47" i="8"/>
  <c r="Q47" i="8"/>
  <c r="R47" i="8"/>
  <c r="S47" i="8"/>
  <c r="T47" i="8"/>
  <c r="U47" i="8"/>
  <c r="V47" i="8"/>
  <c r="N48" i="8"/>
  <c r="O48" i="8"/>
  <c r="P48" i="8"/>
  <c r="Q48" i="8"/>
  <c r="R48" i="8"/>
  <c r="S48" i="8"/>
  <c r="T48" i="8"/>
  <c r="U48" i="8"/>
  <c r="V48" i="8"/>
  <c r="N49" i="8"/>
  <c r="O49" i="8"/>
  <c r="P49" i="8"/>
  <c r="Q49" i="8"/>
  <c r="R49" i="8"/>
  <c r="S49" i="8"/>
  <c r="T49" i="8"/>
  <c r="U49" i="8"/>
  <c r="V49" i="8"/>
  <c r="N50" i="8"/>
  <c r="O50" i="8"/>
  <c r="P50" i="8"/>
  <c r="Q50" i="8"/>
  <c r="R50" i="8"/>
  <c r="S50" i="8"/>
  <c r="T50" i="8"/>
  <c r="U50" i="8"/>
  <c r="V50" i="8"/>
  <c r="N51" i="8"/>
  <c r="O51" i="8"/>
  <c r="P51" i="8"/>
  <c r="Q51" i="8"/>
  <c r="R51" i="8"/>
  <c r="S51" i="8"/>
  <c r="T51" i="8"/>
  <c r="U51" i="8"/>
  <c r="V51" i="8"/>
  <c r="N52" i="8"/>
  <c r="O52" i="8"/>
  <c r="P52" i="8"/>
  <c r="Q52" i="8"/>
  <c r="R52" i="8"/>
  <c r="S52" i="8"/>
  <c r="T52" i="8"/>
  <c r="U52" i="8"/>
  <c r="V52" i="8"/>
  <c r="N53" i="8"/>
  <c r="O53" i="8"/>
  <c r="P53" i="8"/>
  <c r="Q53" i="8"/>
  <c r="R53" i="8"/>
  <c r="S53" i="8"/>
  <c r="T53" i="8"/>
  <c r="U53" i="8"/>
  <c r="V53" i="8"/>
  <c r="N54" i="8"/>
  <c r="O54" i="8"/>
  <c r="P54" i="8"/>
  <c r="Q54" i="8"/>
  <c r="R54" i="8"/>
  <c r="S54" i="8"/>
  <c r="T54" i="8"/>
  <c r="U54" i="8"/>
  <c r="V54" i="8"/>
  <c r="N55" i="8"/>
  <c r="O55" i="8"/>
  <c r="P55" i="8"/>
  <c r="Q55" i="8"/>
  <c r="R55" i="8"/>
  <c r="S55" i="8"/>
  <c r="T55" i="8"/>
  <c r="U55" i="8"/>
  <c r="V55" i="8"/>
  <c r="N56" i="8"/>
  <c r="O56" i="8"/>
  <c r="P56" i="8"/>
  <c r="Q56" i="8"/>
  <c r="R56" i="8"/>
  <c r="S56" i="8"/>
  <c r="T56" i="8"/>
  <c r="U56" i="8"/>
  <c r="V56" i="8"/>
  <c r="N57" i="8"/>
  <c r="O57" i="8"/>
  <c r="P57" i="8"/>
  <c r="Q57" i="8"/>
  <c r="R57" i="8"/>
  <c r="S57" i="8"/>
  <c r="T57" i="8"/>
  <c r="U57" i="8"/>
  <c r="V57" i="8"/>
  <c r="N58" i="8"/>
  <c r="O58" i="8"/>
  <c r="P58" i="8"/>
  <c r="Q58" i="8"/>
  <c r="R58" i="8"/>
  <c r="S58" i="8"/>
  <c r="T58" i="8"/>
  <c r="U58" i="8"/>
  <c r="V58" i="8"/>
  <c r="N59" i="8"/>
  <c r="O59" i="8"/>
  <c r="P59" i="8"/>
  <c r="Q59" i="8"/>
  <c r="R59" i="8"/>
  <c r="S59" i="8"/>
  <c r="T59" i="8"/>
  <c r="U59" i="8"/>
  <c r="V59" i="8"/>
  <c r="N60" i="8"/>
  <c r="O60" i="8"/>
  <c r="P60" i="8"/>
  <c r="Q60" i="8"/>
  <c r="R60" i="8"/>
  <c r="S60" i="8"/>
  <c r="T60" i="8"/>
  <c r="U60" i="8"/>
  <c r="V60" i="8"/>
  <c r="N61" i="8"/>
  <c r="O61" i="8"/>
  <c r="P61" i="8"/>
  <c r="Q61" i="8"/>
  <c r="R61" i="8"/>
  <c r="S61" i="8"/>
  <c r="T61" i="8"/>
  <c r="U61" i="8"/>
  <c r="V61" i="8"/>
  <c r="N62" i="8"/>
  <c r="O62" i="8"/>
  <c r="P62" i="8"/>
  <c r="Q62" i="8"/>
  <c r="R62" i="8"/>
  <c r="S62" i="8"/>
  <c r="T62" i="8"/>
  <c r="U62" i="8"/>
  <c r="V62" i="8"/>
  <c r="N63" i="8"/>
  <c r="O63" i="8"/>
  <c r="P63" i="8"/>
  <c r="Q63" i="8"/>
  <c r="R63" i="8"/>
  <c r="S63" i="8"/>
  <c r="T63" i="8"/>
  <c r="U63" i="8"/>
  <c r="V63" i="8"/>
  <c r="N64" i="8"/>
  <c r="O64" i="8"/>
  <c r="P64" i="8"/>
  <c r="Q64" i="8"/>
  <c r="R64" i="8"/>
  <c r="S64" i="8"/>
  <c r="T64" i="8"/>
  <c r="U64" i="8"/>
  <c r="V64" i="8"/>
  <c r="N65" i="8"/>
  <c r="O65" i="8"/>
  <c r="P65" i="8"/>
  <c r="Q65" i="8"/>
  <c r="R65" i="8"/>
  <c r="S65" i="8"/>
  <c r="T65" i="8"/>
  <c r="U65" i="8"/>
  <c r="V65" i="8"/>
  <c r="M65" i="8"/>
  <c r="M64" i="8"/>
  <c r="M17" i="8"/>
  <c r="M18" i="8"/>
  <c r="M19" i="8"/>
  <c r="M20" i="8"/>
  <c r="M21" i="8"/>
  <c r="M22" i="8"/>
  <c r="M23" i="8"/>
  <c r="M24" i="8"/>
  <c r="M25" i="8"/>
  <c r="M26" i="8"/>
  <c r="M27" i="8"/>
  <c r="M28" i="8"/>
  <c r="M29" i="8"/>
  <c r="M30" i="8"/>
  <c r="M31" i="8"/>
  <c r="M32" i="8"/>
  <c r="M36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M53" i="8"/>
  <c r="M54" i="8"/>
  <c r="M55" i="8"/>
  <c r="M56" i="8"/>
  <c r="M57" i="8"/>
  <c r="M58" i="8"/>
  <c r="M59" i="8"/>
  <c r="M60" i="8"/>
  <c r="M61" i="8"/>
  <c r="M62" i="8"/>
  <c r="M63" i="8"/>
  <c r="M35" i="8"/>
  <c r="N2" i="8"/>
  <c r="O2" i="8"/>
  <c r="P2" i="8"/>
  <c r="Q2" i="8"/>
  <c r="R2" i="8"/>
  <c r="S2" i="8"/>
  <c r="T2" i="8"/>
  <c r="U2" i="8"/>
  <c r="V2" i="8"/>
  <c r="N3" i="8"/>
  <c r="O3" i="8"/>
  <c r="P3" i="8"/>
  <c r="Q3" i="8"/>
  <c r="R3" i="8"/>
  <c r="S3" i="8"/>
  <c r="T3" i="8"/>
  <c r="U3" i="8"/>
  <c r="V3" i="8"/>
  <c r="N4" i="8"/>
  <c r="O4" i="8"/>
  <c r="P4" i="8"/>
  <c r="Q4" i="8"/>
  <c r="R4" i="8"/>
  <c r="S4" i="8"/>
  <c r="T4" i="8"/>
  <c r="U4" i="8"/>
  <c r="V4" i="8"/>
  <c r="N5" i="8"/>
  <c r="O5" i="8"/>
  <c r="P5" i="8"/>
  <c r="Q5" i="8"/>
  <c r="R5" i="8"/>
  <c r="S5" i="8"/>
  <c r="T5" i="8"/>
  <c r="U5" i="8"/>
  <c r="V5" i="8"/>
  <c r="N6" i="8"/>
  <c r="O6" i="8"/>
  <c r="P6" i="8"/>
  <c r="Q6" i="8"/>
  <c r="R6" i="8"/>
  <c r="S6" i="8"/>
  <c r="T6" i="8"/>
  <c r="U6" i="8"/>
  <c r="V6" i="8"/>
  <c r="N7" i="8"/>
  <c r="O7" i="8"/>
  <c r="P7" i="8"/>
  <c r="Q7" i="8"/>
  <c r="R7" i="8"/>
  <c r="S7" i="8"/>
  <c r="T7" i="8"/>
  <c r="U7" i="8"/>
  <c r="V7" i="8"/>
  <c r="N8" i="8"/>
  <c r="O8" i="8"/>
  <c r="P8" i="8"/>
  <c r="Q8" i="8"/>
  <c r="R8" i="8"/>
  <c r="S8" i="8"/>
  <c r="T8" i="8"/>
  <c r="U8" i="8"/>
  <c r="V8" i="8"/>
  <c r="N9" i="8"/>
  <c r="O9" i="8"/>
  <c r="P9" i="8"/>
  <c r="Q9" i="8"/>
  <c r="R9" i="8"/>
  <c r="S9" i="8"/>
  <c r="T9" i="8"/>
  <c r="U9" i="8"/>
  <c r="V9" i="8"/>
  <c r="N10" i="8"/>
  <c r="O10" i="8"/>
  <c r="P10" i="8"/>
  <c r="Q10" i="8"/>
  <c r="R10" i="8"/>
  <c r="S10" i="8"/>
  <c r="T10" i="8"/>
  <c r="U10" i="8"/>
  <c r="V10" i="8"/>
  <c r="N11" i="8"/>
  <c r="O11" i="8"/>
  <c r="P11" i="8"/>
  <c r="Q11" i="8"/>
  <c r="R11" i="8"/>
  <c r="S11" i="8"/>
  <c r="T11" i="8"/>
  <c r="U11" i="8"/>
  <c r="V11" i="8"/>
  <c r="N12" i="8"/>
  <c r="O12" i="8"/>
  <c r="P12" i="8"/>
  <c r="Q12" i="8"/>
  <c r="R12" i="8"/>
  <c r="S12" i="8"/>
  <c r="T12" i="8"/>
  <c r="U12" i="8"/>
  <c r="V12" i="8"/>
  <c r="N13" i="8"/>
  <c r="O13" i="8"/>
  <c r="P13" i="8"/>
  <c r="Q13" i="8"/>
  <c r="R13" i="8"/>
  <c r="S13" i="8"/>
  <c r="T13" i="8"/>
  <c r="U13" i="8"/>
  <c r="V13" i="8"/>
  <c r="N14" i="8"/>
  <c r="O14" i="8"/>
  <c r="P14" i="8"/>
  <c r="Q14" i="8"/>
  <c r="R14" i="8"/>
  <c r="S14" i="8"/>
  <c r="T14" i="8"/>
  <c r="U14" i="8"/>
  <c r="V14" i="8"/>
  <c r="N15" i="8"/>
  <c r="O15" i="8"/>
  <c r="P15" i="8"/>
  <c r="Q15" i="8"/>
  <c r="R15" i="8"/>
  <c r="S15" i="8"/>
  <c r="T15" i="8"/>
  <c r="U15" i="8"/>
  <c r="V15" i="8"/>
  <c r="N16" i="8"/>
  <c r="O16" i="8"/>
  <c r="P16" i="8"/>
  <c r="Q16" i="8"/>
  <c r="R16" i="8"/>
  <c r="S16" i="8"/>
  <c r="T16" i="8"/>
  <c r="U16" i="8"/>
  <c r="V16" i="8"/>
  <c r="N17" i="8"/>
  <c r="O17" i="8"/>
  <c r="P17" i="8"/>
  <c r="Q17" i="8"/>
  <c r="R17" i="8"/>
  <c r="S17" i="8"/>
  <c r="T17" i="8"/>
  <c r="U17" i="8"/>
  <c r="V17" i="8"/>
  <c r="N18" i="8"/>
  <c r="O18" i="8"/>
  <c r="P18" i="8"/>
  <c r="Q18" i="8"/>
  <c r="R18" i="8"/>
  <c r="S18" i="8"/>
  <c r="T18" i="8"/>
  <c r="U18" i="8"/>
  <c r="V18" i="8"/>
  <c r="N19" i="8"/>
  <c r="O19" i="8"/>
  <c r="P19" i="8"/>
  <c r="Q19" i="8"/>
  <c r="R19" i="8"/>
  <c r="S19" i="8"/>
  <c r="T19" i="8"/>
  <c r="U19" i="8"/>
  <c r="V19" i="8"/>
  <c r="N20" i="8"/>
  <c r="O20" i="8"/>
  <c r="P20" i="8"/>
  <c r="Q20" i="8"/>
  <c r="R20" i="8"/>
  <c r="S20" i="8"/>
  <c r="T20" i="8"/>
  <c r="U20" i="8"/>
  <c r="V20" i="8"/>
  <c r="N21" i="8"/>
  <c r="O21" i="8"/>
  <c r="P21" i="8"/>
  <c r="Q21" i="8"/>
  <c r="R21" i="8"/>
  <c r="S21" i="8"/>
  <c r="T21" i="8"/>
  <c r="U21" i="8"/>
  <c r="V21" i="8"/>
  <c r="N22" i="8"/>
  <c r="O22" i="8"/>
  <c r="P22" i="8"/>
  <c r="Q22" i="8"/>
  <c r="R22" i="8"/>
  <c r="S22" i="8"/>
  <c r="T22" i="8"/>
  <c r="U22" i="8"/>
  <c r="V22" i="8"/>
  <c r="N23" i="8"/>
  <c r="O23" i="8"/>
  <c r="P23" i="8"/>
  <c r="Q23" i="8"/>
  <c r="R23" i="8"/>
  <c r="S23" i="8"/>
  <c r="T23" i="8"/>
  <c r="U23" i="8"/>
  <c r="V23" i="8"/>
  <c r="N24" i="8"/>
  <c r="O24" i="8"/>
  <c r="P24" i="8"/>
  <c r="Q24" i="8"/>
  <c r="R24" i="8"/>
  <c r="S24" i="8"/>
  <c r="T24" i="8"/>
  <c r="U24" i="8"/>
  <c r="V24" i="8"/>
  <c r="N25" i="8"/>
  <c r="O25" i="8"/>
  <c r="P25" i="8"/>
  <c r="Q25" i="8"/>
  <c r="R25" i="8"/>
  <c r="S25" i="8"/>
  <c r="T25" i="8"/>
  <c r="U25" i="8"/>
  <c r="V25" i="8"/>
  <c r="N26" i="8"/>
  <c r="O26" i="8"/>
  <c r="P26" i="8"/>
  <c r="Q26" i="8"/>
  <c r="R26" i="8"/>
  <c r="S26" i="8"/>
  <c r="T26" i="8"/>
  <c r="U26" i="8"/>
  <c r="V26" i="8"/>
  <c r="N27" i="8"/>
  <c r="O27" i="8"/>
  <c r="P27" i="8"/>
  <c r="Q27" i="8"/>
  <c r="R27" i="8"/>
  <c r="S27" i="8"/>
  <c r="T27" i="8"/>
  <c r="U27" i="8"/>
  <c r="V27" i="8"/>
  <c r="N28" i="8"/>
  <c r="O28" i="8"/>
  <c r="P28" i="8"/>
  <c r="Q28" i="8"/>
  <c r="R28" i="8"/>
  <c r="S28" i="8"/>
  <c r="T28" i="8"/>
  <c r="U28" i="8"/>
  <c r="V28" i="8"/>
  <c r="N29" i="8"/>
  <c r="O29" i="8"/>
  <c r="P29" i="8"/>
  <c r="Q29" i="8"/>
  <c r="R29" i="8"/>
  <c r="S29" i="8"/>
  <c r="T29" i="8"/>
  <c r="U29" i="8"/>
  <c r="V29" i="8"/>
  <c r="N30" i="8"/>
  <c r="O30" i="8"/>
  <c r="P30" i="8"/>
  <c r="Q30" i="8"/>
  <c r="R30" i="8"/>
  <c r="S30" i="8"/>
  <c r="T30" i="8"/>
  <c r="U30" i="8"/>
  <c r="V30" i="8"/>
  <c r="N31" i="8"/>
  <c r="O31" i="8"/>
  <c r="P31" i="8"/>
  <c r="Q31" i="8"/>
  <c r="R31" i="8"/>
  <c r="S31" i="8"/>
  <c r="T31" i="8"/>
  <c r="U31" i="8"/>
  <c r="V31" i="8"/>
  <c r="N32" i="8"/>
  <c r="O32" i="8"/>
  <c r="P32" i="8"/>
  <c r="Q32" i="8"/>
  <c r="R32" i="8"/>
  <c r="S32" i="8"/>
  <c r="T32" i="8"/>
  <c r="U32" i="8"/>
  <c r="V32" i="8"/>
  <c r="M3" i="8"/>
  <c r="M4" i="8"/>
  <c r="M5" i="8"/>
  <c r="M6" i="8"/>
  <c r="M7" i="8"/>
  <c r="M8" i="8"/>
  <c r="M9" i="8"/>
  <c r="M10" i="8"/>
  <c r="M11" i="8"/>
  <c r="M12" i="8"/>
  <c r="M13" i="8"/>
  <c r="M14" i="8"/>
  <c r="M15" i="8"/>
  <c r="M16" i="8"/>
  <c r="M2" i="8"/>
  <c r="K36" i="8"/>
  <c r="K37" i="8"/>
  <c r="K38" i="8"/>
  <c r="K39" i="8"/>
  <c r="K40" i="8"/>
  <c r="K41" i="8"/>
  <c r="K42" i="8"/>
  <c r="K43" i="8"/>
  <c r="K44" i="8"/>
  <c r="K35" i="8"/>
  <c r="X8" i="8" l="1"/>
  <c r="X4" i="8"/>
  <c r="X9" i="8"/>
  <c r="X2" i="8"/>
  <c r="X29" i="8"/>
  <c r="X25" i="8"/>
  <c r="X21" i="8"/>
  <c r="X17" i="8"/>
  <c r="X13" i="8"/>
  <c r="X3" i="8"/>
  <c r="X32" i="8"/>
  <c r="X28" i="8"/>
  <c r="X24" i="8"/>
  <c r="X20" i="8"/>
  <c r="X16" i="8"/>
  <c r="X11" i="8"/>
  <c r="X7" i="8"/>
  <c r="X6" i="8"/>
  <c r="X31" i="8"/>
  <c r="X27" i="8"/>
  <c r="X23" i="8"/>
  <c r="X19" i="8"/>
  <c r="X15" i="8"/>
  <c r="X10" i="8"/>
  <c r="X5" i="8"/>
  <c r="X12" i="8"/>
  <c r="X30" i="8"/>
  <c r="X26" i="8"/>
  <c r="X22" i="8"/>
  <c r="X18" i="8"/>
  <c r="X14" i="8"/>
  <c r="J36" i="8"/>
  <c r="J37" i="8"/>
  <c r="J38" i="8"/>
  <c r="J39" i="8"/>
  <c r="J40" i="8"/>
  <c r="J41" i="8"/>
  <c r="J42" i="8"/>
  <c r="J43" i="8"/>
  <c r="J44" i="8"/>
  <c r="J35" i="8"/>
  <c r="W8" i="8" s="1"/>
  <c r="Y8" i="8" s="1"/>
  <c r="W12" i="8" l="1"/>
  <c r="Y12" i="8" s="1"/>
  <c r="W2" i="8"/>
  <c r="Y2" i="8" s="1"/>
  <c r="W6" i="8"/>
  <c r="Y6" i="8" s="1"/>
  <c r="W10" i="8"/>
  <c r="Y10" i="8" s="1"/>
  <c r="W15" i="8"/>
  <c r="Y15" i="8" s="1"/>
  <c r="W19" i="8"/>
  <c r="Y19" i="8" s="1"/>
  <c r="W24" i="8"/>
  <c r="Y24" i="8" s="1"/>
  <c r="W28" i="8"/>
  <c r="Y28" i="8" s="1"/>
  <c r="W32" i="8"/>
  <c r="Y32" i="8" s="1"/>
  <c r="W3" i="8"/>
  <c r="Y3" i="8" s="1"/>
  <c r="W7" i="8"/>
  <c r="Y7" i="8" s="1"/>
  <c r="W11" i="8"/>
  <c r="Y11" i="8" s="1"/>
  <c r="W16" i="8"/>
  <c r="Y16" i="8" s="1"/>
  <c r="W21" i="8"/>
  <c r="Y21" i="8" s="1"/>
  <c r="W25" i="8"/>
  <c r="Y25" i="8" s="1"/>
  <c r="W29" i="8"/>
  <c r="Y29" i="8" s="1"/>
  <c r="W4" i="8"/>
  <c r="Y4" i="8" s="1"/>
  <c r="W13" i="8"/>
  <c r="Y13" i="8" s="1"/>
  <c r="W17" i="8"/>
  <c r="Y17" i="8" s="1"/>
  <c r="W22" i="8"/>
  <c r="Y22" i="8" s="1"/>
  <c r="W26" i="8"/>
  <c r="Y26" i="8" s="1"/>
  <c r="W30" i="8"/>
  <c r="Y30" i="8" s="1"/>
  <c r="W20" i="8"/>
  <c r="Y20" i="8" s="1"/>
  <c r="W5" i="8"/>
  <c r="Y5" i="8" s="1"/>
  <c r="W9" i="8"/>
  <c r="Y9" i="8" s="1"/>
  <c r="W14" i="8"/>
  <c r="Y14" i="8" s="1"/>
  <c r="W18" i="8"/>
  <c r="Y18" i="8" s="1"/>
  <c r="W23" i="8"/>
  <c r="Y23" i="8" s="1"/>
  <c r="W27" i="8"/>
  <c r="Y27" i="8" s="1"/>
  <c r="W31" i="8"/>
  <c r="Y31" i="8" s="1"/>
  <c r="E233" i="7"/>
  <c r="D233" i="7"/>
  <c r="C233" i="7"/>
  <c r="B233" i="7"/>
  <c r="H89" i="4"/>
  <c r="B153" i="7"/>
  <c r="B86" i="7"/>
  <c r="B17" i="7"/>
  <c r="F14" i="7"/>
  <c r="B82" i="7" s="1"/>
  <c r="D82" i="7" s="1"/>
  <c r="D149" i="7" s="1"/>
  <c r="E14" i="7"/>
  <c r="A82" i="7" s="1"/>
  <c r="F13" i="7"/>
  <c r="B81" i="7" s="1"/>
  <c r="E13" i="7"/>
  <c r="A81" i="7" s="1"/>
  <c r="F12" i="7"/>
  <c r="B80" i="7" s="1"/>
  <c r="E12" i="7"/>
  <c r="A80" i="7" s="1"/>
  <c r="F11" i="7"/>
  <c r="B79" i="7" s="1"/>
  <c r="D79" i="7" s="1"/>
  <c r="D146" i="7" s="1"/>
  <c r="E11" i="7"/>
  <c r="A79" i="7" s="1"/>
  <c r="F10" i="7"/>
  <c r="B78" i="7" s="1"/>
  <c r="E10" i="7"/>
  <c r="A78" i="7" s="1"/>
  <c r="F9" i="7"/>
  <c r="B77" i="7" s="1"/>
  <c r="E9" i="7"/>
  <c r="A77" i="7" s="1"/>
  <c r="A144" i="7" s="1"/>
  <c r="H144" i="7" s="1"/>
  <c r="F8" i="7"/>
  <c r="B76" i="7" s="1"/>
  <c r="E8" i="7"/>
  <c r="A76" i="7" s="1"/>
  <c r="F7" i="7"/>
  <c r="B75" i="7" s="1"/>
  <c r="D75" i="7" s="1"/>
  <c r="D142" i="7" s="1"/>
  <c r="E7" i="7"/>
  <c r="A75" i="7" s="1"/>
  <c r="F6" i="7"/>
  <c r="B74" i="7" s="1"/>
  <c r="E6" i="7"/>
  <c r="A74" i="7" s="1"/>
  <c r="F5" i="7"/>
  <c r="B73" i="7" s="1"/>
  <c r="E5" i="7"/>
  <c r="A73" i="7" s="1"/>
  <c r="A140" i="7" s="1"/>
  <c r="H140" i="7" s="1"/>
  <c r="F4" i="7"/>
  <c r="B72" i="7" s="1"/>
  <c r="E4" i="7"/>
  <c r="A72" i="7" s="1"/>
  <c r="F3" i="7"/>
  <c r="B71" i="7" s="1"/>
  <c r="D71" i="7" s="1"/>
  <c r="D138" i="7" s="1"/>
  <c r="E3" i="7"/>
  <c r="A71" i="7" s="1"/>
  <c r="C72" i="7" l="1"/>
  <c r="C139" i="7" s="1"/>
  <c r="A139" i="7"/>
  <c r="H139" i="7" s="1"/>
  <c r="C75" i="7"/>
  <c r="C142" i="7" s="1"/>
  <c r="A142" i="7"/>
  <c r="H142" i="7" s="1"/>
  <c r="D73" i="7"/>
  <c r="D140" i="7" s="1"/>
  <c r="B140" i="7"/>
  <c r="I140" i="7" s="1"/>
  <c r="D77" i="7"/>
  <c r="D144" i="7" s="1"/>
  <c r="B144" i="7"/>
  <c r="I144" i="7" s="1"/>
  <c r="D81" i="7"/>
  <c r="D148" i="7" s="1"/>
  <c r="B148" i="7"/>
  <c r="I148" i="7" s="1"/>
  <c r="E74" i="7"/>
  <c r="E141" i="7" s="1"/>
  <c r="C74" i="7"/>
  <c r="C141" i="7" s="1"/>
  <c r="A141" i="7"/>
  <c r="H141" i="7" s="1"/>
  <c r="E82" i="7"/>
  <c r="E149" i="7" s="1"/>
  <c r="C82" i="7"/>
  <c r="C149" i="7" s="1"/>
  <c r="A149" i="7"/>
  <c r="H149" i="7" s="1"/>
  <c r="C76" i="7"/>
  <c r="C143" i="7" s="1"/>
  <c r="A143" i="7"/>
  <c r="H143" i="7" s="1"/>
  <c r="E78" i="7"/>
  <c r="E145" i="7" s="1"/>
  <c r="C78" i="7"/>
  <c r="C145" i="7" s="1"/>
  <c r="A145" i="7"/>
  <c r="H145" i="7" s="1"/>
  <c r="C80" i="7"/>
  <c r="C147" i="7" s="1"/>
  <c r="A147" i="7"/>
  <c r="B139" i="7"/>
  <c r="I139" i="7" s="1"/>
  <c r="D72" i="7"/>
  <c r="D139" i="7" s="1"/>
  <c r="D74" i="7"/>
  <c r="D141" i="7" s="1"/>
  <c r="B141" i="7"/>
  <c r="I141" i="7" s="1"/>
  <c r="B143" i="7"/>
  <c r="I143" i="7" s="1"/>
  <c r="D76" i="7"/>
  <c r="D143" i="7" s="1"/>
  <c r="D78" i="7"/>
  <c r="D145" i="7" s="1"/>
  <c r="B145" i="7"/>
  <c r="I145" i="7" s="1"/>
  <c r="D80" i="7"/>
  <c r="D147" i="7" s="1"/>
  <c r="G147" i="7" s="1"/>
  <c r="B147" i="7"/>
  <c r="I147" i="7" s="1"/>
  <c r="E71" i="7"/>
  <c r="E138" i="7" s="1"/>
  <c r="A138" i="7"/>
  <c r="H138" i="7" s="1"/>
  <c r="C79" i="7"/>
  <c r="C146" i="7" s="1"/>
  <c r="A146" i="7"/>
  <c r="H146" i="7" s="1"/>
  <c r="B149" i="7"/>
  <c r="I149" i="7" s="1"/>
  <c r="E73" i="7"/>
  <c r="E140" i="7" s="1"/>
  <c r="E77" i="7"/>
  <c r="E144" i="7" s="1"/>
  <c r="E81" i="7"/>
  <c r="E148" i="7" s="1"/>
  <c r="B142" i="7"/>
  <c r="I142" i="7" s="1"/>
  <c r="B146" i="7"/>
  <c r="I146" i="7" s="1"/>
  <c r="C73" i="7"/>
  <c r="C140" i="7" s="1"/>
  <c r="F140" i="7" s="1"/>
  <c r="C77" i="7"/>
  <c r="C144" i="7" s="1"/>
  <c r="C81" i="7"/>
  <c r="C148" i="7" s="1"/>
  <c r="F148" i="7" s="1"/>
  <c r="A148" i="7"/>
  <c r="H148" i="7" s="1"/>
  <c r="B138" i="7"/>
  <c r="I138" i="7" s="1"/>
  <c r="G140" i="7"/>
  <c r="G144" i="7"/>
  <c r="F139" i="7"/>
  <c r="G139" i="7"/>
  <c r="G143" i="7"/>
  <c r="H147" i="7"/>
  <c r="F145" i="7"/>
  <c r="F149" i="7"/>
  <c r="G141" i="7"/>
  <c r="G145" i="7"/>
  <c r="G138" i="7"/>
  <c r="G146" i="7"/>
  <c r="E75" i="7"/>
  <c r="E142" i="7" s="1"/>
  <c r="E79" i="7"/>
  <c r="E146" i="7" s="1"/>
  <c r="E76" i="7"/>
  <c r="E143" i="7" s="1"/>
  <c r="E80" i="7"/>
  <c r="E147" i="7" s="1"/>
  <c r="C71" i="7"/>
  <c r="C138" i="7" s="1"/>
  <c r="E72" i="7"/>
  <c r="E139" i="7" s="1"/>
  <c r="G142" i="7" l="1"/>
  <c r="F147" i="7"/>
  <c r="F138" i="7"/>
  <c r="G149" i="7"/>
  <c r="F144" i="7"/>
  <c r="F146" i="7"/>
  <c r="F141" i="7"/>
  <c r="F142" i="7"/>
  <c r="G148" i="7"/>
  <c r="F143" i="7"/>
  <c r="H11" i="5" l="1"/>
  <c r="H8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4" i="5"/>
  <c r="A43" i="5"/>
  <c r="B40" i="5"/>
  <c r="D38" i="5"/>
  <c r="B38" i="5"/>
  <c r="C38" i="5" s="1"/>
  <c r="D37" i="5"/>
  <c r="B37" i="5"/>
  <c r="C37" i="5" s="1"/>
  <c r="G83" i="4"/>
  <c r="G82" i="4"/>
  <c r="B45" i="5" l="1"/>
  <c r="B47" i="5"/>
  <c r="B46" i="5"/>
  <c r="A50" i="5" s="1"/>
  <c r="D82" i="4"/>
  <c r="D81" i="4"/>
  <c r="D80" i="4"/>
  <c r="D79" i="4"/>
  <c r="B74" i="4"/>
  <c r="D69" i="4"/>
  <c r="H69" i="4" s="1"/>
  <c r="E69" i="4"/>
  <c r="F69" i="4"/>
  <c r="G69" i="4"/>
  <c r="D70" i="4"/>
  <c r="E70" i="4"/>
  <c r="F70" i="4"/>
  <c r="G70" i="4"/>
  <c r="C70" i="4"/>
  <c r="H70" i="4" s="1"/>
  <c r="C69" i="4"/>
  <c r="B70" i="4"/>
  <c r="B69" i="4"/>
  <c r="B73" i="4" s="1"/>
  <c r="D47" i="4"/>
  <c r="D48" i="4"/>
  <c r="C48" i="4"/>
  <c r="C47" i="4"/>
  <c r="B49" i="4" s="1"/>
  <c r="B54" i="4" s="1"/>
  <c r="B48" i="4"/>
  <c r="B51" i="4" s="1"/>
  <c r="B53" i="4" s="1"/>
  <c r="B47" i="4"/>
  <c r="B33" i="4"/>
  <c r="B35" i="4" s="1"/>
  <c r="D30" i="4"/>
  <c r="D29" i="4"/>
  <c r="C30" i="4"/>
  <c r="C29" i="4"/>
  <c r="B31" i="4" s="1"/>
  <c r="B36" i="4" s="1"/>
  <c r="B30" i="4"/>
  <c r="B29" i="4"/>
  <c r="G9" i="4"/>
  <c r="F10" i="4"/>
  <c r="F9" i="4"/>
  <c r="G8" i="4"/>
  <c r="F8" i="4"/>
  <c r="F11" i="4" s="1"/>
  <c r="G3" i="4"/>
  <c r="G15" i="4" s="1"/>
  <c r="F3" i="4"/>
  <c r="F14" i="4" s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50" i="1"/>
  <c r="D76" i="1"/>
  <c r="F74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50" i="1"/>
  <c r="J50" i="2"/>
  <c r="J49" i="2"/>
  <c r="J48" i="2"/>
  <c r="J47" i="2"/>
  <c r="J46" i="2"/>
  <c r="J45" i="2"/>
  <c r="J44" i="2"/>
  <c r="J43" i="2"/>
  <c r="J42" i="2"/>
  <c r="J41" i="2"/>
  <c r="J40" i="2"/>
  <c r="J37" i="2"/>
  <c r="J36" i="2"/>
  <c r="J35" i="2"/>
  <c r="J34" i="2"/>
  <c r="J33" i="2"/>
  <c r="J32" i="2"/>
  <c r="J31" i="2"/>
  <c r="J30" i="2"/>
  <c r="J29" i="2"/>
  <c r="J28" i="2"/>
  <c r="J27" i="2"/>
  <c r="J15" i="2"/>
  <c r="J16" i="2"/>
  <c r="J17" i="2"/>
  <c r="J18" i="2"/>
  <c r="J19" i="2"/>
  <c r="J20" i="2"/>
  <c r="J21" i="2"/>
  <c r="J22" i="2"/>
  <c r="J23" i="2"/>
  <c r="J24" i="2"/>
  <c r="J14" i="2"/>
  <c r="F40" i="2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E40" i="2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F28" i="2"/>
  <c r="F29" i="2" s="1"/>
  <c r="F30" i="2" s="1"/>
  <c r="F31" i="2" s="1"/>
  <c r="F32" i="2" s="1"/>
  <c r="F33" i="2" s="1"/>
  <c r="F34" i="2" s="1"/>
  <c r="F35" i="2" s="1"/>
  <c r="F36" i="2" s="1"/>
  <c r="F37" i="2" s="1"/>
  <c r="E28" i="2"/>
  <c r="E29" i="2" s="1"/>
  <c r="E30" i="2" s="1"/>
  <c r="E31" i="2" s="1"/>
  <c r="E32" i="2" s="1"/>
  <c r="E33" i="2" s="1"/>
  <c r="E34" i="2" s="1"/>
  <c r="E35" i="2" s="1"/>
  <c r="E36" i="2" s="1"/>
  <c r="E37" i="2" s="1"/>
  <c r="F27" i="2"/>
  <c r="E27" i="2"/>
  <c r="E15" i="2"/>
  <c r="E16" i="2" s="1"/>
  <c r="E17" i="2" s="1"/>
  <c r="E18" i="2" s="1"/>
  <c r="E19" i="2" s="1"/>
  <c r="E20" i="2" s="1"/>
  <c r="E21" i="2" s="1"/>
  <c r="E22" i="2" s="1"/>
  <c r="E23" i="2" s="1"/>
  <c r="E24" i="2" s="1"/>
  <c r="F14" i="2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E14" i="2"/>
  <c r="C8" i="2"/>
  <c r="D8" i="2"/>
  <c r="E8" i="2"/>
  <c r="F8" i="2"/>
  <c r="G8" i="2"/>
  <c r="H8" i="2"/>
  <c r="I8" i="2"/>
  <c r="J8" i="2"/>
  <c r="K8" i="2"/>
  <c r="L8" i="2"/>
  <c r="C9" i="2"/>
  <c r="D9" i="2"/>
  <c r="E9" i="2"/>
  <c r="F9" i="2"/>
  <c r="G9" i="2"/>
  <c r="H9" i="2"/>
  <c r="I9" i="2"/>
  <c r="J9" i="2"/>
  <c r="K9" i="2"/>
  <c r="L9" i="2"/>
  <c r="C10" i="2"/>
  <c r="D10" i="2"/>
  <c r="E10" i="2"/>
  <c r="F10" i="2"/>
  <c r="G10" i="2"/>
  <c r="H10" i="2"/>
  <c r="I10" i="2"/>
  <c r="J10" i="2"/>
  <c r="K10" i="2"/>
  <c r="L10" i="2"/>
  <c r="B9" i="2"/>
  <c r="B10" i="2"/>
  <c r="B8" i="2"/>
  <c r="M5" i="2"/>
  <c r="M4" i="2"/>
  <c r="M3" i="2"/>
  <c r="M2" i="2"/>
  <c r="P11" i="3"/>
  <c r="P12" i="3"/>
  <c r="P13" i="3"/>
  <c r="P14" i="3"/>
  <c r="P15" i="3"/>
  <c r="P16" i="3"/>
  <c r="P17" i="3"/>
  <c r="P18" i="3"/>
  <c r="P19" i="3"/>
  <c r="P10" i="3"/>
  <c r="G52" i="3"/>
  <c r="C52" i="3"/>
  <c r="D52" i="3"/>
  <c r="E52" i="3"/>
  <c r="F52" i="3"/>
  <c r="B52" i="3"/>
  <c r="H45" i="3"/>
  <c r="C21" i="3"/>
  <c r="D21" i="3"/>
  <c r="E21" i="3"/>
  <c r="F21" i="3"/>
  <c r="G21" i="3"/>
  <c r="H21" i="3"/>
  <c r="I21" i="3"/>
  <c r="J21" i="3"/>
  <c r="K21" i="3"/>
  <c r="C22" i="3"/>
  <c r="D22" i="3"/>
  <c r="E22" i="3"/>
  <c r="F22" i="3"/>
  <c r="G22" i="3"/>
  <c r="H22" i="3"/>
  <c r="I22" i="3"/>
  <c r="J22" i="3"/>
  <c r="K22" i="3"/>
  <c r="C23" i="3"/>
  <c r="D23" i="3"/>
  <c r="E23" i="3"/>
  <c r="F23" i="3"/>
  <c r="G23" i="3"/>
  <c r="H23" i="3"/>
  <c r="I23" i="3"/>
  <c r="J23" i="3"/>
  <c r="K23" i="3"/>
  <c r="C24" i="3"/>
  <c r="D24" i="3"/>
  <c r="E24" i="3"/>
  <c r="F24" i="3"/>
  <c r="G24" i="3"/>
  <c r="H24" i="3"/>
  <c r="I24" i="3"/>
  <c r="J24" i="3"/>
  <c r="K24" i="3"/>
  <c r="C25" i="3"/>
  <c r="D25" i="3"/>
  <c r="E25" i="3"/>
  <c r="F25" i="3"/>
  <c r="G25" i="3"/>
  <c r="H25" i="3"/>
  <c r="I25" i="3"/>
  <c r="J25" i="3"/>
  <c r="K25" i="3"/>
  <c r="C26" i="3"/>
  <c r="D26" i="3"/>
  <c r="E26" i="3"/>
  <c r="F26" i="3"/>
  <c r="G26" i="3"/>
  <c r="H26" i="3"/>
  <c r="I26" i="3"/>
  <c r="J26" i="3"/>
  <c r="K26" i="3"/>
  <c r="C27" i="3"/>
  <c r="D27" i="3"/>
  <c r="E27" i="3"/>
  <c r="F27" i="3"/>
  <c r="G27" i="3"/>
  <c r="H27" i="3"/>
  <c r="I27" i="3"/>
  <c r="J27" i="3"/>
  <c r="K27" i="3"/>
  <c r="C28" i="3"/>
  <c r="D28" i="3"/>
  <c r="E28" i="3"/>
  <c r="F28" i="3"/>
  <c r="G28" i="3"/>
  <c r="H28" i="3"/>
  <c r="I28" i="3"/>
  <c r="J28" i="3"/>
  <c r="K28" i="3"/>
  <c r="C29" i="3"/>
  <c r="D29" i="3"/>
  <c r="E29" i="3"/>
  <c r="F29" i="3"/>
  <c r="G29" i="3"/>
  <c r="H29" i="3"/>
  <c r="I29" i="3"/>
  <c r="J29" i="3"/>
  <c r="K29" i="3"/>
  <c r="C30" i="3"/>
  <c r="D30" i="3"/>
  <c r="E30" i="3"/>
  <c r="F30" i="3"/>
  <c r="G30" i="3"/>
  <c r="H30" i="3"/>
  <c r="I30" i="3"/>
  <c r="J30" i="3"/>
  <c r="K30" i="3"/>
  <c r="B22" i="3"/>
  <c r="L22" i="3" s="1"/>
  <c r="B23" i="3"/>
  <c r="L23" i="3" s="1"/>
  <c r="B24" i="3"/>
  <c r="L24" i="3" s="1"/>
  <c r="B25" i="3"/>
  <c r="L25" i="3" s="1"/>
  <c r="B26" i="3"/>
  <c r="L26" i="3" s="1"/>
  <c r="B27" i="3"/>
  <c r="L27" i="3" s="1"/>
  <c r="B28" i="3"/>
  <c r="L28" i="3" s="1"/>
  <c r="B29" i="3"/>
  <c r="L29" i="3" s="1"/>
  <c r="B30" i="3"/>
  <c r="L30" i="3" s="1"/>
  <c r="B21" i="3"/>
  <c r="L21" i="3" s="1"/>
  <c r="F17" i="3"/>
  <c r="C33" i="3" s="1"/>
  <c r="D18" i="3"/>
  <c r="D17" i="3"/>
  <c r="C18" i="3"/>
  <c r="H17" i="3" s="1"/>
  <c r="C17" i="3"/>
  <c r="B18" i="3"/>
  <c r="B17" i="3"/>
  <c r="D6" i="3"/>
  <c r="E6" i="3" s="1"/>
  <c r="D4" i="3"/>
  <c r="E4" i="3" s="1"/>
  <c r="D5" i="3"/>
  <c r="E5" i="3" s="1"/>
  <c r="D3" i="3"/>
  <c r="E3" i="3" s="1"/>
  <c r="F15" i="4" l="1"/>
  <c r="F17" i="4" s="1"/>
  <c r="G14" i="4"/>
  <c r="G17" i="4" s="1"/>
  <c r="D83" i="4"/>
  <c r="D85" i="4" s="1"/>
  <c r="D101" i="4" s="1"/>
  <c r="G11" i="4"/>
  <c r="G10" i="4"/>
  <c r="A33" i="3"/>
  <c r="I33" i="3" s="1"/>
  <c r="D84" i="4" l="1"/>
  <c r="D86" i="4" s="1"/>
  <c r="D89" i="4" s="1"/>
  <c r="G89" i="4" l="1"/>
  <c r="E89" i="4"/>
  <c r="D90" i="4" s="1"/>
  <c r="E90" i="4" l="1"/>
  <c r="D91" i="4" s="1"/>
  <c r="G90" i="4"/>
  <c r="H90" i="4" s="1"/>
  <c r="I89" i="4" s="1"/>
  <c r="J89" i="4" s="1"/>
  <c r="F90" i="4"/>
  <c r="F89" i="4"/>
  <c r="K89" i="4" l="1"/>
  <c r="E91" i="4"/>
  <c r="D92" i="4" s="1"/>
  <c r="F91" i="4"/>
  <c r="G91" i="4"/>
  <c r="H91" i="4" s="1"/>
  <c r="I90" i="4" s="1"/>
  <c r="J90" i="4" s="1"/>
  <c r="K90" i="4" s="1"/>
  <c r="G92" i="4" l="1"/>
  <c r="H92" i="4" s="1"/>
  <c r="I91" i="4" s="1"/>
  <c r="J91" i="4" s="1"/>
  <c r="K91" i="4" s="1"/>
  <c r="F92" i="4"/>
  <c r="E92" i="4"/>
  <c r="D93" i="4" s="1"/>
  <c r="G93" i="4" l="1"/>
  <c r="H93" i="4" s="1"/>
  <c r="I92" i="4" s="1"/>
  <c r="J92" i="4" s="1"/>
  <c r="K92" i="4" s="1"/>
  <c r="F93" i="4"/>
  <c r="E93" i="4"/>
  <c r="D94" i="4" s="1"/>
  <c r="I45" i="1"/>
  <c r="H45" i="1"/>
  <c r="I44" i="1"/>
  <c r="H44" i="1"/>
  <c r="I43" i="1"/>
  <c r="H43" i="1"/>
  <c r="I42" i="1"/>
  <c r="H42" i="1"/>
  <c r="H41" i="1"/>
  <c r="D36" i="1"/>
  <c r="D37" i="1"/>
  <c r="D38" i="1"/>
  <c r="D39" i="1"/>
  <c r="D40" i="1"/>
  <c r="D41" i="1"/>
  <c r="D42" i="1"/>
  <c r="D43" i="1"/>
  <c r="D44" i="1"/>
  <c r="D45" i="1"/>
  <c r="D46" i="1"/>
  <c r="D35" i="1"/>
  <c r="H40" i="1"/>
  <c r="C36" i="1"/>
  <c r="C37" i="1"/>
  <c r="C38" i="1"/>
  <c r="C39" i="1"/>
  <c r="C40" i="1"/>
  <c r="C41" i="1"/>
  <c r="C42" i="1"/>
  <c r="C43" i="1"/>
  <c r="C44" i="1"/>
  <c r="C45" i="1"/>
  <c r="C46" i="1"/>
  <c r="C35" i="1"/>
  <c r="H39" i="1"/>
  <c r="H38" i="1"/>
  <c r="H37" i="1"/>
  <c r="H36" i="1"/>
  <c r="H35" i="1"/>
  <c r="K16" i="1"/>
  <c r="K17" i="1"/>
  <c r="K18" i="1"/>
  <c r="K19" i="1"/>
  <c r="K20" i="1"/>
  <c r="K21" i="1"/>
  <c r="K15" i="1"/>
  <c r="J17" i="1"/>
  <c r="J18" i="1"/>
  <c r="J19" i="1" s="1"/>
  <c r="J20" i="1" s="1"/>
  <c r="J21" i="1" s="1"/>
  <c r="J16" i="1"/>
  <c r="J15" i="1"/>
  <c r="I17" i="1"/>
  <c r="I18" i="1"/>
  <c r="I19" i="1" s="1"/>
  <c r="I20" i="1" s="1"/>
  <c r="I21" i="1" s="1"/>
  <c r="I16" i="1"/>
  <c r="I15" i="1"/>
  <c r="H16" i="1"/>
  <c r="H17" i="1"/>
  <c r="H18" i="1"/>
  <c r="H19" i="1"/>
  <c r="H20" i="1"/>
  <c r="H21" i="1"/>
  <c r="H15" i="1"/>
  <c r="G16" i="1"/>
  <c r="G17" i="1"/>
  <c r="G18" i="1"/>
  <c r="G19" i="1"/>
  <c r="G20" i="1"/>
  <c r="G21" i="1"/>
  <c r="G15" i="1"/>
  <c r="F16" i="1"/>
  <c r="F17" i="1"/>
  <c r="F18" i="1"/>
  <c r="F19" i="1"/>
  <c r="F20" i="1"/>
  <c r="F21" i="1"/>
  <c r="F15" i="1"/>
  <c r="E16" i="1"/>
  <c r="D17" i="1"/>
  <c r="E17" i="1" s="1"/>
  <c r="D18" i="1" s="1"/>
  <c r="E18" i="1" s="1"/>
  <c r="D19" i="1" s="1"/>
  <c r="E19" i="1" s="1"/>
  <c r="D20" i="1" s="1"/>
  <c r="E20" i="1" s="1"/>
  <c r="D21" i="1" s="1"/>
  <c r="E21" i="1" s="1"/>
  <c r="D15" i="1"/>
  <c r="D16" i="1"/>
  <c r="E15" i="1"/>
  <c r="D11" i="1"/>
  <c r="D10" i="1"/>
  <c r="D9" i="1"/>
  <c r="D8" i="1"/>
  <c r="D7" i="1"/>
  <c r="D4" i="1"/>
  <c r="D3" i="1"/>
  <c r="D2" i="1"/>
  <c r="G94" i="4" l="1"/>
  <c r="H94" i="4" s="1"/>
  <c r="I93" i="4" s="1"/>
  <c r="J93" i="4" s="1"/>
  <c r="K93" i="4" s="1"/>
  <c r="F94" i="4"/>
  <c r="E94" i="4"/>
  <c r="D95" i="4" s="1"/>
  <c r="F95" i="4" l="1"/>
  <c r="G95" i="4"/>
  <c r="H95" i="4" s="1"/>
  <c r="I94" i="4" s="1"/>
  <c r="J94" i="4" s="1"/>
  <c r="K94" i="4" s="1"/>
  <c r="E95" i="4"/>
  <c r="D96" i="4" s="1"/>
  <c r="G96" i="4" l="1"/>
  <c r="H96" i="4" s="1"/>
  <c r="I95" i="4" s="1"/>
  <c r="J95" i="4" s="1"/>
  <c r="K95" i="4" s="1"/>
  <c r="F96" i="4"/>
  <c r="E96" i="4"/>
  <c r="D97" i="4" s="1"/>
  <c r="E97" i="4" l="1"/>
  <c r="D98" i="4" s="1"/>
  <c r="G97" i="4"/>
  <c r="H97" i="4" s="1"/>
  <c r="I96" i="4" s="1"/>
  <c r="J96" i="4" s="1"/>
  <c r="K96" i="4" s="1"/>
  <c r="F97" i="4"/>
  <c r="E98" i="4" l="1"/>
  <c r="G98" i="4"/>
  <c r="H98" i="4" s="1"/>
  <c r="I97" i="4" s="1"/>
  <c r="J97" i="4" s="1"/>
  <c r="K97" i="4" s="1"/>
  <c r="D100" i="4" s="1"/>
</calcChain>
</file>

<file path=xl/sharedStrings.xml><?xml version="1.0" encoding="utf-8"?>
<sst xmlns="http://schemas.openxmlformats.org/spreadsheetml/2006/main" count="445" uniqueCount="323">
  <si>
    <t>2015年</t>
  </si>
  <si>
    <t>1. 样品基本统计量</t>
    <phoneticPr fontId="1" type="noConversion"/>
  </si>
  <si>
    <t>最小值</t>
    <phoneticPr fontId="1" type="noConversion"/>
  </si>
  <si>
    <t>最大值</t>
    <phoneticPr fontId="1" type="noConversion"/>
  </si>
  <si>
    <t>样品数</t>
    <phoneticPr fontId="1" type="noConversion"/>
  </si>
  <si>
    <t>最终组数</t>
    <phoneticPr fontId="1" type="noConversion"/>
  </si>
  <si>
    <t>第一组下限</t>
    <phoneticPr fontId="1" type="noConversion"/>
  </si>
  <si>
    <t>2. 分组指标</t>
    <phoneticPr fontId="1" type="noConversion"/>
  </si>
  <si>
    <t>3. 分组结果</t>
    <phoneticPr fontId="1" type="noConversion"/>
  </si>
  <si>
    <t>组序</t>
    <phoneticPr fontId="1" type="noConversion"/>
  </si>
  <si>
    <t>组下限</t>
    <phoneticPr fontId="1" type="noConversion"/>
  </si>
  <si>
    <t>组上限</t>
    <phoneticPr fontId="1" type="noConversion"/>
  </si>
  <si>
    <t>组中距</t>
    <phoneticPr fontId="1" type="noConversion"/>
  </si>
  <si>
    <t>频数</t>
    <phoneticPr fontId="1" type="noConversion"/>
  </si>
  <si>
    <t>频率</t>
    <phoneticPr fontId="1" type="noConversion"/>
  </si>
  <si>
    <t>累积频数</t>
    <phoneticPr fontId="1" type="noConversion"/>
  </si>
  <si>
    <t>累积频率</t>
    <phoneticPr fontId="1" type="noConversion"/>
  </si>
  <si>
    <t>组距文本化</t>
    <phoneticPr fontId="1" type="noConversion"/>
  </si>
  <si>
    <t>全距R</t>
    <phoneticPr fontId="1" type="noConversion"/>
  </si>
  <si>
    <t>样品数N</t>
    <phoneticPr fontId="1" type="noConversion"/>
  </si>
  <si>
    <t>最小值min</t>
    <phoneticPr fontId="1" type="noConversion"/>
  </si>
  <si>
    <t>最大值max</t>
    <phoneticPr fontId="1" type="noConversion"/>
  </si>
  <si>
    <t>组数n</t>
    <phoneticPr fontId="1" type="noConversion"/>
  </si>
  <si>
    <t>组距h</t>
    <phoneticPr fontId="1" type="noConversion"/>
  </si>
  <si>
    <r>
      <t>地块编号</t>
    </r>
    <r>
      <rPr>
        <sz val="22"/>
        <color rgb="FF000000"/>
        <rFont val="Calibri"/>
        <family val="2"/>
      </rPr>
      <t xml:space="preserve"> </t>
    </r>
    <phoneticPr fontId="4" type="noConversion"/>
  </si>
  <si>
    <r>
      <t>面积</t>
    </r>
    <r>
      <rPr>
        <sz val="11"/>
        <color rgb="FF000000"/>
        <rFont val="宋体"/>
        <family val="3"/>
        <charset val="134"/>
      </rPr>
      <t>/hm</t>
    </r>
    <r>
      <rPr>
        <vertAlign val="superscript"/>
        <sz val="11"/>
        <color rgb="FF000000"/>
        <rFont val="宋体"/>
        <family val="3"/>
        <charset val="134"/>
      </rPr>
      <t>2</t>
    </r>
    <phoneticPr fontId="4" type="noConversion"/>
  </si>
  <si>
    <t>均值</t>
    <phoneticPr fontId="1" type="noConversion"/>
  </si>
  <si>
    <t>极差</t>
    <phoneticPr fontId="1" type="noConversion"/>
  </si>
  <si>
    <t>离差</t>
    <phoneticPr fontId="1" type="noConversion"/>
  </si>
  <si>
    <t>样品基本统计量</t>
    <phoneticPr fontId="1" type="noConversion"/>
  </si>
  <si>
    <t>离差平方和</t>
    <phoneticPr fontId="1" type="noConversion"/>
  </si>
  <si>
    <t>离差平方</t>
    <phoneticPr fontId="1" type="noConversion"/>
  </si>
  <si>
    <t>离差和</t>
    <phoneticPr fontId="1" type="noConversion"/>
  </si>
  <si>
    <t>方差</t>
    <phoneticPr fontId="1" type="noConversion"/>
  </si>
  <si>
    <t>无偏估计方差</t>
    <phoneticPr fontId="1" type="noConversion"/>
  </si>
  <si>
    <t>无偏估计标准差</t>
  </si>
  <si>
    <t>标准差</t>
    <phoneticPr fontId="1" type="noConversion"/>
  </si>
  <si>
    <t>年份</t>
    <phoneticPr fontId="4" type="noConversion"/>
  </si>
  <si>
    <t xml:space="preserve">城镇数
</t>
    <phoneticPr fontId="4" type="noConversion"/>
  </si>
  <si>
    <t>d1(km)</t>
    <phoneticPr fontId="4" type="noConversion"/>
  </si>
  <si>
    <t>中国面积km²</t>
    <phoneticPr fontId="1" type="noConversion"/>
  </si>
  <si>
    <t>区域法 邻近指数R</t>
    <phoneticPr fontId="1" type="noConversion"/>
  </si>
  <si>
    <t>Re</t>
    <phoneticPr fontId="1" type="noConversion"/>
  </si>
  <si>
    <t>邻近指数R</t>
    <phoneticPr fontId="1" type="noConversion"/>
  </si>
  <si>
    <t>假设要在10个居民区内设立一个商业中心，希望居民都很便利。居住区坐标如下，如何做？</t>
  </si>
  <si>
    <t>地点</t>
    <phoneticPr fontId="4" type="noConversion"/>
  </si>
  <si>
    <t>X</t>
    <phoneticPr fontId="4" type="noConversion"/>
  </si>
  <si>
    <t>Y</t>
    <phoneticPr fontId="4" type="noConversion"/>
  </si>
  <si>
    <t>基本统计量</t>
    <phoneticPr fontId="1" type="noConversion"/>
  </si>
  <si>
    <t>X</t>
    <phoneticPr fontId="1" type="noConversion"/>
  </si>
  <si>
    <t>Y</t>
    <phoneticPr fontId="1" type="noConversion"/>
  </si>
  <si>
    <t>平均中心</t>
    <phoneticPr fontId="1" type="noConversion"/>
  </si>
  <si>
    <t>居民区数量</t>
    <phoneticPr fontId="1" type="noConversion"/>
  </si>
  <si>
    <t>居民区外接矩形面积</t>
    <phoneticPr fontId="1" type="noConversion"/>
  </si>
  <si>
    <t>相互距离</t>
    <phoneticPr fontId="1" type="noConversion"/>
  </si>
  <si>
    <t>最邻近平均距离</t>
    <phoneticPr fontId="1" type="noConversion"/>
  </si>
  <si>
    <t>理想的随机型（普阿松分布型）的最近邻平均距离</t>
    <phoneticPr fontId="1" type="noConversion"/>
  </si>
  <si>
    <t>最近邻指数R</t>
    <phoneticPr fontId="1" type="noConversion"/>
  </si>
  <si>
    <t>某地理区有5个城镇A、B、C、D、E，各城镇的地理位置及正负荷如图所示。</t>
    <phoneticPr fontId="1" type="noConversion"/>
  </si>
  <si>
    <t>现计划在该地区建一工厂，若使产品运往到各城镇的总运输量为最少，问这个工厂建在那个城镇更好？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</si>
  <si>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</si>
  <si>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</si>
  <si>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</si>
  <si>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</si>
  <si>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</si>
  <si>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正负荷</t>
    <phoneticPr fontId="1" type="noConversion"/>
  </si>
  <si>
    <t>S(A)</t>
    <phoneticPr fontId="1" type="noConversion"/>
  </si>
  <si>
    <t>S(B)</t>
    <phoneticPr fontId="1" type="noConversion"/>
  </si>
  <si>
    <t>S(C)</t>
    <phoneticPr fontId="1" type="noConversion"/>
  </si>
  <si>
    <t>S(D)</t>
    <phoneticPr fontId="1" type="noConversion"/>
  </si>
  <si>
    <t>S(E)</t>
    <phoneticPr fontId="1" type="noConversion"/>
  </si>
  <si>
    <t>id</t>
    <phoneticPr fontId="1" type="noConversion"/>
  </si>
  <si>
    <t>总计</t>
    <phoneticPr fontId="1" type="noConversion"/>
  </si>
  <si>
    <t>a农业</t>
    <phoneticPr fontId="1" type="noConversion"/>
  </si>
  <si>
    <t>b纺织业</t>
    <phoneticPr fontId="1" type="noConversion"/>
  </si>
  <si>
    <t>c服务业</t>
    <phoneticPr fontId="1" type="noConversion"/>
  </si>
  <si>
    <t>职工总数</t>
    <phoneticPr fontId="1" type="noConversion"/>
  </si>
  <si>
    <t>R值：变量对于某一地区数值的比值</t>
    <phoneticPr fontId="1" type="noConversion"/>
  </si>
  <si>
    <t>R(a)</t>
    <phoneticPr fontId="1" type="noConversion"/>
  </si>
  <si>
    <t>R(b)</t>
    <phoneticPr fontId="1" type="noConversion"/>
  </si>
  <si>
    <t>R(c)</t>
    <phoneticPr fontId="1" type="noConversion"/>
  </si>
  <si>
    <t>按R值大小排列的各地区职工数据及累积表（%）（由大到小）</t>
    <phoneticPr fontId="1" type="noConversion"/>
  </si>
  <si>
    <t>农业累积</t>
    <phoneticPr fontId="1" type="noConversion"/>
  </si>
  <si>
    <t>职工总数累积</t>
    <phoneticPr fontId="1" type="noConversion"/>
  </si>
  <si>
    <t>纺织业累积</t>
    <phoneticPr fontId="1" type="noConversion"/>
  </si>
  <si>
    <t>服务业累积</t>
    <phoneticPr fontId="1" type="noConversion"/>
  </si>
  <si>
    <t>年份</t>
  </si>
  <si>
    <t>流量（立方米/秒）</t>
  </si>
  <si>
    <t>滑动平均-三年</t>
    <phoneticPr fontId="1" type="noConversion"/>
  </si>
  <si>
    <t>滑动平均-五年</t>
    <phoneticPr fontId="1" type="noConversion"/>
  </si>
  <si>
    <t>距平</t>
    <phoneticPr fontId="1" type="noConversion"/>
  </si>
  <si>
    <t>上海</t>
    <phoneticPr fontId="1" type="noConversion"/>
  </si>
  <si>
    <t>GDP</t>
  </si>
  <si>
    <t>人口</t>
  </si>
  <si>
    <t>北京</t>
    <phoneticPr fontId="1" type="noConversion"/>
  </si>
  <si>
    <t>两个区域方差的比较</t>
    <phoneticPr fontId="1" type="noConversion"/>
  </si>
  <si>
    <t>1. 原假设</t>
    <phoneticPr fontId="1" type="noConversion"/>
  </si>
  <si>
    <t>假设北京和上海的GDP及人口变化没有显著差异</t>
    <phoneticPr fontId="1" type="noConversion"/>
  </si>
  <si>
    <t>GDP</t>
    <phoneticPr fontId="1" type="noConversion"/>
  </si>
  <si>
    <t>人口</t>
    <phoneticPr fontId="1" type="noConversion"/>
  </si>
  <si>
    <t>2. 计算方差和F统计值</t>
    <phoneticPr fontId="1" type="noConversion"/>
  </si>
  <si>
    <t>F</t>
    <phoneticPr fontId="1" type="noConversion"/>
  </si>
  <si>
    <t>3. 查表检验</t>
    <phoneticPr fontId="1" type="noConversion"/>
  </si>
  <si>
    <t>自由度</t>
    <phoneticPr fontId="1" type="noConversion"/>
  </si>
  <si>
    <t>置信度</t>
    <phoneticPr fontId="1" type="noConversion"/>
  </si>
  <si>
    <t>F临界值</t>
    <phoneticPr fontId="1" type="noConversion"/>
  </si>
  <si>
    <t>第一自由度</t>
    <phoneticPr fontId="1" type="noConversion"/>
  </si>
  <si>
    <t>第二自由度</t>
    <phoneticPr fontId="1" type="noConversion"/>
  </si>
  <si>
    <t>（自由度=样品数-1）</t>
    <phoneticPr fontId="1" type="noConversion"/>
  </si>
  <si>
    <t>（双侧检验）</t>
    <phoneticPr fontId="1" type="noConversion"/>
  </si>
  <si>
    <t>GDP，F&lt;F临界值，接收原假设，上海和北京的GDP变化趋势无显著差异</t>
    <phoneticPr fontId="1" type="noConversion"/>
  </si>
  <si>
    <t>人口，F&lt;F临界值，拒绝原假设，上海和北京的人口变化趋势差异显著</t>
    <phoneticPr fontId="1" type="noConversion"/>
  </si>
  <si>
    <t>习题：为判别飞云江河两个河段的泥沙颗粒组成有无显著不同，分别在两段的几个点进行采样分析，试根据分析资料确定是否差异显著。</t>
    <phoneticPr fontId="1" type="noConversion"/>
  </si>
  <si>
    <t>河段</t>
  </si>
  <si>
    <t>河段S</t>
  </si>
  <si>
    <t>河段T</t>
    <phoneticPr fontId="1" type="noConversion"/>
  </si>
  <si>
    <t>站名</t>
  </si>
  <si>
    <t>S1</t>
  </si>
  <si>
    <t>S2</t>
  </si>
  <si>
    <t>S3</t>
  </si>
  <si>
    <t>S4</t>
  </si>
  <si>
    <t>T1</t>
  </si>
  <si>
    <t>T3</t>
  </si>
  <si>
    <t>T4</t>
  </si>
  <si>
    <t>颗粒粒径</t>
  </si>
  <si>
    <t>u检验法</t>
    <phoneticPr fontId="1" type="noConversion"/>
  </si>
  <si>
    <t>飞云江河两河段的泥沙颗粒组成无显著不同</t>
    <phoneticPr fontId="1" type="noConversion"/>
  </si>
  <si>
    <t>2. 计算统计量</t>
    <phoneticPr fontId="1" type="noConversion"/>
  </si>
  <si>
    <t>河段S</t>
    <phoneticPr fontId="1" type="noConversion"/>
  </si>
  <si>
    <t>t统计量</t>
    <phoneticPr fontId="1" type="noConversion"/>
  </si>
  <si>
    <t>4. 验证</t>
    <phoneticPr fontId="1" type="noConversion"/>
  </si>
  <si>
    <t>t临界值</t>
    <phoneticPr fontId="1" type="noConversion"/>
  </si>
  <si>
    <t>|t|</t>
    <phoneticPr fontId="1" type="noConversion"/>
  </si>
  <si>
    <t>|t|&gt;t临界值，拒绝原假设，飞云江河两个河段的泥沙颗粒组成有显著差异</t>
    <phoneticPr fontId="1" type="noConversion"/>
  </si>
  <si>
    <t>某地区一年内10次人工降雨试验，得到作业区与对照区降雨量表，问人工降雨效果是否显著？</t>
  </si>
  <si>
    <t>序号</t>
  </si>
  <si>
    <t>作业区雨量</t>
  </si>
  <si>
    <t>对照区雨量</t>
  </si>
  <si>
    <t>人工降雨效果不显著</t>
    <phoneticPr fontId="1" type="noConversion"/>
  </si>
  <si>
    <t>作业区</t>
    <phoneticPr fontId="1" type="noConversion"/>
  </si>
  <si>
    <t>对照区</t>
    <phoneticPr fontId="1" type="noConversion"/>
  </si>
  <si>
    <t>3. 验证</t>
    <phoneticPr fontId="1" type="noConversion"/>
  </si>
  <si>
    <t>|t|&gt;t临界值，拒绝原假设，人工降水效果显著</t>
    <phoneticPr fontId="1" type="noConversion"/>
  </si>
  <si>
    <t>1983年农业产值结构</t>
  </si>
  <si>
    <t>种植业</t>
  </si>
  <si>
    <t>林业</t>
  </si>
  <si>
    <t>牧业</t>
  </si>
  <si>
    <t>副业</t>
  </si>
  <si>
    <t>渔业</t>
  </si>
  <si>
    <t>全市</t>
  </si>
  <si>
    <t>A县</t>
  </si>
  <si>
    <t>B县</t>
  </si>
  <si>
    <t>分别检验两个县的农业产值结构同全市的农业产值是否显著差异</t>
  </si>
  <si>
    <t>1. 提出原假设</t>
    <phoneticPr fontId="1" type="noConversion"/>
  </si>
  <si>
    <t>假设2：B县的农业产值结构同全市的农业产值无显著差异</t>
    <phoneticPr fontId="1" type="noConversion"/>
  </si>
  <si>
    <t>假设1：A县的农业产值结构同全市的农业产值无显著差异</t>
    <phoneticPr fontId="1" type="noConversion"/>
  </si>
  <si>
    <t>适应性检验</t>
    <phoneticPr fontId="1" type="noConversion"/>
  </si>
  <si>
    <t>A县</t>
    <phoneticPr fontId="1" type="noConversion"/>
  </si>
  <si>
    <t>B县</t>
    <phoneticPr fontId="1" type="noConversion"/>
  </si>
  <si>
    <t>种植业</t>
    <phoneticPr fontId="1" type="noConversion"/>
  </si>
  <si>
    <t>农业</t>
    <phoneticPr fontId="1" type="noConversion"/>
  </si>
  <si>
    <t>牧业</t>
    <phoneticPr fontId="1" type="noConversion"/>
  </si>
  <si>
    <t>副业</t>
    <phoneticPr fontId="1" type="noConversion"/>
  </si>
  <si>
    <t>X²</t>
    <phoneticPr fontId="1" type="noConversion"/>
  </si>
  <si>
    <t>X²临界值</t>
    <phoneticPr fontId="1" type="noConversion"/>
  </si>
  <si>
    <t>比较</t>
    <phoneticPr fontId="1" type="noConversion"/>
  </si>
  <si>
    <t>X²&gt;X临界值，拒绝原假设，B县的农业产值结构同全市的农业产值差异显著</t>
    <phoneticPr fontId="1" type="noConversion"/>
  </si>
  <si>
    <t>X²&lt;X临界值，接收原假设，A县的农业产值结构同全市的农业产值无显著差异</t>
    <phoneticPr fontId="1" type="noConversion"/>
  </si>
  <si>
    <t>降水资料</t>
  </si>
  <si>
    <t>该降水资料数据服从正太分布</t>
    <phoneticPr fontId="1" type="noConversion"/>
  </si>
  <si>
    <t>全距</t>
    <phoneticPr fontId="1" type="noConversion"/>
  </si>
  <si>
    <t>假设组数</t>
    <phoneticPr fontId="1" type="noConversion"/>
  </si>
  <si>
    <t>组距</t>
    <phoneticPr fontId="1" type="noConversion"/>
  </si>
  <si>
    <t>确定组数</t>
    <phoneticPr fontId="1" type="noConversion"/>
  </si>
  <si>
    <t>频数/实际次数</t>
    <phoneticPr fontId="1" type="noConversion"/>
  </si>
  <si>
    <t>2. 数据分组和计算统计量</t>
    <phoneticPr fontId="1" type="noConversion"/>
  </si>
  <si>
    <t>平均数</t>
    <phoneticPr fontId="1" type="noConversion"/>
  </si>
  <si>
    <t>u值</t>
    <phoneticPr fontId="1" type="noConversion"/>
  </si>
  <si>
    <t>正太分布表φ(u)</t>
    <phoneticPr fontId="1" type="noConversion"/>
  </si>
  <si>
    <t>nφ(u)</t>
    <phoneticPr fontId="1" type="noConversion"/>
  </si>
  <si>
    <t>理论次数</t>
    <phoneticPr fontId="1" type="noConversion"/>
  </si>
  <si>
    <t>(理论-实际)²/理论</t>
    <phoneticPr fontId="1" type="noConversion"/>
  </si>
  <si>
    <t>置信度</t>
  </si>
  <si>
    <t>X²&lt;X²临界值，接收原假设，该降水资料数据服从正太分布</t>
    <phoneticPr fontId="1" type="noConversion"/>
  </si>
  <si>
    <t>简单线性相关程度的度量</t>
    <phoneticPr fontId="1" type="noConversion"/>
  </si>
  <si>
    <t>计算人均GPD和城市化率的相关程度</t>
    <phoneticPr fontId="1" type="noConversion"/>
  </si>
  <si>
    <t>人均产出</t>
    <phoneticPr fontId="10" type="noConversion"/>
  </si>
  <si>
    <r>
      <t>人均</t>
    </r>
    <r>
      <rPr>
        <sz val="10.5"/>
        <rFont val="Times New Roman"/>
        <family val="1"/>
      </rPr>
      <t>GDP</t>
    </r>
    <phoneticPr fontId="10" type="noConversion"/>
  </si>
  <si>
    <t>城市化率</t>
    <phoneticPr fontId="10" type="noConversion"/>
  </si>
  <si>
    <t>1. 相关系数(r)</t>
    <phoneticPr fontId="1" type="noConversion"/>
  </si>
  <si>
    <t>人均GDP</t>
    <phoneticPr fontId="1" type="noConversion"/>
  </si>
  <si>
    <t>城市化率</t>
    <phoneticPr fontId="1" type="noConversion"/>
  </si>
  <si>
    <t>总和</t>
    <phoneticPr fontId="1" type="noConversion"/>
  </si>
  <si>
    <t>和的平方</t>
    <phoneticPr fontId="1" type="noConversion"/>
  </si>
  <si>
    <t>平方和</t>
    <phoneticPr fontId="1" type="noConversion"/>
  </si>
  <si>
    <t>人均GDP和城市化率的乘积和</t>
    <phoneticPr fontId="1" type="noConversion"/>
  </si>
  <si>
    <t>Lxy</t>
    <phoneticPr fontId="1" type="noConversion"/>
  </si>
  <si>
    <t>Lxx</t>
    <phoneticPr fontId="1" type="noConversion"/>
  </si>
  <si>
    <t>Lyy</t>
    <phoneticPr fontId="1" type="noConversion"/>
  </si>
  <si>
    <t>相关系数r</t>
    <phoneticPr fontId="1" type="noConversion"/>
  </si>
  <si>
    <t>2. 顺序（等级）相关系数（Rs）</t>
    <phoneticPr fontId="1" type="noConversion"/>
  </si>
  <si>
    <t>人均GDP排名</t>
    <phoneticPr fontId="1" type="noConversion"/>
  </si>
  <si>
    <t>城市化率排名</t>
    <phoneticPr fontId="1" type="noConversion"/>
  </si>
  <si>
    <t>排名差</t>
    <phoneticPr fontId="1" type="noConversion"/>
  </si>
  <si>
    <t>排名差di平方和</t>
    <phoneticPr fontId="1" type="noConversion"/>
  </si>
  <si>
    <t>rs</t>
    <phoneticPr fontId="1" type="noConversion"/>
  </si>
  <si>
    <t>平均寿命</t>
  </si>
  <si>
    <t>识字率</t>
  </si>
  <si>
    <t>综合入学率</t>
  </si>
  <si>
    <r>
      <t>人均</t>
    </r>
    <r>
      <rPr>
        <sz val="12"/>
        <color rgb="FF000000"/>
        <rFont val="Arial"/>
        <family val="2"/>
      </rPr>
      <t>GDP</t>
    </r>
  </si>
  <si>
    <t>面积</t>
  </si>
  <si>
    <t>Afghanistan</t>
  </si>
  <si>
    <t>Cambodia</t>
  </si>
  <si>
    <t>China</t>
  </si>
  <si>
    <t>India</t>
  </si>
  <si>
    <t>Indonesia</t>
  </si>
  <si>
    <t>Iran</t>
  </si>
  <si>
    <t>Korea</t>
  </si>
  <si>
    <t>Japan</t>
  </si>
  <si>
    <t>Jordan</t>
  </si>
  <si>
    <t>Kazakhstan</t>
  </si>
  <si>
    <t>Nepal</t>
  </si>
  <si>
    <t>Oman</t>
  </si>
  <si>
    <t>Pakistan</t>
  </si>
  <si>
    <t>VietNam</t>
  </si>
  <si>
    <t>Philippines</t>
  </si>
  <si>
    <t>Malaysia</t>
  </si>
  <si>
    <t>SaudiArabia</t>
  </si>
  <si>
    <t>Israel</t>
  </si>
  <si>
    <t>Turkey</t>
  </si>
  <si>
    <t>Qatar</t>
  </si>
  <si>
    <t>x</t>
    <phoneticPr fontId="10" type="noConversion"/>
  </si>
  <si>
    <t>y</t>
    <phoneticPr fontId="10" type="noConversion"/>
  </si>
  <si>
    <t>z</t>
    <phoneticPr fontId="10" type="noConversion"/>
  </si>
  <si>
    <t>1.一次多项式</t>
    <phoneticPr fontId="1" type="noConversion"/>
  </si>
  <si>
    <t>x</t>
    <phoneticPr fontId="1" type="noConversion"/>
  </si>
  <si>
    <t>y</t>
    <phoneticPr fontId="1" type="noConversion"/>
  </si>
  <si>
    <t>2.二次多项式</t>
    <phoneticPr fontId="1" type="noConversion"/>
  </si>
  <si>
    <t>xx</t>
    <phoneticPr fontId="1" type="noConversion"/>
  </si>
  <si>
    <t>yy</t>
    <phoneticPr fontId="1" type="noConversion"/>
  </si>
  <si>
    <t>xy</t>
    <phoneticPr fontId="1" type="noConversion"/>
  </si>
  <si>
    <t>3.三次多项式</t>
    <phoneticPr fontId="1" type="noConversion"/>
  </si>
  <si>
    <t>xxy</t>
    <phoneticPr fontId="1" type="noConversion"/>
  </si>
  <si>
    <t>xyy</t>
    <phoneticPr fontId="1" type="noConversion"/>
  </si>
  <si>
    <t>xxx</t>
    <phoneticPr fontId="1" type="noConversion"/>
  </si>
  <si>
    <t>yyy</t>
    <phoneticPr fontId="1" type="noConversion"/>
  </si>
  <si>
    <t>F&lt;F临界值，线性回归不显著</t>
    <phoneticPr fontId="1" type="noConversion"/>
  </si>
  <si>
    <t>第一自由度</t>
  </si>
  <si>
    <t>第二自由度</t>
  </si>
  <si>
    <t>F临界值</t>
  </si>
  <si>
    <t>F</t>
  </si>
  <si>
    <t>F&lt;F临界值，线性回归不显著</t>
  </si>
  <si>
    <t>F&gt;F临界值，线性回归显著</t>
    <phoneticPr fontId="1" type="noConversion"/>
  </si>
  <si>
    <t>趋势面适度的逐次检验</t>
    <phoneticPr fontId="1" type="noConversion"/>
  </si>
  <si>
    <t>离差来源</t>
    <phoneticPr fontId="1" type="noConversion"/>
  </si>
  <si>
    <t>均方差</t>
    <phoneticPr fontId="1" type="noConversion"/>
  </si>
  <si>
    <t>F检验</t>
    <phoneticPr fontId="1" type="noConversion"/>
  </si>
  <si>
    <t>三次回归</t>
    <phoneticPr fontId="1" type="noConversion"/>
  </si>
  <si>
    <t>三次剩余</t>
    <phoneticPr fontId="1" type="noConversion"/>
  </si>
  <si>
    <t>二次回归</t>
    <phoneticPr fontId="1" type="noConversion"/>
  </si>
  <si>
    <t>二次剩余</t>
    <phoneticPr fontId="1" type="noConversion"/>
  </si>
  <si>
    <t>又二次增高至三次的回归</t>
    <phoneticPr fontId="1" type="noConversion"/>
  </si>
  <si>
    <t>北  京</t>
  </si>
  <si>
    <t>天  津</t>
  </si>
  <si>
    <t>河  北</t>
  </si>
  <si>
    <t>山  西</t>
  </si>
  <si>
    <t>内蒙古</t>
  </si>
  <si>
    <t>辽  宁</t>
  </si>
  <si>
    <t>吉  林</t>
  </si>
  <si>
    <t>黑龙江</t>
  </si>
  <si>
    <t>上  海</t>
  </si>
  <si>
    <t>江  苏</t>
  </si>
  <si>
    <t>浙  江</t>
  </si>
  <si>
    <t>安  徽</t>
  </si>
  <si>
    <t>福  建</t>
  </si>
  <si>
    <t>江  西</t>
  </si>
  <si>
    <t>山  东</t>
  </si>
  <si>
    <t>河  南</t>
  </si>
  <si>
    <t>湖  北</t>
  </si>
  <si>
    <t>湖  南</t>
  </si>
  <si>
    <t>广  东</t>
  </si>
  <si>
    <t>广  西</t>
  </si>
  <si>
    <t>海  南</t>
  </si>
  <si>
    <t>重  庆</t>
  </si>
  <si>
    <t>四  川</t>
  </si>
  <si>
    <t>贵  州</t>
  </si>
  <si>
    <t>云  南</t>
  </si>
  <si>
    <t>西  藏</t>
  </si>
  <si>
    <t>陕  西</t>
  </si>
  <si>
    <t>甘  肃</t>
  </si>
  <si>
    <t>青  海</t>
  </si>
  <si>
    <t>宁  夏</t>
  </si>
  <si>
    <t>新  疆</t>
  </si>
  <si>
    <t>地区</t>
  </si>
  <si>
    <t>工业增长值</t>
  </si>
  <si>
    <t>全社会固定资产投资</t>
  </si>
  <si>
    <t>职工平均工资</t>
  </si>
  <si>
    <t>城镇居民消费性支出</t>
  </si>
  <si>
    <t>农村居民消费性支出</t>
  </si>
  <si>
    <t>居民消费价格指数</t>
  </si>
  <si>
    <t>商品零售价格指数</t>
  </si>
  <si>
    <t>货物周转量</t>
  </si>
  <si>
    <t>旅客周转量</t>
  </si>
  <si>
    <t>A1</t>
    <phoneticPr fontId="1" type="noConversion"/>
  </si>
  <si>
    <t>A2</t>
    <phoneticPr fontId="1" type="noConversion"/>
  </si>
  <si>
    <t>U1</t>
    <phoneticPr fontId="1" type="noConversion"/>
  </si>
  <si>
    <t>U2</t>
    <phoneticPr fontId="1" type="noConversion"/>
  </si>
  <si>
    <t>Kaiser-Meyer-Olkin 測量取樣適當性。</t>
  </si>
  <si>
    <t>&gt;0.6，该数据适合做因子分析</t>
    <phoneticPr fontId="1" type="noConversion"/>
  </si>
  <si>
    <t>Bartlett 的球形檢定</t>
  </si>
  <si>
    <t>大約 卡方</t>
  </si>
  <si>
    <t>df</t>
  </si>
  <si>
    <t>顯著性</t>
  </si>
  <si>
    <t>&lt;0.05，该数据适合做因子分析</t>
    <phoneticPr fontId="1" type="noConversion"/>
  </si>
  <si>
    <t>第一主成分</t>
    <phoneticPr fontId="1" type="noConversion"/>
  </si>
  <si>
    <t>第二主成分</t>
    <phoneticPr fontId="1" type="noConversion"/>
  </si>
  <si>
    <t>综合得分评价</t>
    <phoneticPr fontId="1" type="noConversion"/>
  </si>
  <si>
    <t>极差标准化→</t>
    <phoneticPr fontId="1" type="noConversion"/>
  </si>
  <si>
    <t>标准差标准化→</t>
    <phoneticPr fontId="1" type="noConversion"/>
  </si>
  <si>
    <t>x1</t>
    <phoneticPr fontId="1" type="noConversion"/>
  </si>
  <si>
    <t>x2</t>
    <phoneticPr fontId="1" type="noConversion"/>
  </si>
  <si>
    <t>x3</t>
    <phoneticPr fontId="1" type="noConversion"/>
  </si>
  <si>
    <t>x4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</si>
</sst>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 "/>
    <numFmt numFmtId="177" formatCode="0.00000_ "/>
    <numFmt numFmtId="178" formatCode="0.000000000_ "/>
  </numFmts>
  <fonts count="1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22"/>
      <color rgb="FF000000"/>
      <name val="Calibri"/>
      <family val="2"/>
    </font>
    <font>
      <sz val="9"/>
      <name val="等线"/>
      <family val="2"/>
      <charset val="134"/>
      <scheme val="minor"/>
    </font>
    <font>
      <sz val="11"/>
      <color rgb="FF000000"/>
      <name val="宋体"/>
      <family val="3"/>
      <charset val="134"/>
    </font>
    <font>
      <vertAlign val="superscript"/>
      <sz val="11"/>
      <color rgb="FF000000"/>
      <name val="宋体"/>
      <family val="3"/>
      <charset val="134"/>
    </font>
    <font>
      <sz val="11"/>
      <color rgb="FFFF0000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0.5"/>
      <name val="宋体"/>
      <family val="3"/>
      <charset val="134"/>
    </font>
    <font>
      <sz val="9"/>
      <name val="宋体"/>
      <family val="3"/>
      <charset val="134"/>
    </font>
    <font>
      <sz val="10.5"/>
      <name val="Times New Roman"/>
      <family val="1"/>
    </font>
    <font>
      <sz val="18"/>
      <name val="Arial"/>
      <family val="2"/>
    </font>
    <font>
      <sz val="12"/>
      <color rgb="FF000000"/>
      <name val="宋体"/>
      <family val="3"/>
      <charset val="134"/>
    </font>
    <font>
      <sz val="12"/>
      <color rgb="FF000000"/>
      <name val="Arial"/>
      <family val="2"/>
    </font>
    <font>
      <sz val="11"/>
      <color theme="1"/>
      <name val="等线"/>
      <family val="2"/>
    </font>
    <font>
      <b/>
      <sz val="14"/>
      <color rgb="FF0000FF"/>
      <name val="Times New Roman"/>
      <family val="1"/>
    </font>
    <font>
      <b/>
      <sz val="14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2" borderId="0" xfId="0" applyFill="1"/>
    <xf numFmtId="0" fontId="2" fillId="0" borderId="0" xfId="0" applyFont="1"/>
    <xf numFmtId="0" fontId="2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2" fillId="0" borderId="4" xfId="0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0" xfId="0" applyFill="1" applyAlignment="1">
      <alignment vertical="center"/>
    </xf>
    <xf numFmtId="0" fontId="7" fillId="0" borderId="0" xfId="0" applyFont="1"/>
    <xf numFmtId="0" fontId="7" fillId="0" borderId="0" xfId="0" applyFont="1" applyBorder="1"/>
    <xf numFmtId="0" fontId="0" fillId="2" borderId="0" xfId="0" applyFill="1" applyAlignment="1">
      <alignment vertical="center" wrapText="1"/>
    </xf>
    <xf numFmtId="0" fontId="8" fillId="0" borderId="0" xfId="0" applyFont="1"/>
    <xf numFmtId="0" fontId="2" fillId="2" borderId="0" xfId="0" applyFont="1" applyFill="1"/>
    <xf numFmtId="0" fontId="2" fillId="0" borderId="0" xfId="0" applyFont="1" applyBorder="1"/>
    <xf numFmtId="0" fontId="0" fillId="2" borderId="1" xfId="0" applyFill="1" applyBorder="1"/>
    <xf numFmtId="0" fontId="0" fillId="2" borderId="4" xfId="0" applyFill="1" applyBorder="1"/>
    <xf numFmtId="0" fontId="0" fillId="2" borderId="9" xfId="0" applyFill="1" applyBorder="1" applyAlignment="1">
      <alignment vertical="center"/>
    </xf>
    <xf numFmtId="0" fontId="0" fillId="2" borderId="9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wrapText="1"/>
    </xf>
    <xf numFmtId="0" fontId="0" fillId="2" borderId="7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7" fillId="2" borderId="0" xfId="0" applyFont="1" applyFill="1"/>
    <xf numFmtId="0" fontId="9" fillId="2" borderId="0" xfId="0" applyFont="1" applyFill="1" applyAlignment="1">
      <alignment horizontal="right" vertical="center"/>
    </xf>
    <xf numFmtId="176" fontId="11" fillId="2" borderId="0" xfId="0" applyNumberFormat="1" applyFont="1" applyFill="1" applyAlignment="1">
      <alignment vertical="center"/>
    </xf>
    <xf numFmtId="176" fontId="0" fillId="0" borderId="0" xfId="0" applyNumberFormat="1"/>
    <xf numFmtId="177" fontId="0" fillId="0" borderId="0" xfId="0" applyNumberFormat="1"/>
    <xf numFmtId="178" fontId="0" fillId="0" borderId="0" xfId="0" applyNumberFormat="1"/>
    <xf numFmtId="0" fontId="12" fillId="0" borderId="0" xfId="0" applyFont="1" applyAlignment="1">
      <alignment vertical="center" wrapText="1"/>
    </xf>
    <xf numFmtId="0" fontId="13" fillId="0" borderId="0" xfId="0" applyFont="1" applyAlignment="1">
      <alignment horizontal="left" vertical="center" wrapText="1" readingOrder="1"/>
    </xf>
    <xf numFmtId="0" fontId="14" fillId="0" borderId="0" xfId="0" applyFont="1" applyAlignment="1">
      <alignment horizontal="left" vertical="center" wrapText="1" readingOrder="1"/>
    </xf>
    <xf numFmtId="0" fontId="14" fillId="0" borderId="0" xfId="0" applyFont="1" applyAlignment="1">
      <alignment horizontal="right" vertical="center" wrapText="1" readingOrder="1"/>
    </xf>
    <xf numFmtId="0" fontId="10" fillId="2" borderId="0" xfId="0" applyFont="1" applyFill="1"/>
    <xf numFmtId="0" fontId="15" fillId="0" borderId="0" xfId="0" applyFont="1"/>
    <xf numFmtId="0" fontId="0" fillId="0" borderId="0" xfId="0" applyAlignment="1">
      <alignment wrapText="1"/>
    </xf>
    <xf numFmtId="0" fontId="16" fillId="0" borderId="10" xfId="0" applyFont="1" applyBorder="1" applyAlignment="1">
      <alignment horizontal="center" vertical="center" wrapText="1"/>
    </xf>
    <xf numFmtId="0" fontId="17" fillId="0" borderId="10" xfId="0" applyFont="1" applyBorder="1" applyAlignment="1">
      <alignment horizontal="center" vertical="center" wrapText="1"/>
    </xf>
    <xf numFmtId="0" fontId="17" fillId="0" borderId="11" xfId="0" applyFont="1" applyBorder="1" applyAlignment="1">
      <alignment horizontal="center" vertical="center" wrapText="1"/>
    </xf>
    <xf numFmtId="0" fontId="16" fillId="0" borderId="12" xfId="0" applyFont="1" applyBorder="1" applyAlignment="1">
      <alignment horizontal="center" vertical="center" wrapText="1"/>
    </xf>
    <xf numFmtId="0" fontId="17" fillId="0" borderId="12" xfId="0" applyFont="1" applyBorder="1" applyAlignment="1">
      <alignment horizontal="center" vertical="center" wrapText="1"/>
    </xf>
    <xf numFmtId="0" fontId="17" fillId="0" borderId="13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1940-1968</a:t>
            </a:r>
            <a:r>
              <a:rPr lang="zh-CN" altLang="en-US"/>
              <a:t>年流量变化图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流量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统计分组和统计指标计算!$A$50:$A$78</c:f>
              <c:numCache>
                <c:formatCode>General</c:formatCode>
                <c:ptCount val="29"/>
                <c:pt idx="0">
                  <c:v>1940</c:v>
                </c:pt>
                <c:pt idx="1">
                  <c:v>1941</c:v>
                </c:pt>
                <c:pt idx="2">
                  <c:v>1942</c:v>
                </c:pt>
                <c:pt idx="3">
                  <c:v>1943</c:v>
                </c:pt>
                <c:pt idx="4">
                  <c:v>1944</c:v>
                </c:pt>
                <c:pt idx="5">
                  <c:v>1945</c:v>
                </c:pt>
                <c:pt idx="6">
                  <c:v>1946</c:v>
                </c:pt>
                <c:pt idx="7">
                  <c:v>1947</c:v>
                </c:pt>
                <c:pt idx="8">
                  <c:v>1948</c:v>
                </c:pt>
                <c:pt idx="9">
                  <c:v>1949</c:v>
                </c:pt>
                <c:pt idx="10">
                  <c:v>1950</c:v>
                </c:pt>
                <c:pt idx="11">
                  <c:v>1951</c:v>
                </c:pt>
                <c:pt idx="12">
                  <c:v>1952</c:v>
                </c:pt>
                <c:pt idx="13">
                  <c:v>1953</c:v>
                </c:pt>
                <c:pt idx="14">
                  <c:v>1954</c:v>
                </c:pt>
                <c:pt idx="15">
                  <c:v>1955</c:v>
                </c:pt>
                <c:pt idx="16">
                  <c:v>1956</c:v>
                </c:pt>
                <c:pt idx="17">
                  <c:v>1957</c:v>
                </c:pt>
                <c:pt idx="18">
                  <c:v>1958</c:v>
                </c:pt>
                <c:pt idx="19">
                  <c:v>1959</c:v>
                </c:pt>
                <c:pt idx="20">
                  <c:v>1960</c:v>
                </c:pt>
                <c:pt idx="21">
                  <c:v>1961</c:v>
                </c:pt>
                <c:pt idx="22">
                  <c:v>1962</c:v>
                </c:pt>
                <c:pt idx="23">
                  <c:v>1963</c:v>
                </c:pt>
                <c:pt idx="24">
                  <c:v>1964</c:v>
                </c:pt>
                <c:pt idx="25">
                  <c:v>1965</c:v>
                </c:pt>
                <c:pt idx="26">
                  <c:v>1966</c:v>
                </c:pt>
                <c:pt idx="27">
                  <c:v>1967</c:v>
                </c:pt>
                <c:pt idx="28">
                  <c:v>1968</c:v>
                </c:pt>
              </c:numCache>
            </c:numRef>
          </c:cat>
          <c:val>
            <c:numRef>
              <c:f>统计分组和统计指标计算!$B$50:$B$78</c:f>
              <c:numCache>
                <c:formatCode>General</c:formatCode>
                <c:ptCount val="29"/>
                <c:pt idx="0">
                  <c:v>9.8000000000000007</c:v>
                </c:pt>
                <c:pt idx="1">
                  <c:v>3</c:v>
                </c:pt>
                <c:pt idx="2">
                  <c:v>7</c:v>
                </c:pt>
                <c:pt idx="3">
                  <c:v>4.8</c:v>
                </c:pt>
                <c:pt idx="4">
                  <c:v>5.8</c:v>
                </c:pt>
                <c:pt idx="5">
                  <c:v>5.8</c:v>
                </c:pt>
                <c:pt idx="6">
                  <c:v>12</c:v>
                </c:pt>
                <c:pt idx="7">
                  <c:v>8.9</c:v>
                </c:pt>
                <c:pt idx="8">
                  <c:v>8</c:v>
                </c:pt>
                <c:pt idx="9">
                  <c:v>1.2</c:v>
                </c:pt>
                <c:pt idx="10">
                  <c:v>10.5</c:v>
                </c:pt>
                <c:pt idx="11">
                  <c:v>18</c:v>
                </c:pt>
                <c:pt idx="12">
                  <c:v>20</c:v>
                </c:pt>
                <c:pt idx="13">
                  <c:v>3</c:v>
                </c:pt>
                <c:pt idx="14">
                  <c:v>17</c:v>
                </c:pt>
                <c:pt idx="15">
                  <c:v>7</c:v>
                </c:pt>
                <c:pt idx="16">
                  <c:v>6</c:v>
                </c:pt>
                <c:pt idx="17">
                  <c:v>5</c:v>
                </c:pt>
                <c:pt idx="18">
                  <c:v>7</c:v>
                </c:pt>
                <c:pt idx="19">
                  <c:v>16.5</c:v>
                </c:pt>
                <c:pt idx="20">
                  <c:v>15</c:v>
                </c:pt>
                <c:pt idx="21">
                  <c:v>18</c:v>
                </c:pt>
                <c:pt idx="22">
                  <c:v>4.5</c:v>
                </c:pt>
                <c:pt idx="23">
                  <c:v>14</c:v>
                </c:pt>
                <c:pt idx="24">
                  <c:v>14</c:v>
                </c:pt>
                <c:pt idx="25">
                  <c:v>13</c:v>
                </c:pt>
                <c:pt idx="26">
                  <c:v>14.5</c:v>
                </c:pt>
                <c:pt idx="27">
                  <c:v>14.5</c:v>
                </c:pt>
                <c:pt idx="28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C2-4D48-BCEB-7BD3682292ED}"/>
            </c:ext>
          </c:extLst>
        </c:ser>
        <c:ser>
          <c:idx val="1"/>
          <c:order val="1"/>
          <c:tx>
            <c:v>滑动平均 3年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统计分组和统计指标计算!$A$50:$A$78</c:f>
              <c:numCache>
                <c:formatCode>General</c:formatCode>
                <c:ptCount val="29"/>
                <c:pt idx="0">
                  <c:v>1940</c:v>
                </c:pt>
                <c:pt idx="1">
                  <c:v>1941</c:v>
                </c:pt>
                <c:pt idx="2">
                  <c:v>1942</c:v>
                </c:pt>
                <c:pt idx="3">
                  <c:v>1943</c:v>
                </c:pt>
                <c:pt idx="4">
                  <c:v>1944</c:v>
                </c:pt>
                <c:pt idx="5">
                  <c:v>1945</c:v>
                </c:pt>
                <c:pt idx="6">
                  <c:v>1946</c:v>
                </c:pt>
                <c:pt idx="7">
                  <c:v>1947</c:v>
                </c:pt>
                <c:pt idx="8">
                  <c:v>1948</c:v>
                </c:pt>
                <c:pt idx="9">
                  <c:v>1949</c:v>
                </c:pt>
                <c:pt idx="10">
                  <c:v>1950</c:v>
                </c:pt>
                <c:pt idx="11">
                  <c:v>1951</c:v>
                </c:pt>
                <c:pt idx="12">
                  <c:v>1952</c:v>
                </c:pt>
                <c:pt idx="13">
                  <c:v>1953</c:v>
                </c:pt>
                <c:pt idx="14">
                  <c:v>1954</c:v>
                </c:pt>
                <c:pt idx="15">
                  <c:v>1955</c:v>
                </c:pt>
                <c:pt idx="16">
                  <c:v>1956</c:v>
                </c:pt>
                <c:pt idx="17">
                  <c:v>1957</c:v>
                </c:pt>
                <c:pt idx="18">
                  <c:v>1958</c:v>
                </c:pt>
                <c:pt idx="19">
                  <c:v>1959</c:v>
                </c:pt>
                <c:pt idx="20">
                  <c:v>1960</c:v>
                </c:pt>
                <c:pt idx="21">
                  <c:v>1961</c:v>
                </c:pt>
                <c:pt idx="22">
                  <c:v>1962</c:v>
                </c:pt>
                <c:pt idx="23">
                  <c:v>1963</c:v>
                </c:pt>
                <c:pt idx="24">
                  <c:v>1964</c:v>
                </c:pt>
                <c:pt idx="25">
                  <c:v>1965</c:v>
                </c:pt>
                <c:pt idx="26">
                  <c:v>1966</c:v>
                </c:pt>
                <c:pt idx="27">
                  <c:v>1967</c:v>
                </c:pt>
                <c:pt idx="28">
                  <c:v>1968</c:v>
                </c:pt>
              </c:numCache>
            </c:numRef>
          </c:cat>
          <c:val>
            <c:numRef>
              <c:f>统计分组和统计指标计算!$D$50:$D$76</c:f>
              <c:numCache>
                <c:formatCode>General</c:formatCode>
                <c:ptCount val="27"/>
                <c:pt idx="0">
                  <c:v>6.6000000000000005</c:v>
                </c:pt>
                <c:pt idx="1">
                  <c:v>4.9333333333333336</c:v>
                </c:pt>
                <c:pt idx="2">
                  <c:v>5.8666666666666671</c:v>
                </c:pt>
                <c:pt idx="3">
                  <c:v>5.4666666666666659</c:v>
                </c:pt>
                <c:pt idx="4">
                  <c:v>7.8666666666666671</c:v>
                </c:pt>
                <c:pt idx="5">
                  <c:v>8.9</c:v>
                </c:pt>
                <c:pt idx="6">
                  <c:v>9.6333333333333329</c:v>
                </c:pt>
                <c:pt idx="7">
                  <c:v>6.0333333333333323</c:v>
                </c:pt>
                <c:pt idx="8">
                  <c:v>6.5666666666666664</c:v>
                </c:pt>
                <c:pt idx="9">
                  <c:v>9.9</c:v>
                </c:pt>
                <c:pt idx="10">
                  <c:v>16.166666666666668</c:v>
                </c:pt>
                <c:pt idx="11">
                  <c:v>13.666666666666666</c:v>
                </c:pt>
                <c:pt idx="12">
                  <c:v>13.333333333333334</c:v>
                </c:pt>
                <c:pt idx="13">
                  <c:v>9</c:v>
                </c:pt>
                <c:pt idx="14">
                  <c:v>10</c:v>
                </c:pt>
                <c:pt idx="15">
                  <c:v>6</c:v>
                </c:pt>
                <c:pt idx="16">
                  <c:v>6</c:v>
                </c:pt>
                <c:pt idx="17">
                  <c:v>9.5</c:v>
                </c:pt>
                <c:pt idx="18">
                  <c:v>12.833333333333334</c:v>
                </c:pt>
                <c:pt idx="19">
                  <c:v>16.5</c:v>
                </c:pt>
                <c:pt idx="20">
                  <c:v>12.5</c:v>
                </c:pt>
                <c:pt idx="21">
                  <c:v>12.166666666666666</c:v>
                </c:pt>
                <c:pt idx="22">
                  <c:v>10.833333333333334</c:v>
                </c:pt>
                <c:pt idx="23">
                  <c:v>13.666666666666666</c:v>
                </c:pt>
                <c:pt idx="24">
                  <c:v>13.833333333333334</c:v>
                </c:pt>
                <c:pt idx="25">
                  <c:v>14</c:v>
                </c:pt>
                <c:pt idx="26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C2-4D48-BCEB-7BD3682292ED}"/>
            </c:ext>
          </c:extLst>
        </c:ser>
        <c:ser>
          <c:idx val="2"/>
          <c:order val="2"/>
          <c:tx>
            <c:v>滑动平均 5年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统计分组和统计指标计算!$A$50:$A$78</c:f>
              <c:numCache>
                <c:formatCode>General</c:formatCode>
                <c:ptCount val="29"/>
                <c:pt idx="0">
                  <c:v>1940</c:v>
                </c:pt>
                <c:pt idx="1">
                  <c:v>1941</c:v>
                </c:pt>
                <c:pt idx="2">
                  <c:v>1942</c:v>
                </c:pt>
                <c:pt idx="3">
                  <c:v>1943</c:v>
                </c:pt>
                <c:pt idx="4">
                  <c:v>1944</c:v>
                </c:pt>
                <c:pt idx="5">
                  <c:v>1945</c:v>
                </c:pt>
                <c:pt idx="6">
                  <c:v>1946</c:v>
                </c:pt>
                <c:pt idx="7">
                  <c:v>1947</c:v>
                </c:pt>
                <c:pt idx="8">
                  <c:v>1948</c:v>
                </c:pt>
                <c:pt idx="9">
                  <c:v>1949</c:v>
                </c:pt>
                <c:pt idx="10">
                  <c:v>1950</c:v>
                </c:pt>
                <c:pt idx="11">
                  <c:v>1951</c:v>
                </c:pt>
                <c:pt idx="12">
                  <c:v>1952</c:v>
                </c:pt>
                <c:pt idx="13">
                  <c:v>1953</c:v>
                </c:pt>
                <c:pt idx="14">
                  <c:v>1954</c:v>
                </c:pt>
                <c:pt idx="15">
                  <c:v>1955</c:v>
                </c:pt>
                <c:pt idx="16">
                  <c:v>1956</c:v>
                </c:pt>
                <c:pt idx="17">
                  <c:v>1957</c:v>
                </c:pt>
                <c:pt idx="18">
                  <c:v>1958</c:v>
                </c:pt>
                <c:pt idx="19">
                  <c:v>1959</c:v>
                </c:pt>
                <c:pt idx="20">
                  <c:v>1960</c:v>
                </c:pt>
                <c:pt idx="21">
                  <c:v>1961</c:v>
                </c:pt>
                <c:pt idx="22">
                  <c:v>1962</c:v>
                </c:pt>
                <c:pt idx="23">
                  <c:v>1963</c:v>
                </c:pt>
                <c:pt idx="24">
                  <c:v>1964</c:v>
                </c:pt>
                <c:pt idx="25">
                  <c:v>1965</c:v>
                </c:pt>
                <c:pt idx="26">
                  <c:v>1966</c:v>
                </c:pt>
                <c:pt idx="27">
                  <c:v>1967</c:v>
                </c:pt>
                <c:pt idx="28">
                  <c:v>1968</c:v>
                </c:pt>
              </c:numCache>
            </c:numRef>
          </c:cat>
          <c:val>
            <c:numRef>
              <c:f>统计分组和统计指标计算!$F$50:$F$74</c:f>
              <c:numCache>
                <c:formatCode>General</c:formatCode>
                <c:ptCount val="25"/>
                <c:pt idx="0">
                  <c:v>6.08</c:v>
                </c:pt>
                <c:pt idx="1">
                  <c:v>5.28</c:v>
                </c:pt>
                <c:pt idx="2">
                  <c:v>7.080000000000001</c:v>
                </c:pt>
                <c:pt idx="3">
                  <c:v>7.4599999999999991</c:v>
                </c:pt>
                <c:pt idx="4">
                  <c:v>8.1</c:v>
                </c:pt>
                <c:pt idx="5">
                  <c:v>7.1800000000000015</c:v>
                </c:pt>
                <c:pt idx="6">
                  <c:v>8.1199999999999992</c:v>
                </c:pt>
                <c:pt idx="7">
                  <c:v>9.3199999999999985</c:v>
                </c:pt>
                <c:pt idx="8">
                  <c:v>11.540000000000001</c:v>
                </c:pt>
                <c:pt idx="9">
                  <c:v>10.540000000000001</c:v>
                </c:pt>
                <c:pt idx="10">
                  <c:v>13.7</c:v>
                </c:pt>
                <c:pt idx="11">
                  <c:v>13</c:v>
                </c:pt>
                <c:pt idx="12">
                  <c:v>10.6</c:v>
                </c:pt>
                <c:pt idx="13">
                  <c:v>7.6</c:v>
                </c:pt>
                <c:pt idx="14">
                  <c:v>8.4</c:v>
                </c:pt>
                <c:pt idx="15">
                  <c:v>8.3000000000000007</c:v>
                </c:pt>
                <c:pt idx="16">
                  <c:v>9.9</c:v>
                </c:pt>
                <c:pt idx="17">
                  <c:v>12.3</c:v>
                </c:pt>
                <c:pt idx="18">
                  <c:v>12.2</c:v>
                </c:pt>
                <c:pt idx="19">
                  <c:v>13.6</c:v>
                </c:pt>
                <c:pt idx="20">
                  <c:v>13.1</c:v>
                </c:pt>
                <c:pt idx="21">
                  <c:v>12.7</c:v>
                </c:pt>
                <c:pt idx="22">
                  <c:v>12</c:v>
                </c:pt>
                <c:pt idx="23">
                  <c:v>14</c:v>
                </c:pt>
                <c:pt idx="24">
                  <c:v>14.4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C2-4D48-BCEB-7BD3682292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1307871"/>
        <c:axId val="1155269743"/>
      </c:lineChart>
      <c:catAx>
        <c:axId val="1141307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55269743"/>
        <c:crosses val="autoZero"/>
        <c:auto val="1"/>
        <c:lblAlgn val="ctr"/>
        <c:lblOffset val="100"/>
        <c:noMultiLvlLbl val="0"/>
      </c:catAx>
      <c:valAx>
        <c:axId val="1155269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流量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41307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距平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统计分组和统计指标计算!$A$50:$A$78</c:f>
              <c:numCache>
                <c:formatCode>General</c:formatCode>
                <c:ptCount val="29"/>
                <c:pt idx="0">
                  <c:v>1940</c:v>
                </c:pt>
                <c:pt idx="1">
                  <c:v>1941</c:v>
                </c:pt>
                <c:pt idx="2">
                  <c:v>1942</c:v>
                </c:pt>
                <c:pt idx="3">
                  <c:v>1943</c:v>
                </c:pt>
                <c:pt idx="4">
                  <c:v>1944</c:v>
                </c:pt>
                <c:pt idx="5">
                  <c:v>1945</c:v>
                </c:pt>
                <c:pt idx="6">
                  <c:v>1946</c:v>
                </c:pt>
                <c:pt idx="7">
                  <c:v>1947</c:v>
                </c:pt>
                <c:pt idx="8">
                  <c:v>1948</c:v>
                </c:pt>
                <c:pt idx="9">
                  <c:v>1949</c:v>
                </c:pt>
                <c:pt idx="10">
                  <c:v>1950</c:v>
                </c:pt>
                <c:pt idx="11">
                  <c:v>1951</c:v>
                </c:pt>
                <c:pt idx="12">
                  <c:v>1952</c:v>
                </c:pt>
                <c:pt idx="13">
                  <c:v>1953</c:v>
                </c:pt>
                <c:pt idx="14">
                  <c:v>1954</c:v>
                </c:pt>
                <c:pt idx="15">
                  <c:v>1955</c:v>
                </c:pt>
                <c:pt idx="16">
                  <c:v>1956</c:v>
                </c:pt>
                <c:pt idx="17">
                  <c:v>1957</c:v>
                </c:pt>
                <c:pt idx="18">
                  <c:v>1958</c:v>
                </c:pt>
                <c:pt idx="19">
                  <c:v>1959</c:v>
                </c:pt>
                <c:pt idx="20">
                  <c:v>1960</c:v>
                </c:pt>
                <c:pt idx="21">
                  <c:v>1961</c:v>
                </c:pt>
                <c:pt idx="22">
                  <c:v>1962</c:v>
                </c:pt>
                <c:pt idx="23">
                  <c:v>1963</c:v>
                </c:pt>
                <c:pt idx="24">
                  <c:v>1964</c:v>
                </c:pt>
                <c:pt idx="25">
                  <c:v>1965</c:v>
                </c:pt>
                <c:pt idx="26">
                  <c:v>1966</c:v>
                </c:pt>
                <c:pt idx="27">
                  <c:v>1967</c:v>
                </c:pt>
                <c:pt idx="28">
                  <c:v>1968</c:v>
                </c:pt>
              </c:numCache>
            </c:numRef>
          </c:cat>
          <c:val>
            <c:numRef>
              <c:f>统计分组和统计指标计算!$H$50:$H$78</c:f>
              <c:numCache>
                <c:formatCode>General</c:formatCode>
                <c:ptCount val="29"/>
                <c:pt idx="0">
                  <c:v>-0.53793103448275836</c:v>
                </c:pt>
                <c:pt idx="1">
                  <c:v>-7.3379310344827591</c:v>
                </c:pt>
                <c:pt idx="2">
                  <c:v>-3.3379310344827591</c:v>
                </c:pt>
                <c:pt idx="3">
                  <c:v>-5.5379310344827593</c:v>
                </c:pt>
                <c:pt idx="4">
                  <c:v>-4.5379310344827593</c:v>
                </c:pt>
                <c:pt idx="5">
                  <c:v>-4.5379310344827593</c:v>
                </c:pt>
                <c:pt idx="6">
                  <c:v>1.6620689655172409</c:v>
                </c:pt>
                <c:pt idx="7">
                  <c:v>-1.4379310344827587</c:v>
                </c:pt>
                <c:pt idx="8">
                  <c:v>-2.3379310344827591</c:v>
                </c:pt>
                <c:pt idx="9">
                  <c:v>-9.1379310344827598</c:v>
                </c:pt>
                <c:pt idx="10">
                  <c:v>0.16206896551724093</c:v>
                </c:pt>
                <c:pt idx="11">
                  <c:v>7.6620689655172409</c:v>
                </c:pt>
                <c:pt idx="12">
                  <c:v>9.6620689655172409</c:v>
                </c:pt>
                <c:pt idx="13">
                  <c:v>-7.3379310344827591</c:v>
                </c:pt>
                <c:pt idx="14">
                  <c:v>6.6620689655172409</c:v>
                </c:pt>
                <c:pt idx="15">
                  <c:v>-3.3379310344827591</c:v>
                </c:pt>
                <c:pt idx="16">
                  <c:v>-4.3379310344827591</c:v>
                </c:pt>
                <c:pt idx="17">
                  <c:v>-5.3379310344827591</c:v>
                </c:pt>
                <c:pt idx="18">
                  <c:v>-3.3379310344827591</c:v>
                </c:pt>
                <c:pt idx="19">
                  <c:v>6.1620689655172409</c:v>
                </c:pt>
                <c:pt idx="20">
                  <c:v>4.6620689655172409</c:v>
                </c:pt>
                <c:pt idx="21">
                  <c:v>7.6620689655172409</c:v>
                </c:pt>
                <c:pt idx="22">
                  <c:v>-5.8379310344827591</c:v>
                </c:pt>
                <c:pt idx="23">
                  <c:v>3.6620689655172409</c:v>
                </c:pt>
                <c:pt idx="24">
                  <c:v>3.6620689655172409</c:v>
                </c:pt>
                <c:pt idx="25">
                  <c:v>2.6620689655172409</c:v>
                </c:pt>
                <c:pt idx="26">
                  <c:v>4.1620689655172409</c:v>
                </c:pt>
                <c:pt idx="27">
                  <c:v>4.1620689655172409</c:v>
                </c:pt>
                <c:pt idx="28">
                  <c:v>5.6620689655172409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56-4842-91BF-9A3DBCD833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4293567"/>
        <c:axId val="1155172399"/>
      </c:barChart>
      <c:catAx>
        <c:axId val="1224293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55172399"/>
        <c:crosses val="autoZero"/>
        <c:auto val="1"/>
        <c:lblAlgn val="ctr"/>
        <c:lblOffset val="100"/>
        <c:noMultiLvlLbl val="0"/>
      </c:catAx>
      <c:valAx>
        <c:axId val="1155172399"/>
        <c:scaling>
          <c:orientation val="minMax"/>
          <c:max val="10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242935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空间洛伦兹曲线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农业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空间洛伦兹曲线!$F$14:$F$24</c:f>
              <c:numCache>
                <c:formatCode>General</c:formatCode>
                <c:ptCount val="11"/>
                <c:pt idx="0">
                  <c:v>2.6</c:v>
                </c:pt>
                <c:pt idx="1">
                  <c:v>8.1999999999999993</c:v>
                </c:pt>
                <c:pt idx="2">
                  <c:v>17.2</c:v>
                </c:pt>
                <c:pt idx="3">
                  <c:v>23.2</c:v>
                </c:pt>
                <c:pt idx="4">
                  <c:v>25.2</c:v>
                </c:pt>
                <c:pt idx="5">
                  <c:v>30.7</c:v>
                </c:pt>
                <c:pt idx="6">
                  <c:v>39.5</c:v>
                </c:pt>
                <c:pt idx="7">
                  <c:v>43.7</c:v>
                </c:pt>
                <c:pt idx="8">
                  <c:v>53.7</c:v>
                </c:pt>
                <c:pt idx="9">
                  <c:v>87.4</c:v>
                </c:pt>
                <c:pt idx="10">
                  <c:v>100</c:v>
                </c:pt>
              </c:numCache>
            </c:numRef>
          </c:xVal>
          <c:yVal>
            <c:numRef>
              <c:f>空间洛伦兹曲线!$E$14:$E$24</c:f>
              <c:numCache>
                <c:formatCode>General</c:formatCode>
                <c:ptCount val="11"/>
                <c:pt idx="0">
                  <c:v>12.6</c:v>
                </c:pt>
                <c:pt idx="1">
                  <c:v>23.799999999999997</c:v>
                </c:pt>
                <c:pt idx="2">
                  <c:v>39.4</c:v>
                </c:pt>
                <c:pt idx="3">
                  <c:v>47</c:v>
                </c:pt>
                <c:pt idx="4">
                  <c:v>49.1</c:v>
                </c:pt>
                <c:pt idx="5">
                  <c:v>54.300000000000004</c:v>
                </c:pt>
                <c:pt idx="6">
                  <c:v>62.1</c:v>
                </c:pt>
                <c:pt idx="7">
                  <c:v>65.7</c:v>
                </c:pt>
                <c:pt idx="8">
                  <c:v>72.600000000000009</c:v>
                </c:pt>
                <c:pt idx="9">
                  <c:v>95.800000000000011</c:v>
                </c:pt>
                <c:pt idx="10">
                  <c:v>100.00000000000001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EB6-442F-85FB-655047CABC92}"/>
            </c:ext>
          </c:extLst>
        </c:ser>
        <c:ser>
          <c:idx val="1"/>
          <c:order val="1"/>
          <c:tx>
            <c:v>纺织业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空间洛伦兹曲线!$F$27:$F$37</c:f>
              <c:numCache>
                <c:formatCode>General</c:formatCode>
                <c:ptCount val="11"/>
                <c:pt idx="0">
                  <c:v>2</c:v>
                </c:pt>
                <c:pt idx="1">
                  <c:v>10.8</c:v>
                </c:pt>
                <c:pt idx="2">
                  <c:v>16.8</c:v>
                </c:pt>
                <c:pt idx="3">
                  <c:v>29.4</c:v>
                </c:pt>
                <c:pt idx="4">
                  <c:v>38.4</c:v>
                </c:pt>
                <c:pt idx="5">
                  <c:v>42.6</c:v>
                </c:pt>
                <c:pt idx="6">
                  <c:v>48.1</c:v>
                </c:pt>
                <c:pt idx="7">
                  <c:v>58.1</c:v>
                </c:pt>
                <c:pt idx="8">
                  <c:v>63.7</c:v>
                </c:pt>
                <c:pt idx="9">
                  <c:v>66.3</c:v>
                </c:pt>
                <c:pt idx="10">
                  <c:v>100</c:v>
                </c:pt>
              </c:numCache>
            </c:numRef>
          </c:xVal>
          <c:yVal>
            <c:numRef>
              <c:f>空间洛伦兹曲线!$E$27:$E$37</c:f>
              <c:numCache>
                <c:formatCode>General</c:formatCode>
                <c:ptCount val="11"/>
                <c:pt idx="0">
                  <c:v>6.5</c:v>
                </c:pt>
                <c:pt idx="1">
                  <c:v>29.2</c:v>
                </c:pt>
                <c:pt idx="2">
                  <c:v>44.5</c:v>
                </c:pt>
                <c:pt idx="3">
                  <c:v>71.900000000000006</c:v>
                </c:pt>
                <c:pt idx="4">
                  <c:v>83.9</c:v>
                </c:pt>
                <c:pt idx="5">
                  <c:v>86.100000000000009</c:v>
                </c:pt>
                <c:pt idx="6">
                  <c:v>88.7</c:v>
                </c:pt>
                <c:pt idx="7">
                  <c:v>93.3</c:v>
                </c:pt>
                <c:pt idx="8">
                  <c:v>95.3</c:v>
                </c:pt>
                <c:pt idx="9">
                  <c:v>95.8</c:v>
                </c:pt>
                <c:pt idx="10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EB6-442F-85FB-655047CABC92}"/>
            </c:ext>
          </c:extLst>
        </c:ser>
        <c:ser>
          <c:idx val="2"/>
          <c:order val="2"/>
          <c:tx>
            <c:v>服务业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空间洛伦兹曲线!$F$40:$F$50</c:f>
              <c:numCache>
                <c:formatCode>General</c:formatCode>
                <c:ptCount val="11"/>
                <c:pt idx="0">
                  <c:v>5.6</c:v>
                </c:pt>
                <c:pt idx="1">
                  <c:v>14.6</c:v>
                </c:pt>
                <c:pt idx="2">
                  <c:v>16.600000000000001</c:v>
                </c:pt>
                <c:pt idx="3">
                  <c:v>20.8</c:v>
                </c:pt>
                <c:pt idx="4">
                  <c:v>54.5</c:v>
                </c:pt>
                <c:pt idx="5">
                  <c:v>57.1</c:v>
                </c:pt>
                <c:pt idx="6">
                  <c:v>62.6</c:v>
                </c:pt>
                <c:pt idx="7">
                  <c:v>75.2</c:v>
                </c:pt>
                <c:pt idx="8">
                  <c:v>84</c:v>
                </c:pt>
                <c:pt idx="9">
                  <c:v>94</c:v>
                </c:pt>
                <c:pt idx="10">
                  <c:v>100</c:v>
                </c:pt>
              </c:numCache>
            </c:numRef>
          </c:xVal>
          <c:yVal>
            <c:numRef>
              <c:f>空间洛伦兹曲线!$E$40:$E$50</c:f>
              <c:numCache>
                <c:formatCode>General</c:formatCode>
                <c:ptCount val="11"/>
                <c:pt idx="0">
                  <c:v>6.6</c:v>
                </c:pt>
                <c:pt idx="1">
                  <c:v>16.600000000000001</c:v>
                </c:pt>
                <c:pt idx="2">
                  <c:v>18.8</c:v>
                </c:pt>
                <c:pt idx="3">
                  <c:v>23.4</c:v>
                </c:pt>
                <c:pt idx="4">
                  <c:v>59.4</c:v>
                </c:pt>
                <c:pt idx="5">
                  <c:v>62.1</c:v>
                </c:pt>
                <c:pt idx="6">
                  <c:v>67.3</c:v>
                </c:pt>
                <c:pt idx="7">
                  <c:v>78.899999999999991</c:v>
                </c:pt>
                <c:pt idx="8">
                  <c:v>86.8</c:v>
                </c:pt>
                <c:pt idx="9">
                  <c:v>95.1</c:v>
                </c:pt>
                <c:pt idx="10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EB6-442F-85FB-655047CABC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1300671"/>
        <c:axId val="1155170319"/>
      </c:scatterChart>
      <c:valAx>
        <c:axId val="1141300671"/>
        <c:scaling>
          <c:orientation val="minMax"/>
          <c:max val="1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整个工业部门职工累积百分比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55170319"/>
        <c:crosses val="autoZero"/>
        <c:crossBetween val="midCat"/>
      </c:valAx>
      <c:valAx>
        <c:axId val="1155170319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选定的工业的工业部门职工累计百分比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41300671"/>
        <c:crosses val="autoZero"/>
        <c:crossBetween val="midCat"/>
        <c:majorUnit val="2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chart" Target="../charts/chart2.xml"/><Relationship Id="rId4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chart" Target="../charts/chart3.xml"/><Relationship Id="rId4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png"/><Relationship Id="rId1" Type="http://schemas.openxmlformats.org/officeDocument/2006/relationships/image" Target="../media/image9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.png"/><Relationship Id="rId2" Type="http://schemas.openxmlformats.org/officeDocument/2006/relationships/image" Target="../media/image13.png"/><Relationship Id="rId1" Type="http://schemas.openxmlformats.org/officeDocument/2006/relationships/image" Target="../media/image12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6.png"/><Relationship Id="rId1" Type="http://schemas.openxmlformats.org/officeDocument/2006/relationships/image" Target="../media/image15.pn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24.png"/><Relationship Id="rId3" Type="http://schemas.openxmlformats.org/officeDocument/2006/relationships/image" Target="../media/image19.png"/><Relationship Id="rId7" Type="http://schemas.openxmlformats.org/officeDocument/2006/relationships/image" Target="../media/image23.png"/><Relationship Id="rId2" Type="http://schemas.openxmlformats.org/officeDocument/2006/relationships/image" Target="../media/image18.png"/><Relationship Id="rId1" Type="http://schemas.openxmlformats.org/officeDocument/2006/relationships/image" Target="../media/image17.png"/><Relationship Id="rId6" Type="http://schemas.openxmlformats.org/officeDocument/2006/relationships/image" Target="../media/image22.png"/><Relationship Id="rId11" Type="http://schemas.openxmlformats.org/officeDocument/2006/relationships/image" Target="../media/image27.png"/><Relationship Id="rId5" Type="http://schemas.openxmlformats.org/officeDocument/2006/relationships/image" Target="../media/image21.png"/><Relationship Id="rId10" Type="http://schemas.openxmlformats.org/officeDocument/2006/relationships/image" Target="../media/image26.png"/><Relationship Id="rId4" Type="http://schemas.openxmlformats.org/officeDocument/2006/relationships/image" Target="../media/image20.png"/><Relationship Id="rId9" Type="http://schemas.openxmlformats.org/officeDocument/2006/relationships/image" Target="../media/image25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0.png"/><Relationship Id="rId2" Type="http://schemas.openxmlformats.org/officeDocument/2006/relationships/image" Target="../media/image29.png"/><Relationship Id="rId1" Type="http://schemas.openxmlformats.org/officeDocument/2006/relationships/image" Target="../media/image28.png"/><Relationship Id="rId6" Type="http://schemas.openxmlformats.org/officeDocument/2006/relationships/image" Target="../media/image33.png"/><Relationship Id="rId5" Type="http://schemas.openxmlformats.org/officeDocument/2006/relationships/image" Target="../media/image32.png"/><Relationship Id="rId4" Type="http://schemas.openxmlformats.org/officeDocument/2006/relationships/image" Target="../media/image3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42862</xdr:colOff>
      <xdr:row>1</xdr:row>
      <xdr:rowOff>28575</xdr:rowOff>
    </xdr:from>
    <xdr:to>
      <xdr:col>8</xdr:col>
      <xdr:colOff>314085</xdr:colOff>
      <xdr:row>10</xdr:row>
      <xdr:rowOff>79003</xdr:rowOff>
    </xdr:to>
    <xdr:grpSp>
      <xdr:nvGrpSpPr>
        <xdr:cNvPr id="6" name="组合 5">
          <a:extLst>
            <a:ext uri="{FF2B5EF4-FFF2-40B4-BE49-F238E27FC236}">
              <a16:creationId xmlns:a16="http://schemas.microsoft.com/office/drawing/2014/main" id="{7C650AB7-5A28-4A80-81EE-530C37A55F3E}"/>
            </a:ext>
          </a:extLst>
        </xdr:cNvPr>
        <xdr:cNvGrpSpPr/>
      </xdr:nvGrpSpPr>
      <xdr:grpSpPr>
        <a:xfrm>
          <a:off x="3652837" y="209550"/>
          <a:ext cx="2700098" cy="1679203"/>
          <a:chOff x="3348037" y="333375"/>
          <a:chExt cx="2353123" cy="1679203"/>
        </a:xfrm>
      </xdr:grpSpPr>
      <mc:AlternateContent xmlns:mc="http://schemas.openxmlformats.org/markup-compatibility/2006" xmlns:a14="http://schemas.microsoft.com/office/drawing/2010/main">
        <mc:Choice Requires="a14">
          <xdr:sp macro="" textlink="">
            <xdr:nvSpPr>
              <xdr:cNvPr id="2" name="文本框 1">
                <a:extLst>
                  <a:ext uri="{FF2B5EF4-FFF2-40B4-BE49-F238E27FC236}">
                    <a16:creationId xmlns:a16="http://schemas.microsoft.com/office/drawing/2014/main" id="{A120036D-2CD9-442F-B008-3FDD2A2DC9A9}"/>
                  </a:ext>
                </a:extLst>
              </xdr:cNvPr>
              <xdr:cNvSpPr txBox="1"/>
            </xdr:nvSpPr>
            <xdr:spPr>
              <a:xfrm>
                <a:off x="3348037" y="333375"/>
                <a:ext cx="2070567" cy="250453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0" tIns="0" rIns="0" bIns="0" rtlCol="0" anchor="t">
                <a:spAutoFit/>
              </a:bodyPr>
              <a:lstStyle/>
              <a:p>
                <a:pPr/>
                <a14:m>
                  <m:oMathPara xmlns:m="http://schemas.openxmlformats.org/officeDocument/2006/math">
                    <m:oMathParaPr>
                      <m:jc m:val="centerGroup"/>
                    </m:oMathParaPr>
                    <m:oMath xmlns:m="http://schemas.openxmlformats.org/officeDocument/2006/math">
                      <m:r>
                        <a:rPr lang="zh-CN" altLang="en-US" sz="1600" b="0" i="1">
                          <a:latin typeface="Cambria Math" panose="02040503050406030204" pitchFamily="18" charset="0"/>
                        </a:rPr>
                        <m:t>全距：</m:t>
                      </m:r>
                      <m:r>
                        <a:rPr lang="en-US" altLang="zh-CN" sz="1600" b="0" i="1">
                          <a:latin typeface="Cambria Math" panose="02040503050406030204" pitchFamily="18" charset="0"/>
                        </a:rPr>
                        <m:t>𝑅</m:t>
                      </m:r>
                      <m:r>
                        <a:rPr lang="en-US" altLang="zh-CN" sz="1600" b="0" i="1">
                          <a:latin typeface="Cambria Math" panose="02040503050406030204" pitchFamily="18" charset="0"/>
                        </a:rPr>
                        <m:t>=</m:t>
                      </m:r>
                      <m:r>
                        <a:rPr lang="en-US" altLang="zh-CN" sz="1600" b="0" i="1">
                          <a:latin typeface="Cambria Math" panose="02040503050406030204" pitchFamily="18" charset="0"/>
                        </a:rPr>
                        <m:t>𝑚𝑎𝑥</m:t>
                      </m:r>
                      <m:r>
                        <a:rPr lang="en-US" altLang="zh-CN" sz="1600" b="0" i="1">
                          <a:latin typeface="Cambria Math" panose="02040503050406030204" pitchFamily="18" charset="0"/>
                        </a:rPr>
                        <m:t>−</m:t>
                      </m:r>
                      <m:r>
                        <a:rPr lang="en-US" altLang="zh-CN" sz="1600" b="0" i="1">
                          <a:latin typeface="Cambria Math" panose="02040503050406030204" pitchFamily="18" charset="0"/>
                        </a:rPr>
                        <m:t>𝑚𝑖𝑛</m:t>
                      </m:r>
                    </m:oMath>
                  </m:oMathPara>
                </a14:m>
                <a:endParaRPr lang="zh-CN" altLang="en-US" sz="1600"/>
              </a:p>
            </xdr:txBody>
          </xdr:sp>
        </mc:Choice>
        <mc:Fallback xmlns="">
          <xdr:sp macro="" textlink="">
            <xdr:nvSpPr>
              <xdr:cNvPr id="2" name="文本框 1">
                <a:extLst>
                  <a:ext uri="{FF2B5EF4-FFF2-40B4-BE49-F238E27FC236}">
                    <a16:creationId xmlns:a16="http://schemas.microsoft.com/office/drawing/2014/main" id="{A120036D-2CD9-442F-B008-3FDD2A2DC9A9}"/>
                  </a:ext>
                </a:extLst>
              </xdr:cNvPr>
              <xdr:cNvSpPr txBox="1"/>
            </xdr:nvSpPr>
            <xdr:spPr>
              <a:xfrm>
                <a:off x="3348037" y="333375"/>
                <a:ext cx="2070567" cy="250453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0" tIns="0" rIns="0" bIns="0" rtlCol="0" anchor="t">
                <a:spAutoFit/>
              </a:bodyPr>
              <a:lstStyle/>
              <a:p>
                <a:r>
                  <a:rPr lang="zh-CN" altLang="en-US" sz="1600" b="0" i="0">
                    <a:latin typeface="Cambria Math" panose="02040503050406030204" pitchFamily="18" charset="0"/>
                  </a:rPr>
                  <a:t>全距：</a:t>
                </a:r>
                <a:r>
                  <a:rPr lang="en-US" altLang="zh-CN" sz="1600" b="0" i="0">
                    <a:latin typeface="Cambria Math" panose="02040503050406030204" pitchFamily="18" charset="0"/>
                  </a:rPr>
                  <a:t>𝑅=𝑚𝑎𝑥−𝑚𝑖𝑛</a:t>
                </a:r>
                <a:endParaRPr lang="zh-CN" altLang="en-US" sz="1600"/>
              </a:p>
            </xdr:txBody>
          </xdr:sp>
        </mc:Fallback>
      </mc:AlternateContent>
      <mc:AlternateContent xmlns:mc="http://schemas.openxmlformats.org/markup-compatibility/2006" xmlns:a14="http://schemas.microsoft.com/office/drawing/2010/main">
        <mc:Choice Requires="a14">
          <xdr:sp macro="" textlink="">
            <xdr:nvSpPr>
              <xdr:cNvPr id="3" name="文本框 2">
                <a:extLst>
                  <a:ext uri="{FF2B5EF4-FFF2-40B4-BE49-F238E27FC236}">
                    <a16:creationId xmlns:a16="http://schemas.microsoft.com/office/drawing/2014/main" id="{BEE7A542-1C0E-4CAD-99DD-36240F53CA9B}"/>
                  </a:ext>
                </a:extLst>
              </xdr:cNvPr>
              <xdr:cNvSpPr txBox="1"/>
            </xdr:nvSpPr>
            <xdr:spPr>
              <a:xfrm>
                <a:off x="3348037" y="809625"/>
                <a:ext cx="2320700" cy="250453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0" tIns="0" rIns="0" bIns="0" rtlCol="0" anchor="t">
                <a:spAutoFit/>
              </a:bodyPr>
              <a:lstStyle/>
              <a:p>
                <a:pPr/>
                <a14:m>
                  <m:oMathPara xmlns:m="http://schemas.openxmlformats.org/officeDocument/2006/math">
                    <m:oMathParaPr>
                      <m:jc m:val="centerGroup"/>
                    </m:oMathParaPr>
                    <m:oMath xmlns:m="http://schemas.openxmlformats.org/officeDocument/2006/math">
                      <m:r>
                        <a:rPr lang="zh-CN" altLang="en-US" sz="1600" b="0" i="1">
                          <a:latin typeface="Cambria Math" panose="02040503050406030204" pitchFamily="18" charset="0"/>
                        </a:rPr>
                        <m:t>组数：</m:t>
                      </m:r>
                      <m:r>
                        <m:rPr>
                          <m:sty m:val="p"/>
                        </m:rPr>
                        <a:rPr lang="en-US" altLang="zh-CN" sz="1600" b="0" i="1">
                          <a:latin typeface="Cambria Math" panose="02040503050406030204" pitchFamily="18" charset="0"/>
                        </a:rPr>
                        <m:t>n</m:t>
                      </m:r>
                      <m:r>
                        <a:rPr lang="en-US" altLang="zh-CN" sz="1600" b="0" i="1">
                          <a:latin typeface="Cambria Math" panose="02040503050406030204" pitchFamily="18" charset="0"/>
                        </a:rPr>
                        <m:t>=1+3.32∗</m:t>
                      </m:r>
                      <m:r>
                        <a:rPr lang="en-US" altLang="zh-CN" sz="1600" b="0" i="1">
                          <a:latin typeface="Cambria Math" panose="02040503050406030204" pitchFamily="18" charset="0"/>
                        </a:rPr>
                        <m:t>𝑙𝑔𝑁</m:t>
                      </m:r>
                    </m:oMath>
                  </m:oMathPara>
                </a14:m>
                <a:endParaRPr lang="zh-CN" altLang="en-US" sz="1600"/>
              </a:p>
            </xdr:txBody>
          </xdr:sp>
        </mc:Choice>
        <mc:Fallback xmlns="">
          <xdr:sp macro="" textlink="">
            <xdr:nvSpPr>
              <xdr:cNvPr id="3" name="文本框 2">
                <a:extLst>
                  <a:ext uri="{FF2B5EF4-FFF2-40B4-BE49-F238E27FC236}">
                    <a16:creationId xmlns:a16="http://schemas.microsoft.com/office/drawing/2014/main" id="{BEE7A542-1C0E-4CAD-99DD-36240F53CA9B}"/>
                  </a:ext>
                </a:extLst>
              </xdr:cNvPr>
              <xdr:cNvSpPr txBox="1"/>
            </xdr:nvSpPr>
            <xdr:spPr>
              <a:xfrm>
                <a:off x="3348037" y="809625"/>
                <a:ext cx="2320700" cy="250453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0" tIns="0" rIns="0" bIns="0" rtlCol="0" anchor="t">
                <a:spAutoFit/>
              </a:bodyPr>
              <a:lstStyle/>
              <a:p>
                <a:r>
                  <a:rPr lang="zh-CN" altLang="en-US" sz="1600" b="0" i="0">
                    <a:latin typeface="Cambria Math" panose="02040503050406030204" pitchFamily="18" charset="0"/>
                  </a:rPr>
                  <a:t>组数：</a:t>
                </a:r>
                <a:r>
                  <a:rPr lang="en-US" altLang="zh-CN" sz="1600" b="0" i="0">
                    <a:latin typeface="Cambria Math" panose="02040503050406030204" pitchFamily="18" charset="0"/>
                  </a:rPr>
                  <a:t>n=1+3.32∗𝑙𝑔𝑁</a:t>
                </a:r>
                <a:endParaRPr lang="zh-CN" altLang="en-US" sz="1600"/>
              </a:p>
            </xdr:txBody>
          </xdr:sp>
        </mc:Fallback>
      </mc:AlternateContent>
      <mc:AlternateContent xmlns:mc="http://schemas.openxmlformats.org/markup-compatibility/2006" xmlns:a14="http://schemas.microsoft.com/office/drawing/2010/main">
        <mc:Choice Requires="a14">
          <xdr:sp macro="" textlink="">
            <xdr:nvSpPr>
              <xdr:cNvPr id="4" name="文本框 3">
                <a:extLst>
                  <a:ext uri="{FF2B5EF4-FFF2-40B4-BE49-F238E27FC236}">
                    <a16:creationId xmlns:a16="http://schemas.microsoft.com/office/drawing/2014/main" id="{CD70538B-493C-4687-BBFC-219B9103F841}"/>
                  </a:ext>
                </a:extLst>
              </xdr:cNvPr>
              <xdr:cNvSpPr txBox="1"/>
            </xdr:nvSpPr>
            <xdr:spPr>
              <a:xfrm>
                <a:off x="3348037" y="1762125"/>
                <a:ext cx="2353123" cy="250453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0" tIns="0" rIns="0" bIns="0" rtlCol="0" anchor="t">
                <a:spAutoFit/>
              </a:bodyPr>
              <a:lstStyle/>
              <a:p>
                <a:pPr/>
                <a14:m>
                  <m:oMathPara xmlns:m="http://schemas.openxmlformats.org/officeDocument/2006/math">
                    <m:oMathParaPr>
                      <m:jc m:val="centerGroup"/>
                    </m:oMathParaPr>
                    <m:oMath xmlns:m="http://schemas.openxmlformats.org/officeDocument/2006/math">
                      <m:r>
                        <a:rPr lang="en-US" altLang="zh-CN" sz="1600" b="0" i="1">
                          <a:latin typeface="Cambria Math" panose="02040503050406030204" pitchFamily="18" charset="0"/>
                        </a:rPr>
                        <m:t>    </m:t>
                      </m:r>
                      <m:r>
                        <a:rPr lang="zh-CN" altLang="en-US" sz="1600" b="0" i="1">
                          <a:latin typeface="Cambria Math" panose="02040503050406030204" pitchFamily="18" charset="0"/>
                        </a:rPr>
                        <m:t>第一组下限</m:t>
                      </m:r>
                      <m:r>
                        <a:rPr lang="en-US" altLang="zh-CN" sz="1600" b="0" i="1">
                          <a:latin typeface="Cambria Math" panose="02040503050406030204" pitchFamily="18" charset="0"/>
                        </a:rPr>
                        <m:t>=</m:t>
                      </m:r>
                      <m:r>
                        <a:rPr lang="en-US" altLang="zh-CN" sz="1600" b="0" i="1">
                          <a:latin typeface="Cambria Math" panose="02040503050406030204" pitchFamily="18" charset="0"/>
                        </a:rPr>
                        <m:t>𝑚𝑖𝑛</m:t>
                      </m:r>
                      <m:r>
                        <a:rPr lang="en-US" altLang="zh-CN" sz="1600" b="0" i="1">
                          <a:latin typeface="Cambria Math" panose="02040503050406030204" pitchFamily="18" charset="0"/>
                        </a:rPr>
                        <m:t>−0.5∗</m:t>
                      </m:r>
                      <m:r>
                        <a:rPr lang="en-US" altLang="zh-CN" sz="1600" b="0" i="1">
                          <a:latin typeface="Cambria Math" panose="02040503050406030204" pitchFamily="18" charset="0"/>
                        </a:rPr>
                        <m:t>h</m:t>
                      </m:r>
                    </m:oMath>
                  </m:oMathPara>
                </a14:m>
                <a:endParaRPr lang="zh-CN" altLang="en-US" sz="1600"/>
              </a:p>
            </xdr:txBody>
          </xdr:sp>
        </mc:Choice>
        <mc:Fallback xmlns="">
          <xdr:sp macro="" textlink="">
            <xdr:nvSpPr>
              <xdr:cNvPr id="4" name="文本框 3">
                <a:extLst>
                  <a:ext uri="{FF2B5EF4-FFF2-40B4-BE49-F238E27FC236}">
                    <a16:creationId xmlns:a16="http://schemas.microsoft.com/office/drawing/2014/main" id="{CD70538B-493C-4687-BBFC-219B9103F841}"/>
                  </a:ext>
                </a:extLst>
              </xdr:cNvPr>
              <xdr:cNvSpPr txBox="1"/>
            </xdr:nvSpPr>
            <xdr:spPr>
              <a:xfrm>
                <a:off x="3348037" y="1762125"/>
                <a:ext cx="2353123" cy="250453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0" tIns="0" rIns="0" bIns="0" rtlCol="0" anchor="t">
                <a:spAutoFit/>
              </a:bodyPr>
              <a:lstStyle/>
              <a:p>
                <a:pPr/>
                <a:r>
                  <a:rPr lang="en-US" altLang="zh-CN" sz="1600" b="0" i="0">
                    <a:latin typeface="Cambria Math" panose="02040503050406030204" pitchFamily="18" charset="0"/>
                  </a:rPr>
                  <a:t>    </a:t>
                </a:r>
                <a:r>
                  <a:rPr lang="zh-CN" altLang="en-US" sz="1600" b="0" i="0">
                    <a:latin typeface="Cambria Math" panose="02040503050406030204" pitchFamily="18" charset="0"/>
                  </a:rPr>
                  <a:t>第一组下限</a:t>
                </a:r>
                <a:r>
                  <a:rPr lang="en-US" altLang="zh-CN" sz="1600" b="0" i="0">
                    <a:latin typeface="Cambria Math" panose="02040503050406030204" pitchFamily="18" charset="0"/>
                  </a:rPr>
                  <a:t>=𝑚𝑖𝑛−0.5∗ℎ</a:t>
                </a:r>
                <a:endParaRPr lang="zh-CN" altLang="en-US" sz="1600"/>
              </a:p>
            </xdr:txBody>
          </xdr:sp>
        </mc:Fallback>
      </mc:AlternateContent>
      <mc:AlternateContent xmlns:mc="http://schemas.openxmlformats.org/markup-compatibility/2006" xmlns:a14="http://schemas.microsoft.com/office/drawing/2010/main">
        <mc:Choice Requires="a14">
          <xdr:sp macro="" textlink="">
            <xdr:nvSpPr>
              <xdr:cNvPr id="5" name="文本框 4">
                <a:extLst>
                  <a:ext uri="{FF2B5EF4-FFF2-40B4-BE49-F238E27FC236}">
                    <a16:creationId xmlns:a16="http://schemas.microsoft.com/office/drawing/2014/main" id="{852DD58E-0546-44BE-9414-88C0980BC8A5}"/>
                  </a:ext>
                </a:extLst>
              </xdr:cNvPr>
              <xdr:cNvSpPr txBox="1"/>
            </xdr:nvSpPr>
            <xdr:spPr>
              <a:xfrm>
                <a:off x="3348037" y="1285875"/>
                <a:ext cx="1342247" cy="250453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0" tIns="0" rIns="0" bIns="0" rtlCol="0" anchor="t">
                <a:spAutoFit/>
              </a:bodyPr>
              <a:lstStyle/>
              <a:p>
                <a:r>
                  <a:rPr lang="zh-CN" altLang="en-US" sz="1600" b="0"/>
                  <a:t>    </a:t>
                </a:r>
                <a14:m>
                  <m:oMath xmlns:m="http://schemas.openxmlformats.org/officeDocument/2006/math">
                    <m:r>
                      <a:rPr lang="zh-CN" altLang="en-US" sz="1600" b="0" i="1">
                        <a:latin typeface="Cambria Math" panose="02040503050406030204" pitchFamily="18" charset="0"/>
                      </a:rPr>
                      <m:t>组距：</m:t>
                    </m:r>
                    <m:r>
                      <m:rPr>
                        <m:sty m:val="p"/>
                      </m:rPr>
                      <a:rPr lang="en-US" altLang="zh-CN" sz="1600" b="0" i="1">
                        <a:latin typeface="Cambria Math" panose="02040503050406030204" pitchFamily="18" charset="0"/>
                      </a:rPr>
                      <m:t>h</m:t>
                    </m:r>
                    <m:r>
                      <a:rPr lang="en-US" altLang="zh-CN" sz="16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altLang="zh-CN" sz="1600" b="0" i="1">
                        <a:latin typeface="Cambria Math" panose="02040503050406030204" pitchFamily="18" charset="0"/>
                      </a:rPr>
                      <m:t>𝑅</m:t>
                    </m:r>
                    <m:r>
                      <a:rPr lang="en-US" altLang="zh-CN" sz="1600" b="0" i="1">
                        <a:latin typeface="Cambria Math" panose="02040503050406030204" pitchFamily="18" charset="0"/>
                      </a:rPr>
                      <m:t>/</m:t>
                    </m:r>
                    <m:r>
                      <a:rPr lang="en-US" altLang="zh-CN" sz="1600" b="0" i="1">
                        <a:latin typeface="Cambria Math" panose="02040503050406030204" pitchFamily="18" charset="0"/>
                      </a:rPr>
                      <m:t>𝑛</m:t>
                    </m:r>
                  </m:oMath>
                </a14:m>
                <a:endParaRPr lang="zh-CN" altLang="en-US" sz="1600"/>
              </a:p>
            </xdr:txBody>
          </xdr:sp>
        </mc:Choice>
        <mc:Fallback xmlns="">
          <xdr:sp macro="" textlink="">
            <xdr:nvSpPr>
              <xdr:cNvPr id="5" name="文本框 4">
                <a:extLst>
                  <a:ext uri="{FF2B5EF4-FFF2-40B4-BE49-F238E27FC236}">
                    <a16:creationId xmlns:a16="http://schemas.microsoft.com/office/drawing/2014/main" id="{852DD58E-0546-44BE-9414-88C0980BC8A5}"/>
                  </a:ext>
                </a:extLst>
              </xdr:cNvPr>
              <xdr:cNvSpPr txBox="1"/>
            </xdr:nvSpPr>
            <xdr:spPr>
              <a:xfrm>
                <a:off x="3348037" y="1285875"/>
                <a:ext cx="1342247" cy="250453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0" tIns="0" rIns="0" bIns="0" rtlCol="0" anchor="t">
                <a:spAutoFit/>
              </a:bodyPr>
              <a:lstStyle/>
              <a:p>
                <a:pPr/>
                <a:r>
                  <a:rPr lang="zh-CN" altLang="en-US" sz="1600" b="0"/>
                  <a:t>    </a:t>
                </a:r>
                <a:r>
                  <a:rPr lang="zh-CN" altLang="en-US" sz="1600" b="0" i="0">
                    <a:latin typeface="Cambria Math" panose="02040503050406030204" pitchFamily="18" charset="0"/>
                  </a:rPr>
                  <a:t>组距：</a:t>
                </a:r>
                <a:r>
                  <a:rPr lang="en-US" altLang="zh-CN" sz="1600" b="0" i="0">
                    <a:latin typeface="Cambria Math" panose="02040503050406030204" pitchFamily="18" charset="0"/>
                  </a:rPr>
                  <a:t>h=𝑅/𝑛</a:t>
                </a:r>
                <a:endParaRPr lang="zh-CN" altLang="en-US" sz="1600"/>
              </a:p>
            </xdr:txBody>
          </xdr:sp>
        </mc:Fallback>
      </mc:AlternateContent>
    </xdr:grpSp>
    <xdr:clientData/>
  </xdr:twoCellAnchor>
  <xdr:twoCellAnchor editAs="oneCell">
    <xdr:from>
      <xdr:col>2</xdr:col>
      <xdr:colOff>438150</xdr:colOff>
      <xdr:row>21</xdr:row>
      <xdr:rowOff>104775</xdr:rowOff>
    </xdr:from>
    <xdr:to>
      <xdr:col>7</xdr:col>
      <xdr:colOff>123825</xdr:colOff>
      <xdr:row>32</xdr:row>
      <xdr:rowOff>11618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FEF103E9-4D70-49D3-AB38-A7B254651D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09750" y="3905250"/>
          <a:ext cx="3667125" cy="1897568"/>
        </a:xfrm>
        <a:prstGeom prst="rect">
          <a:avLst/>
        </a:prstGeom>
      </xdr:spPr>
    </xdr:pic>
    <xdr:clientData/>
  </xdr:twoCellAnchor>
  <xdr:twoCellAnchor editAs="oneCell">
    <xdr:from>
      <xdr:col>9</xdr:col>
      <xdr:colOff>381000</xdr:colOff>
      <xdr:row>21</xdr:row>
      <xdr:rowOff>0</xdr:rowOff>
    </xdr:from>
    <xdr:to>
      <xdr:col>15</xdr:col>
      <xdr:colOff>142390</xdr:colOff>
      <xdr:row>46</xdr:row>
      <xdr:rowOff>161339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69A5E435-B5A5-4AB5-B861-A746698494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05650" y="3800475"/>
          <a:ext cx="3876190" cy="4685714"/>
        </a:xfrm>
        <a:prstGeom prst="rect">
          <a:avLst/>
        </a:prstGeom>
      </xdr:spPr>
    </xdr:pic>
    <xdr:clientData/>
  </xdr:twoCellAnchor>
  <xdr:twoCellAnchor editAs="oneCell">
    <xdr:from>
      <xdr:col>11</xdr:col>
      <xdr:colOff>380137</xdr:colOff>
      <xdr:row>0</xdr:row>
      <xdr:rowOff>0</xdr:rowOff>
    </xdr:from>
    <xdr:to>
      <xdr:col>19</xdr:col>
      <xdr:colOff>390525</xdr:colOff>
      <xdr:row>21</xdr:row>
      <xdr:rowOff>37198</xdr:rowOff>
    </xdr:to>
    <xdr:pic>
      <xdr:nvPicPr>
        <xdr:cNvPr id="11" name="图片 10">
          <a:extLst>
            <a:ext uri="{FF2B5EF4-FFF2-40B4-BE49-F238E27FC236}">
              <a16:creationId xmlns:a16="http://schemas.microsoft.com/office/drawing/2014/main" id="{5BCCCC15-7020-4FAC-A243-76CDD43D52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476387" y="0"/>
          <a:ext cx="5496788" cy="3837673"/>
        </a:xfrm>
        <a:prstGeom prst="rect">
          <a:avLst/>
        </a:prstGeom>
      </xdr:spPr>
    </xdr:pic>
    <xdr:clientData/>
  </xdr:twoCellAnchor>
  <xdr:twoCellAnchor editAs="oneCell">
    <xdr:from>
      <xdr:col>9</xdr:col>
      <xdr:colOff>190500</xdr:colOff>
      <xdr:row>22</xdr:row>
      <xdr:rowOff>9525</xdr:rowOff>
    </xdr:from>
    <xdr:to>
      <xdr:col>14</xdr:col>
      <xdr:colOff>637690</xdr:colOff>
      <xdr:row>47</xdr:row>
      <xdr:rowOff>170864</xdr:rowOff>
    </xdr:to>
    <xdr:pic>
      <xdr:nvPicPr>
        <xdr:cNvPr id="13" name="图片 12">
          <a:extLst>
            <a:ext uri="{FF2B5EF4-FFF2-40B4-BE49-F238E27FC236}">
              <a16:creationId xmlns:a16="http://schemas.microsoft.com/office/drawing/2014/main" id="{90C36030-751D-449B-B64D-A7850B4094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915150" y="3990975"/>
          <a:ext cx="3876190" cy="4685714"/>
        </a:xfrm>
        <a:prstGeom prst="rect">
          <a:avLst/>
        </a:prstGeom>
      </xdr:spPr>
    </xdr:pic>
    <xdr:clientData/>
  </xdr:twoCellAnchor>
  <xdr:twoCellAnchor>
    <xdr:from>
      <xdr:col>8</xdr:col>
      <xdr:colOff>528635</xdr:colOff>
      <xdr:row>48</xdr:row>
      <xdr:rowOff>176210</xdr:rowOff>
    </xdr:from>
    <xdr:to>
      <xdr:col>20</xdr:col>
      <xdr:colOff>66675</xdr:colOff>
      <xdr:row>67</xdr:row>
      <xdr:rowOff>28575</xdr:rowOff>
    </xdr:to>
    <xdr:graphicFrame macro="">
      <xdr:nvGraphicFramePr>
        <xdr:cNvPr id="14" name="图表 13">
          <a:extLst>
            <a:ext uri="{FF2B5EF4-FFF2-40B4-BE49-F238E27FC236}">
              <a16:creationId xmlns:a16="http://schemas.microsoft.com/office/drawing/2014/main" id="{AF71AC79-6BC3-4802-B91E-667BC27DCF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623885</xdr:colOff>
      <xdr:row>68</xdr:row>
      <xdr:rowOff>4762</xdr:rowOff>
    </xdr:from>
    <xdr:to>
      <xdr:col>18</xdr:col>
      <xdr:colOff>581024</xdr:colOff>
      <xdr:row>81</xdr:row>
      <xdr:rowOff>85725</xdr:rowOff>
    </xdr:to>
    <xdr:graphicFrame macro="">
      <xdr:nvGraphicFramePr>
        <xdr:cNvPr id="15" name="图表 14">
          <a:extLst>
            <a:ext uri="{FF2B5EF4-FFF2-40B4-BE49-F238E27FC236}">
              <a16:creationId xmlns:a16="http://schemas.microsoft.com/office/drawing/2014/main" id="{5D0E4E73-4893-4F8E-803A-1FF9B6C80D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114300</xdr:colOff>
      <xdr:row>0</xdr:row>
      <xdr:rowOff>133350</xdr:rowOff>
    </xdr:from>
    <xdr:ext cx="556114" cy="43306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文本框 1">
              <a:extLst>
                <a:ext uri="{FF2B5EF4-FFF2-40B4-BE49-F238E27FC236}">
                  <a16:creationId xmlns:a16="http://schemas.microsoft.com/office/drawing/2014/main" id="{8671ACC3-2EF6-4F5D-809C-BADFBED6A043}"/>
                </a:ext>
              </a:extLst>
            </xdr:cNvPr>
            <xdr:cNvSpPr txBox="1"/>
          </xdr:nvSpPr>
          <xdr:spPr>
            <a:xfrm>
              <a:off x="3543300" y="133350"/>
              <a:ext cx="556114" cy="43306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zh-CN" sz="1400" b="0" i="1">
                        <a:latin typeface="Cambria Math" panose="02040503050406030204" pitchFamily="18" charset="0"/>
                      </a:rPr>
                      <m:t>𝑅</m:t>
                    </m:r>
                    <m:r>
                      <a:rPr lang="en-US" altLang="zh-CN" sz="14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zh-CN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acc>
                          <m:accPr>
                            <m:chr m:val="̅"/>
                            <m:ctrlPr>
                              <a:rPr lang="en-US" altLang="zh-CN" sz="1400" b="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sSub>
                              <m:sSubPr>
                                <m:ctrlPr>
                                  <a:rPr lang="en-US" altLang="zh-CN" sz="14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altLang="zh-CN" sz="1400" b="0" i="1">
                                    <a:latin typeface="Cambria Math" panose="02040503050406030204" pitchFamily="18" charset="0"/>
                                  </a:rPr>
                                  <m:t>𝑟</m:t>
                                </m:r>
                              </m:e>
                              <m:sub>
                                <m:r>
                                  <a:rPr lang="en-US" altLang="zh-CN" sz="1400" b="0" i="1">
                                    <a:latin typeface="Cambria Math" panose="02040503050406030204" pitchFamily="18" charset="0"/>
                                  </a:rPr>
                                  <m:t>1</m:t>
                                </m:r>
                              </m:sub>
                            </m:sSub>
                          </m:e>
                        </m:acc>
                      </m:num>
                      <m:den>
                        <m:acc>
                          <m:accPr>
                            <m:chr m:val="̅"/>
                            <m:ctrlPr>
                              <a:rPr lang="en-US" altLang="zh-CN" sz="1400" b="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sSub>
                              <m:sSubPr>
                                <m:ctrlPr>
                                  <a:rPr lang="en-US" altLang="zh-CN" sz="14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altLang="zh-CN" sz="1400" b="0" i="1">
                                    <a:latin typeface="Cambria Math" panose="02040503050406030204" pitchFamily="18" charset="0"/>
                                  </a:rPr>
                                  <m:t>𝑟</m:t>
                                </m:r>
                              </m:e>
                              <m:sub>
                                <m:r>
                                  <a:rPr lang="en-US" altLang="zh-CN" sz="1400" b="0" i="1">
                                    <a:latin typeface="Cambria Math" panose="02040503050406030204" pitchFamily="18" charset="0"/>
                                  </a:rPr>
                                  <m:t>𝐸</m:t>
                                </m:r>
                              </m:sub>
                            </m:sSub>
                          </m:e>
                        </m:acc>
                      </m:den>
                    </m:f>
                  </m:oMath>
                </m:oMathPara>
              </a14:m>
              <a:endParaRPr lang="zh-CN" altLang="en-US" sz="1400"/>
            </a:p>
          </xdr:txBody>
        </xdr:sp>
      </mc:Choice>
      <mc:Fallback xmlns="">
        <xdr:sp macro="" textlink="">
          <xdr:nvSpPr>
            <xdr:cNvPr id="2" name="文本框 1">
              <a:extLst>
                <a:ext uri="{FF2B5EF4-FFF2-40B4-BE49-F238E27FC236}">
                  <a16:creationId xmlns:a16="http://schemas.microsoft.com/office/drawing/2014/main" id="{8671ACC3-2EF6-4F5D-809C-BADFBED6A043}"/>
                </a:ext>
              </a:extLst>
            </xdr:cNvPr>
            <xdr:cNvSpPr txBox="1"/>
          </xdr:nvSpPr>
          <xdr:spPr>
            <a:xfrm>
              <a:off x="3543300" y="133350"/>
              <a:ext cx="556114" cy="43306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zh-CN" sz="1400" b="0" i="0">
                  <a:latin typeface="Cambria Math" panose="02040503050406030204" pitchFamily="18" charset="0"/>
                </a:rPr>
                <a:t>𝑅=(𝑟_1 ) ̅/(𝑟_𝐸 ) ̅ </a:t>
              </a:r>
              <a:endParaRPr lang="zh-CN" altLang="en-US" sz="1400"/>
            </a:p>
          </xdr:txBody>
        </xdr:sp>
      </mc:Fallback>
    </mc:AlternateContent>
    <xdr:clientData/>
  </xdr:oneCellAnchor>
  <xdr:oneCellAnchor>
    <xdr:from>
      <xdr:col>5</xdr:col>
      <xdr:colOff>114300</xdr:colOff>
      <xdr:row>3</xdr:row>
      <xdr:rowOff>139101</xdr:rowOff>
    </xdr:from>
    <xdr:ext cx="1053109" cy="49513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文本框 2">
              <a:extLst>
                <a:ext uri="{FF2B5EF4-FFF2-40B4-BE49-F238E27FC236}">
                  <a16:creationId xmlns:a16="http://schemas.microsoft.com/office/drawing/2014/main" id="{89084FAB-268B-4736-8692-2A5B2D3043E2}"/>
                </a:ext>
              </a:extLst>
            </xdr:cNvPr>
            <xdr:cNvSpPr txBox="1"/>
          </xdr:nvSpPr>
          <xdr:spPr>
            <a:xfrm>
              <a:off x="3543300" y="682026"/>
              <a:ext cx="1053109" cy="4951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4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b>
                        <m:r>
                          <a:rPr lang="en-US" altLang="zh-CN" sz="1400" b="0" i="1">
                            <a:latin typeface="Cambria Math" panose="02040503050406030204" pitchFamily="18" charset="0"/>
                          </a:rPr>
                          <m:t>𝐸</m:t>
                        </m:r>
                      </m:sub>
                    </m:sSub>
                    <m:r>
                      <a:rPr lang="en-US" altLang="zh-CN" sz="14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zh-CN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altLang="zh-CN" sz="14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altLang="zh-CN" sz="1400" b="0" i="1">
                            <a:latin typeface="Cambria Math" panose="02040503050406030204" pitchFamily="18" charset="0"/>
                          </a:rPr>
                          <m:t>2</m:t>
                        </m:r>
                        <m:rad>
                          <m:radPr>
                            <m:degHide m:val="on"/>
                            <m:ctrlPr>
                              <a:rPr lang="en-US" altLang="zh-CN" sz="1400" b="0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r>
                              <m:rPr>
                                <m:sty m:val="p"/>
                              </m:rPr>
                              <a:rPr lang="en-US" altLang="zh-CN" sz="1400" b="0" i="1">
                                <a:latin typeface="Cambria Math" panose="02040503050406030204" pitchFamily="18" charset="0"/>
                              </a:rPr>
                              <m:t>n</m:t>
                            </m:r>
                            <m:r>
                              <a:rPr lang="en-US" altLang="zh-CN" sz="1400" b="0" i="1">
                                <a:latin typeface="Cambria Math" panose="02040503050406030204" pitchFamily="18" charset="0"/>
                              </a:rPr>
                              <m:t>/</m:t>
                            </m:r>
                            <m:r>
                              <a:rPr lang="en-US" altLang="zh-CN" sz="1400" b="0" i="1">
                                <a:latin typeface="Cambria Math" panose="02040503050406030204" pitchFamily="18" charset="0"/>
                              </a:rPr>
                              <m:t>𝐴</m:t>
                            </m:r>
                          </m:e>
                        </m:rad>
                      </m:den>
                    </m:f>
                  </m:oMath>
                </m:oMathPara>
              </a14:m>
              <a:endParaRPr lang="zh-CN" altLang="en-US" sz="1400"/>
            </a:p>
          </xdr:txBody>
        </xdr:sp>
      </mc:Choice>
      <mc:Fallback xmlns="">
        <xdr:sp macro="" textlink="">
          <xdr:nvSpPr>
            <xdr:cNvPr id="3" name="文本框 2">
              <a:extLst>
                <a:ext uri="{FF2B5EF4-FFF2-40B4-BE49-F238E27FC236}">
                  <a16:creationId xmlns:a16="http://schemas.microsoft.com/office/drawing/2014/main" id="{89084FAB-268B-4736-8692-2A5B2D3043E2}"/>
                </a:ext>
              </a:extLst>
            </xdr:cNvPr>
            <xdr:cNvSpPr txBox="1"/>
          </xdr:nvSpPr>
          <xdr:spPr>
            <a:xfrm>
              <a:off x="3543300" y="682026"/>
              <a:ext cx="1053109" cy="4951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zh-CN" sz="1400" b="0" i="0">
                  <a:latin typeface="Cambria Math" panose="02040503050406030204" pitchFamily="18" charset="0"/>
                </a:rPr>
                <a:t>𝑅_𝐸=1/(2√(n/𝐴))</a:t>
              </a:r>
              <a:endParaRPr lang="zh-CN" altLang="en-US" sz="1400"/>
            </a:p>
          </xdr:txBody>
        </xdr:sp>
      </mc:Fallback>
    </mc:AlternateContent>
    <xdr:clientData/>
  </xdr:oneCellAnchor>
  <xdr:twoCellAnchor editAs="oneCell">
    <xdr:from>
      <xdr:col>0</xdr:col>
      <xdr:colOff>0</xdr:colOff>
      <xdr:row>35</xdr:row>
      <xdr:rowOff>133351</xdr:rowOff>
    </xdr:from>
    <xdr:to>
      <xdr:col>4</xdr:col>
      <xdr:colOff>389249</xdr:colOff>
      <xdr:row>42</xdr:row>
      <xdr:rowOff>66676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DC75E50E-70BC-470A-BF92-1BF005E034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6467476"/>
          <a:ext cx="3132449" cy="1200150"/>
        </a:xfrm>
        <a:prstGeom prst="rect">
          <a:avLst/>
        </a:prstGeom>
      </xdr:spPr>
    </xdr:pic>
    <xdr:clientData/>
  </xdr:twoCellAnchor>
  <xdr:twoCellAnchor editAs="oneCell">
    <xdr:from>
      <xdr:col>16</xdr:col>
      <xdr:colOff>200025</xdr:colOff>
      <xdr:row>0</xdr:row>
      <xdr:rowOff>0</xdr:rowOff>
    </xdr:from>
    <xdr:to>
      <xdr:col>25</xdr:col>
      <xdr:colOff>180206</xdr:colOff>
      <xdr:row>39</xdr:row>
      <xdr:rowOff>65784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E33EBB3F-60ED-4A35-B4ED-4298E07107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172825" y="0"/>
          <a:ext cx="6152381" cy="712380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50</xdr:row>
      <xdr:rowOff>133349</xdr:rowOff>
    </xdr:from>
    <xdr:to>
      <xdr:col>5</xdr:col>
      <xdr:colOff>614363</xdr:colOff>
      <xdr:row>69</xdr:row>
      <xdr:rowOff>38099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B3877BF-0EC2-4CB9-B492-1334362726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0</xdr:colOff>
      <xdr:row>13</xdr:row>
      <xdr:rowOff>0</xdr:rowOff>
    </xdr:from>
    <xdr:to>
      <xdr:col>18</xdr:col>
      <xdr:colOff>218362</xdr:colOff>
      <xdr:row>24</xdr:row>
      <xdr:rowOff>94989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C83558AC-0901-4D4C-88B4-C0260CF310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58000" y="2352675"/>
          <a:ext cx="5704762" cy="2085714"/>
        </a:xfrm>
        <a:prstGeom prst="rect">
          <a:avLst/>
        </a:prstGeom>
      </xdr:spPr>
    </xdr:pic>
    <xdr:clientData/>
  </xdr:twoCellAnchor>
  <xdr:twoCellAnchor editAs="oneCell">
    <xdr:from>
      <xdr:col>10</xdr:col>
      <xdr:colOff>9525</xdr:colOff>
      <xdr:row>25</xdr:row>
      <xdr:rowOff>142875</xdr:rowOff>
    </xdr:from>
    <xdr:to>
      <xdr:col>15</xdr:col>
      <xdr:colOff>494811</xdr:colOff>
      <xdr:row>37</xdr:row>
      <xdr:rowOff>9270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2B2563D0-09C6-401A-BC92-6C4B88D10E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67525" y="4667250"/>
          <a:ext cx="3914286" cy="2038095"/>
        </a:xfrm>
        <a:prstGeom prst="rect">
          <a:avLst/>
        </a:prstGeom>
      </xdr:spPr>
    </xdr:pic>
    <xdr:clientData/>
  </xdr:twoCellAnchor>
  <xdr:twoCellAnchor editAs="oneCell">
    <xdr:from>
      <xdr:col>10</xdr:col>
      <xdr:colOff>28575</xdr:colOff>
      <xdr:row>38</xdr:row>
      <xdr:rowOff>171450</xdr:rowOff>
    </xdr:from>
    <xdr:to>
      <xdr:col>15</xdr:col>
      <xdr:colOff>561480</xdr:colOff>
      <xdr:row>50</xdr:row>
      <xdr:rowOff>28321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C07A25F5-BBD3-4F9A-B967-4210963EF7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886575" y="7048500"/>
          <a:ext cx="3961905" cy="202857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552451</xdr:colOff>
      <xdr:row>0</xdr:row>
      <xdr:rowOff>0</xdr:rowOff>
    </xdr:from>
    <xdr:to>
      <xdr:col>15</xdr:col>
      <xdr:colOff>278393</xdr:colOff>
      <xdr:row>19</xdr:row>
      <xdr:rowOff>57150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15BB0649-ED42-4610-AC62-C64D12C895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10451" y="0"/>
          <a:ext cx="3154942" cy="3495675"/>
        </a:xfrm>
        <a:prstGeom prst="rect">
          <a:avLst/>
        </a:prstGeom>
      </xdr:spPr>
    </xdr:pic>
    <xdr:clientData/>
  </xdr:twoCellAnchor>
  <xdr:twoCellAnchor editAs="oneCell">
    <xdr:from>
      <xdr:col>13</xdr:col>
      <xdr:colOff>438150</xdr:colOff>
      <xdr:row>0</xdr:row>
      <xdr:rowOff>0</xdr:rowOff>
    </xdr:from>
    <xdr:to>
      <xdr:col>18</xdr:col>
      <xdr:colOff>676275</xdr:colOff>
      <xdr:row>19</xdr:row>
      <xdr:rowOff>36317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6F8DA187-9535-49A6-895A-9745BDCE8B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353550" y="0"/>
          <a:ext cx="3667125" cy="3474842"/>
        </a:xfrm>
        <a:prstGeom prst="rect">
          <a:avLst/>
        </a:prstGeom>
      </xdr:spPr>
    </xdr:pic>
    <xdr:clientData/>
  </xdr:twoCellAnchor>
  <xdr:oneCellAnchor>
    <xdr:from>
      <xdr:col>4</xdr:col>
      <xdr:colOff>219075</xdr:colOff>
      <xdr:row>28</xdr:row>
      <xdr:rowOff>104775</xdr:rowOff>
    </xdr:from>
    <xdr:ext cx="2165529" cy="86389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文本框 3">
              <a:extLst>
                <a:ext uri="{FF2B5EF4-FFF2-40B4-BE49-F238E27FC236}">
                  <a16:creationId xmlns:a16="http://schemas.microsoft.com/office/drawing/2014/main" id="{47933930-99B3-415D-9474-8DB0091E59BF}"/>
                </a:ext>
              </a:extLst>
            </xdr:cNvPr>
            <xdr:cNvSpPr txBox="1"/>
          </xdr:nvSpPr>
          <xdr:spPr>
            <a:xfrm>
              <a:off x="3267075" y="5172075"/>
              <a:ext cx="2165529" cy="86389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zh-CN" altLang="en-US" sz="1400" i="1">
                        <a:latin typeface="Cambria Math" panose="02040503050406030204" pitchFamily="18" charset="0"/>
                      </a:rPr>
                      <m:t>𝑡</m:t>
                    </m:r>
                    <m:r>
                      <a:rPr lang="zh-CN" altLang="en-US" sz="1400" i="0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zh-CN" altLang="en-US" sz="14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zh-CN" altLang="en-US" sz="14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acc>
                              <m:accPr>
                                <m:chr m:val="̅"/>
                                <m:ctrlPr>
                                  <a:rPr lang="zh-CN" altLang="en-US" sz="1400" i="1"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r>
                                  <a:rPr lang="zh-CN" altLang="en-US" sz="140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</m:acc>
                          </m:e>
                          <m:sub>
                            <m:r>
                              <a:rPr lang="zh-CN" altLang="en-US" sz="1400" i="0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  <m:r>
                          <a:rPr lang="zh-CN" altLang="en-US" sz="1400" i="0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zh-CN" altLang="en-US" sz="14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acc>
                              <m:accPr>
                                <m:chr m:val="̅"/>
                                <m:ctrlPr>
                                  <a:rPr lang="zh-CN" altLang="en-US" sz="1400" i="1"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r>
                                  <a:rPr lang="zh-CN" altLang="en-US" sz="140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</m:acc>
                          </m:e>
                          <m:sub>
                            <m:r>
                              <a:rPr lang="zh-CN" altLang="en-US" sz="1400" i="0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</m:num>
                      <m:den>
                        <m:rad>
                          <m:radPr>
                            <m:degHide m:val="on"/>
                            <m:ctrlPr>
                              <a:rPr lang="zh-CN" altLang="en-US" sz="1400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f>
                              <m:fPr>
                                <m:ctrlPr>
                                  <a:rPr lang="zh-CN" altLang="en-US" sz="140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sSub>
                                  <m:sSubPr>
                                    <m:ctrlPr>
                                      <a:rPr lang="zh-CN" altLang="en-US" sz="140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zh-CN" altLang="en-US" sz="1400" i="1">
                                        <a:latin typeface="Cambria Math" panose="02040503050406030204" pitchFamily="18" charset="0"/>
                                      </a:rPr>
                                      <m:t>𝑛</m:t>
                                    </m:r>
                                  </m:e>
                                  <m:sub>
                                    <m:r>
                                      <a:rPr lang="zh-CN" altLang="en-US" sz="1400" i="0">
                                        <a:latin typeface="Cambria Math" panose="02040503050406030204" pitchFamily="18" charset="0"/>
                                      </a:rPr>
                                      <m:t>1</m:t>
                                    </m:r>
                                  </m:sub>
                                </m:sSub>
                                <m:sSubSup>
                                  <m:sSubSupPr>
                                    <m:ctrlPr>
                                      <a:rPr lang="zh-CN" altLang="en-US" sz="140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SupPr>
                                  <m:e>
                                    <m:r>
                                      <a:rPr lang="zh-CN" altLang="en-US" sz="1400" i="1">
                                        <a:latin typeface="Cambria Math" panose="02040503050406030204" pitchFamily="18" charset="0"/>
                                      </a:rPr>
                                      <m:t>𝑠</m:t>
                                    </m:r>
                                  </m:e>
                                  <m:sub>
                                    <m:r>
                                      <a:rPr lang="zh-CN" altLang="en-US" sz="1400" i="0">
                                        <a:latin typeface="Cambria Math" panose="02040503050406030204" pitchFamily="18" charset="0"/>
                                      </a:rPr>
                                      <m:t>1</m:t>
                                    </m:r>
                                  </m:sub>
                                  <m:sup>
                                    <m:r>
                                      <a:rPr lang="zh-CN" altLang="en-US" sz="1400" i="0"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</m:sup>
                                </m:sSubSup>
                                <m:r>
                                  <a:rPr lang="zh-CN" altLang="en-US" sz="1400" i="0">
                                    <a:latin typeface="Cambria Math" panose="02040503050406030204" pitchFamily="18" charset="0"/>
                                  </a:rPr>
                                  <m:t>+</m:t>
                                </m:r>
                                <m:sSub>
                                  <m:sSubPr>
                                    <m:ctrlPr>
                                      <a:rPr lang="zh-CN" altLang="en-US" sz="140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zh-CN" altLang="en-US" sz="1400" i="1">
                                        <a:latin typeface="Cambria Math" panose="02040503050406030204" pitchFamily="18" charset="0"/>
                                      </a:rPr>
                                      <m:t>𝑛</m:t>
                                    </m:r>
                                  </m:e>
                                  <m:sub>
                                    <m:r>
                                      <a:rPr lang="zh-CN" altLang="en-US" sz="1400" i="0"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</m:sub>
                                </m:sSub>
                                <m:sSubSup>
                                  <m:sSubSupPr>
                                    <m:ctrlPr>
                                      <a:rPr lang="zh-CN" altLang="en-US" sz="140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SupPr>
                                  <m:e>
                                    <m:r>
                                      <a:rPr lang="zh-CN" altLang="en-US" sz="1400" i="1">
                                        <a:latin typeface="Cambria Math" panose="02040503050406030204" pitchFamily="18" charset="0"/>
                                      </a:rPr>
                                      <m:t>𝑠</m:t>
                                    </m:r>
                                  </m:e>
                                  <m:sub>
                                    <m:r>
                                      <a:rPr lang="zh-CN" altLang="en-US" sz="1400" i="0"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</m:sub>
                                  <m:sup>
                                    <m:r>
                                      <a:rPr lang="en-US" altLang="zh-CN" sz="1400" i="1"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</m:sup>
                                </m:sSubSup>
                              </m:num>
                              <m:den>
                                <m:sSub>
                                  <m:sSubPr>
                                    <m:ctrlPr>
                                      <a:rPr lang="zh-CN" altLang="en-US" sz="140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zh-CN" altLang="en-US" sz="1400" i="1">
                                        <a:latin typeface="Cambria Math" panose="02040503050406030204" pitchFamily="18" charset="0"/>
                                      </a:rPr>
                                      <m:t>𝑛</m:t>
                                    </m:r>
                                  </m:e>
                                  <m:sub>
                                    <m:r>
                                      <a:rPr lang="zh-CN" altLang="en-US" sz="1400" i="0">
                                        <a:latin typeface="Cambria Math" panose="02040503050406030204" pitchFamily="18" charset="0"/>
                                      </a:rPr>
                                      <m:t>1</m:t>
                                    </m:r>
                                  </m:sub>
                                </m:sSub>
                                <m:r>
                                  <a:rPr lang="zh-CN" altLang="en-US" sz="1400" i="0">
                                    <a:latin typeface="Cambria Math" panose="02040503050406030204" pitchFamily="18" charset="0"/>
                                  </a:rPr>
                                  <m:t>+</m:t>
                                </m:r>
                                <m:sSub>
                                  <m:sSubPr>
                                    <m:ctrlPr>
                                      <a:rPr lang="zh-CN" altLang="en-US" sz="140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zh-CN" altLang="en-US" sz="1400" i="1">
                                        <a:latin typeface="Cambria Math" panose="02040503050406030204" pitchFamily="18" charset="0"/>
                                      </a:rPr>
                                      <m:t>𝑛</m:t>
                                    </m:r>
                                  </m:e>
                                  <m:sub>
                                    <m:r>
                                      <a:rPr lang="zh-CN" altLang="en-US" sz="1400" i="0"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</m:sub>
                                </m:sSub>
                                <m:r>
                                  <a:rPr lang="zh-CN" altLang="en-US" sz="1400" i="0">
                                    <a:latin typeface="Cambria Math" panose="02040503050406030204" pitchFamily="18" charset="0"/>
                                  </a:rPr>
                                  <m:t>−2</m:t>
                                </m:r>
                              </m:den>
                            </m:f>
                          </m:e>
                        </m:rad>
                        <m:rad>
                          <m:radPr>
                            <m:degHide m:val="on"/>
                            <m:ctrlPr>
                              <a:rPr lang="zh-CN" altLang="en-US" sz="1400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f>
                              <m:fPr>
                                <m:ctrlPr>
                                  <a:rPr lang="zh-CN" altLang="en-US" sz="140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zh-CN" altLang="en-US" sz="1400" i="0">
                                    <a:latin typeface="Cambria Math" panose="02040503050406030204" pitchFamily="18" charset="0"/>
                                  </a:rPr>
                                  <m:t>1</m:t>
                                </m:r>
                              </m:num>
                              <m:den>
                                <m:sSub>
                                  <m:sSubPr>
                                    <m:ctrlPr>
                                      <a:rPr lang="zh-CN" altLang="en-US" sz="140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zh-CN" altLang="en-US" sz="1400" i="1">
                                        <a:latin typeface="Cambria Math" panose="02040503050406030204" pitchFamily="18" charset="0"/>
                                      </a:rPr>
                                      <m:t>𝑛</m:t>
                                    </m:r>
                                  </m:e>
                                  <m:sub>
                                    <m:r>
                                      <a:rPr lang="zh-CN" altLang="en-US" sz="1400" i="0">
                                        <a:latin typeface="Cambria Math" panose="02040503050406030204" pitchFamily="18" charset="0"/>
                                      </a:rPr>
                                      <m:t>1</m:t>
                                    </m:r>
                                  </m:sub>
                                </m:sSub>
                              </m:den>
                            </m:f>
                            <m:r>
                              <a:rPr lang="zh-CN" altLang="en-US" sz="1400" i="0">
                                <a:latin typeface="Cambria Math" panose="02040503050406030204" pitchFamily="18" charset="0"/>
                              </a:rPr>
                              <m:t>+</m:t>
                            </m:r>
                            <m:f>
                              <m:fPr>
                                <m:ctrlPr>
                                  <a:rPr lang="zh-CN" altLang="en-US" sz="140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zh-CN" altLang="en-US" sz="1400" i="0">
                                    <a:latin typeface="Cambria Math" panose="02040503050406030204" pitchFamily="18" charset="0"/>
                                  </a:rPr>
                                  <m:t>1</m:t>
                                </m:r>
                              </m:num>
                              <m:den>
                                <m:sSub>
                                  <m:sSubPr>
                                    <m:ctrlPr>
                                      <a:rPr lang="zh-CN" altLang="en-US" sz="140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zh-CN" altLang="en-US" sz="1400" i="1">
                                        <a:latin typeface="Cambria Math" panose="02040503050406030204" pitchFamily="18" charset="0"/>
                                      </a:rPr>
                                      <m:t>𝑛</m:t>
                                    </m:r>
                                  </m:e>
                                  <m:sub>
                                    <m:r>
                                      <a:rPr lang="zh-CN" altLang="en-US" sz="1400" i="0"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</m:sub>
                                </m:sSub>
                              </m:den>
                            </m:f>
                          </m:e>
                        </m:rad>
                      </m:den>
                    </m:f>
                  </m:oMath>
                </m:oMathPara>
              </a14:m>
              <a:endParaRPr lang="zh-CN" altLang="en-US" sz="1400"/>
            </a:p>
          </xdr:txBody>
        </xdr:sp>
      </mc:Choice>
      <mc:Fallback xmlns="">
        <xdr:sp macro="" textlink="">
          <xdr:nvSpPr>
            <xdr:cNvPr id="4" name="文本框 3">
              <a:extLst>
                <a:ext uri="{FF2B5EF4-FFF2-40B4-BE49-F238E27FC236}">
                  <a16:creationId xmlns:a16="http://schemas.microsoft.com/office/drawing/2014/main" id="{47933930-99B3-415D-9474-8DB0091E59BF}"/>
                </a:ext>
              </a:extLst>
            </xdr:cNvPr>
            <xdr:cNvSpPr txBox="1"/>
          </xdr:nvSpPr>
          <xdr:spPr>
            <a:xfrm>
              <a:off x="3267075" y="5172075"/>
              <a:ext cx="2165529" cy="86389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zh-CN" altLang="en-US" sz="1400" i="0">
                  <a:latin typeface="Cambria Math" panose="02040503050406030204" pitchFamily="18" charset="0"/>
                </a:rPr>
                <a:t>𝑡=(𝑥 ̅_1−𝑥 ̅_2)/(√((𝑛_1 𝑠_1^2+𝑛_2 𝑠_2^</a:t>
              </a:r>
              <a:r>
                <a:rPr lang="en-US" altLang="zh-CN" sz="1400" i="0">
                  <a:latin typeface="Cambria Math" panose="02040503050406030204" pitchFamily="18" charset="0"/>
                </a:rPr>
                <a:t>2</a:t>
              </a:r>
              <a:r>
                <a:rPr lang="zh-CN" altLang="en-US" sz="1400" i="0">
                  <a:latin typeface="Cambria Math" panose="02040503050406030204" pitchFamily="18" charset="0"/>
                </a:rPr>
                <a:t>)/(𝑛_1+𝑛_2−2)) √(1/𝑛_1 +1/𝑛_2 ))</a:t>
              </a:r>
              <a:endParaRPr lang="zh-CN" altLang="en-US" sz="1400"/>
            </a:p>
          </xdr:txBody>
        </xdr:sp>
      </mc:Fallback>
    </mc:AlternateContent>
    <xdr:clientData/>
  </xdr:oneCellAnchor>
  <xdr:oneCellAnchor>
    <xdr:from>
      <xdr:col>6</xdr:col>
      <xdr:colOff>161925</xdr:colOff>
      <xdr:row>59</xdr:row>
      <xdr:rowOff>9525</xdr:rowOff>
    </xdr:from>
    <xdr:ext cx="2819400" cy="60369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文本框 4">
              <a:extLst>
                <a:ext uri="{FF2B5EF4-FFF2-40B4-BE49-F238E27FC236}">
                  <a16:creationId xmlns:a16="http://schemas.microsoft.com/office/drawing/2014/main" id="{DFCE3200-9EBA-4AC7-B3AB-67E1E78B3D1E}"/>
                </a:ext>
              </a:extLst>
            </xdr:cNvPr>
            <xdr:cNvSpPr txBox="1"/>
          </xdr:nvSpPr>
          <xdr:spPr>
            <a:xfrm>
              <a:off x="4581525" y="10687050"/>
              <a:ext cx="2819400" cy="60369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zh-CN" sz="14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altLang="zh-CN" sz="1400" b="0" i="1">
                            <a:latin typeface="Cambria Math" panose="02040503050406030204" pitchFamily="18" charset="0"/>
                          </a:rPr>
                          <m:t>𝑋</m:t>
                        </m:r>
                      </m:e>
                      <m:sup>
                        <m:r>
                          <a:rPr lang="en-US" altLang="zh-CN" sz="140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altLang="zh-CN" sz="1400" b="0" i="1">
                        <a:latin typeface="Cambria Math" panose="02040503050406030204" pitchFamily="18" charset="0"/>
                      </a:rPr>
                      <m:t>=</m:t>
                    </m:r>
                    <m:nary>
                      <m:naryPr>
                        <m:chr m:val="∑"/>
                        <m:supHide m:val="on"/>
                        <m:ctrlPr>
                          <a:rPr lang="en-US" altLang="zh-CN" sz="1400" b="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7"/>
                          </m:rPr>
                          <a:rPr lang="zh-CN" altLang="en-US" sz="1400" b="0" i="1">
                            <a:latin typeface="Cambria Math" panose="02040503050406030204" pitchFamily="18" charset="0"/>
                          </a:rPr>
                          <m:t>组</m:t>
                        </m:r>
                      </m:sub>
                      <m:sup/>
                      <m:e>
                        <m:f>
                          <m:fPr>
                            <m:ctrlPr>
                              <a:rPr lang="en-US" altLang="zh-CN" sz="14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en-US" altLang="zh-CN" sz="14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altLang="zh-CN" sz="1400" b="0" i="1">
                                    <a:latin typeface="Cambria Math" panose="02040503050406030204" pitchFamily="18" charset="0"/>
                                  </a:rPr>
                                  <m:t>(</m:t>
                                </m:r>
                                <m:r>
                                  <a:rPr lang="zh-CN" altLang="en-US" sz="1400" b="0" i="1">
                                    <a:latin typeface="Cambria Math" panose="02040503050406030204" pitchFamily="18" charset="0"/>
                                  </a:rPr>
                                  <m:t>观测次数</m:t>
                                </m:r>
                                <m:r>
                                  <a:rPr lang="en-US" altLang="zh-CN" sz="1400" b="0" i="1">
                                    <a:latin typeface="Cambria Math" panose="02040503050406030204" pitchFamily="18" charset="0"/>
                                  </a:rPr>
                                  <m:t>−</m:t>
                                </m:r>
                                <m:r>
                                  <a:rPr lang="zh-CN" altLang="en-US" sz="1400" b="0" i="1">
                                    <a:latin typeface="Cambria Math" panose="02040503050406030204" pitchFamily="18" charset="0"/>
                                  </a:rPr>
                                  <m:t>理论次数</m:t>
                                </m:r>
                                <m:r>
                                  <a:rPr lang="en-US" altLang="zh-CN" sz="1400" b="0" i="1">
                                    <a:latin typeface="Cambria Math" panose="02040503050406030204" pitchFamily="18" charset="0"/>
                                  </a:rPr>
                                  <m:t>)</m:t>
                                </m:r>
                              </m:e>
                              <m:sup>
                                <m:r>
                                  <a:rPr lang="en-US" altLang="zh-CN" sz="14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num>
                          <m:den>
                            <m:r>
                              <a:rPr lang="zh-CN" altLang="en-US" sz="1400" b="0" i="1">
                                <a:latin typeface="Cambria Math" panose="02040503050406030204" pitchFamily="18" charset="0"/>
                              </a:rPr>
                              <m:t>理论次数</m:t>
                            </m:r>
                          </m:den>
                        </m:f>
                      </m:e>
                    </m:nary>
                  </m:oMath>
                </m:oMathPara>
              </a14:m>
              <a:endParaRPr lang="zh-CN" altLang="en-US" sz="1400"/>
            </a:p>
          </xdr:txBody>
        </xdr:sp>
      </mc:Choice>
      <mc:Fallback xmlns="">
        <xdr:sp macro="" textlink="">
          <xdr:nvSpPr>
            <xdr:cNvPr id="5" name="文本框 4">
              <a:extLst>
                <a:ext uri="{FF2B5EF4-FFF2-40B4-BE49-F238E27FC236}">
                  <a16:creationId xmlns:a16="http://schemas.microsoft.com/office/drawing/2014/main" id="{DFCE3200-9EBA-4AC7-B3AB-67E1E78B3D1E}"/>
                </a:ext>
              </a:extLst>
            </xdr:cNvPr>
            <xdr:cNvSpPr txBox="1"/>
          </xdr:nvSpPr>
          <xdr:spPr>
            <a:xfrm>
              <a:off x="4581525" y="10687050"/>
              <a:ext cx="2819400" cy="60369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altLang="zh-CN" sz="1400" b="0" i="0">
                  <a:latin typeface="Cambria Math" panose="02040503050406030204" pitchFamily="18" charset="0"/>
                </a:rPr>
                <a:t>𝑋^</a:t>
              </a:r>
              <a:r>
                <a:rPr lang="en-US" altLang="zh-CN" sz="1400" i="0">
                  <a:latin typeface="Cambria Math" panose="02040503050406030204" pitchFamily="18" charset="0"/>
                </a:rPr>
                <a:t>2</a:t>
              </a:r>
              <a:r>
                <a:rPr lang="en-US" altLang="zh-CN" sz="1400" b="0" i="0">
                  <a:latin typeface="Cambria Math" panose="02040503050406030204" pitchFamily="18" charset="0"/>
                </a:rPr>
                <a:t>=∑</a:t>
              </a:r>
              <a:r>
                <a:rPr lang="zh-CN" altLang="en-US" sz="1400" b="0" i="0">
                  <a:latin typeface="Cambria Math" panose="02040503050406030204" pitchFamily="18" charset="0"/>
                </a:rPr>
                <a:t>_组▒</a:t>
              </a:r>
              <a:r>
                <a:rPr lang="en-US" altLang="zh-CN" sz="1400" b="0" i="0">
                  <a:latin typeface="Cambria Math" panose="02040503050406030204" pitchFamily="18" charset="0"/>
                </a:rPr>
                <a:t>〖(</a:t>
              </a:r>
              <a:r>
                <a:rPr lang="zh-CN" altLang="en-US" sz="1400" b="0" i="0">
                  <a:latin typeface="Cambria Math" panose="02040503050406030204" pitchFamily="18" charset="0"/>
                </a:rPr>
                <a:t>观测次数</a:t>
              </a:r>
              <a:r>
                <a:rPr lang="en-US" altLang="zh-CN" sz="1400" b="0" i="0">
                  <a:latin typeface="Cambria Math" panose="02040503050406030204" pitchFamily="18" charset="0"/>
                </a:rPr>
                <a:t>−</a:t>
              </a:r>
              <a:r>
                <a:rPr lang="zh-CN" altLang="en-US" sz="1400" b="0" i="0">
                  <a:latin typeface="Cambria Math" panose="02040503050406030204" pitchFamily="18" charset="0"/>
                </a:rPr>
                <a:t>理论次数</a:t>
              </a:r>
              <a:r>
                <a:rPr lang="en-US" altLang="zh-CN" sz="1400" b="0" i="0">
                  <a:latin typeface="Cambria Math" panose="02040503050406030204" pitchFamily="18" charset="0"/>
                </a:rPr>
                <a:t>)〗^2/</a:t>
              </a:r>
              <a:r>
                <a:rPr lang="zh-CN" altLang="en-US" sz="1400" b="0" i="0">
                  <a:latin typeface="Cambria Math" panose="02040503050406030204" pitchFamily="18" charset="0"/>
                </a:rPr>
                <a:t>理论次数</a:t>
              </a:r>
              <a:endParaRPr lang="zh-CN" altLang="en-US" sz="1400"/>
            </a:p>
          </xdr:txBody>
        </xdr:sp>
      </mc:Fallback>
    </mc:AlternateContent>
    <xdr:clientData/>
  </xdr:oneCellAnchor>
  <xdr:oneCellAnchor>
    <xdr:from>
      <xdr:col>4</xdr:col>
      <xdr:colOff>57150</xdr:colOff>
      <xdr:row>76</xdr:row>
      <xdr:rowOff>57150</xdr:rowOff>
    </xdr:from>
    <xdr:ext cx="3248026" cy="64658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文本框 5">
              <a:extLst>
                <a:ext uri="{FF2B5EF4-FFF2-40B4-BE49-F238E27FC236}">
                  <a16:creationId xmlns:a16="http://schemas.microsoft.com/office/drawing/2014/main" id="{B8051535-69E2-45B1-B134-6B420CD2C5E4}"/>
                </a:ext>
              </a:extLst>
            </xdr:cNvPr>
            <xdr:cNvSpPr txBox="1"/>
          </xdr:nvSpPr>
          <xdr:spPr>
            <a:xfrm>
              <a:off x="3105150" y="13811250"/>
              <a:ext cx="3248026" cy="64658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zh-CN" sz="1400" b="0" i="1">
                        <a:latin typeface="Cambria Math" panose="02040503050406030204" pitchFamily="18" charset="0"/>
                      </a:rPr>
                      <m:t>𝑢</m:t>
                    </m:r>
                    <m:r>
                      <a:rPr lang="en-US" altLang="zh-CN" sz="14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zh-CN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altLang="zh-CN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zh-CN" sz="1400" b="0" i="1">
                                <a:latin typeface="Cambria Math" panose="02040503050406030204" pitchFamily="18" charset="0"/>
                              </a:rPr>
                              <m:t>𝑅</m:t>
                            </m:r>
                          </m:e>
                          <m:sub>
                            <m:r>
                              <a:rPr lang="en-US" altLang="zh-CN" sz="14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  <m:r>
                          <a:rPr lang="en-US" altLang="zh-CN" sz="14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n-US" altLang="zh-CN" sz="1400" b="0" i="1">
                            <a:latin typeface="Cambria Math" panose="02040503050406030204" pitchFamily="18" charset="0"/>
                          </a:rPr>
                          <m:t>𝑚</m:t>
                        </m:r>
                      </m:num>
                      <m:den>
                        <m:r>
                          <a:rPr lang="en-US" altLang="zh-CN" sz="1400" b="0" i="1">
                            <a:latin typeface="Cambria Math" panose="02040503050406030204" pitchFamily="18" charset="0"/>
                          </a:rPr>
                          <m:t>𝑆</m:t>
                        </m:r>
                      </m:den>
                    </m:f>
                    <m:r>
                      <a:rPr lang="zh-CN" altLang="en-US" sz="1400" b="0" i="1">
                        <a:latin typeface="Cambria Math" panose="02040503050406030204" pitchFamily="18" charset="0"/>
                      </a:rPr>
                      <m:t>，</m:t>
                    </m:r>
                  </m:oMath>
                </m:oMathPara>
              </a14:m>
              <a:endParaRPr lang="en-US" altLang="zh-CN" sz="1400"/>
            </a:p>
            <a:p>
              <a:r>
                <a:rPr lang="en-US" altLang="zh-CN" sz="1400"/>
                <a:t>Ri</a:t>
              </a:r>
              <a:r>
                <a:rPr lang="zh-CN" altLang="en-US" sz="1400"/>
                <a:t>为第</a:t>
              </a:r>
              <a:r>
                <a:rPr lang="en-US" altLang="zh-CN" sz="1400"/>
                <a:t>i</a:t>
              </a:r>
              <a:r>
                <a:rPr lang="zh-CN" altLang="en-US" sz="1400"/>
                <a:t>组组下限，</a:t>
              </a:r>
              <a:r>
                <a:rPr lang="en-US" altLang="zh-CN" sz="1400"/>
                <a:t>m</a:t>
              </a:r>
              <a:r>
                <a:rPr lang="zh-CN" altLang="en-US" sz="1400"/>
                <a:t>为平均数，</a:t>
              </a:r>
              <a:r>
                <a:rPr lang="en-US" altLang="zh-CN" sz="1400"/>
                <a:t>S</a:t>
              </a:r>
              <a:r>
                <a:rPr lang="zh-CN" altLang="en-US" sz="1400"/>
                <a:t>为标准差</a:t>
              </a:r>
            </a:p>
          </xdr:txBody>
        </xdr:sp>
      </mc:Choice>
      <mc:Fallback>
        <xdr:sp macro="" textlink="">
          <xdr:nvSpPr>
            <xdr:cNvPr id="6" name="文本框 5">
              <a:extLst>
                <a:ext uri="{FF2B5EF4-FFF2-40B4-BE49-F238E27FC236}">
                  <a16:creationId xmlns:a16="http://schemas.microsoft.com/office/drawing/2014/main" id="{B8051535-69E2-45B1-B134-6B420CD2C5E4}"/>
                </a:ext>
              </a:extLst>
            </xdr:cNvPr>
            <xdr:cNvSpPr txBox="1"/>
          </xdr:nvSpPr>
          <xdr:spPr>
            <a:xfrm>
              <a:off x="3105150" y="13811250"/>
              <a:ext cx="3248026" cy="64658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altLang="zh-CN" sz="1400" b="0" i="0">
                  <a:latin typeface="Cambria Math" panose="02040503050406030204" pitchFamily="18" charset="0"/>
                </a:rPr>
                <a:t>𝑢=(𝑅_𝑖−𝑚)/𝑆</a:t>
              </a:r>
              <a:r>
                <a:rPr lang="zh-CN" altLang="en-US" sz="1400" b="0" i="0">
                  <a:latin typeface="Cambria Math" panose="02040503050406030204" pitchFamily="18" charset="0"/>
                </a:rPr>
                <a:t>，</a:t>
              </a:r>
              <a:endParaRPr lang="en-US" altLang="zh-CN" sz="1400"/>
            </a:p>
            <a:p>
              <a:r>
                <a:rPr lang="en-US" altLang="zh-CN" sz="1400"/>
                <a:t>Ri</a:t>
              </a:r>
              <a:r>
                <a:rPr lang="zh-CN" altLang="en-US" sz="1400"/>
                <a:t>为第</a:t>
              </a:r>
              <a:r>
                <a:rPr lang="en-US" altLang="zh-CN" sz="1400"/>
                <a:t>i</a:t>
              </a:r>
              <a:r>
                <a:rPr lang="zh-CN" altLang="en-US" sz="1400"/>
                <a:t>组组下限，</a:t>
              </a:r>
              <a:r>
                <a:rPr lang="en-US" altLang="zh-CN" sz="1400"/>
                <a:t>m</a:t>
              </a:r>
              <a:r>
                <a:rPr lang="zh-CN" altLang="en-US" sz="1400"/>
                <a:t>为平均数，</a:t>
              </a:r>
              <a:r>
                <a:rPr lang="en-US" altLang="zh-CN" sz="1400"/>
                <a:t>S</a:t>
              </a:r>
              <a:r>
                <a:rPr lang="zh-CN" altLang="en-US" sz="1400"/>
                <a:t>为标准差</a:t>
              </a:r>
            </a:p>
          </xdr:txBody>
        </xdr:sp>
      </mc:Fallback>
    </mc:AlternateContent>
    <xdr:clientData/>
  </xdr:oneCellAnchor>
  <xdr:twoCellAnchor editAs="oneCell">
    <xdr:from>
      <xdr:col>7</xdr:col>
      <xdr:colOff>1038225</xdr:colOff>
      <xdr:row>73</xdr:row>
      <xdr:rowOff>161925</xdr:rowOff>
    </xdr:from>
    <xdr:to>
      <xdr:col>12</xdr:col>
      <xdr:colOff>8572</xdr:colOff>
      <xdr:row>85</xdr:row>
      <xdr:rowOff>114300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BC646C67-8ED8-45A7-8766-8760D35937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381750" y="13373100"/>
          <a:ext cx="2761297" cy="212407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</xdr:colOff>
      <xdr:row>38</xdr:row>
      <xdr:rowOff>114300</xdr:rowOff>
    </xdr:from>
    <xdr:to>
      <xdr:col>5</xdr:col>
      <xdr:colOff>188739</xdr:colOff>
      <xdr:row>50</xdr:row>
      <xdr:rowOff>171892</xdr:rowOff>
    </xdr:to>
    <xdr:grpSp>
      <xdr:nvGrpSpPr>
        <xdr:cNvPr id="2" name="组合 1">
          <a:extLst>
            <a:ext uri="{FF2B5EF4-FFF2-40B4-BE49-F238E27FC236}">
              <a16:creationId xmlns:a16="http://schemas.microsoft.com/office/drawing/2014/main" id="{9767F14C-92B9-44C7-8491-8FDE38AA399C}"/>
            </a:ext>
          </a:extLst>
        </xdr:cNvPr>
        <xdr:cNvGrpSpPr/>
      </xdr:nvGrpSpPr>
      <xdr:grpSpPr>
        <a:xfrm>
          <a:off x="1762125" y="7877175"/>
          <a:ext cx="3141489" cy="2229292"/>
          <a:chOff x="5491162" y="61912"/>
          <a:chExt cx="2836689" cy="2229292"/>
        </a:xfrm>
      </xdr:grpSpPr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3" name="文本框 2">
                <a:extLst>
                  <a:ext uri="{FF2B5EF4-FFF2-40B4-BE49-F238E27FC236}">
                    <a16:creationId xmlns:a16="http://schemas.microsoft.com/office/drawing/2014/main" id="{5DAD5A5D-7010-4791-970B-9F4AF6D74002}"/>
                  </a:ext>
                </a:extLst>
              </xdr:cNvPr>
              <xdr:cNvSpPr txBox="1"/>
            </xdr:nvSpPr>
            <xdr:spPr>
              <a:xfrm>
                <a:off x="5491162" y="61912"/>
                <a:ext cx="2361224" cy="506934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0" tIns="0" rIns="0" bIns="0" rtlCol="0" anchor="t">
                <a:spAutoFit/>
              </a:bodyPr>
              <a:lstStyle/>
              <a:p>
                <a:pPr/>
                <a14:m>
                  <m:oMathPara xmlns:m="http://schemas.openxmlformats.org/officeDocument/2006/math">
                    <m:oMathParaPr>
                      <m:jc m:val="centerGroup"/>
                    </m:oMathParaPr>
                    <m:oMath xmlns:m="http://schemas.openxmlformats.org/officeDocument/2006/math">
                      <m:r>
                        <a:rPr lang="en-US" altLang="zh-CN" sz="1400" b="0" i="1">
                          <a:latin typeface="Cambria Math" panose="02040503050406030204" pitchFamily="18" charset="0"/>
                        </a:rPr>
                        <m:t>𝑟</m:t>
                      </m:r>
                      <m:r>
                        <a:rPr lang="en-US" altLang="zh-CN" sz="1400" b="0" i="1">
                          <a:latin typeface="Cambria Math" panose="02040503050406030204" pitchFamily="18" charset="0"/>
                        </a:rPr>
                        <m:t>=</m:t>
                      </m:r>
                      <m:f>
                        <m:fPr>
                          <m:ctrlPr>
                            <a:rPr lang="en-US" altLang="zh-CN" sz="1400" b="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nary>
                            <m:naryPr>
                              <m:chr m:val="∑"/>
                              <m:subHide m:val="on"/>
                              <m:supHide m:val="on"/>
                              <m:ctrlPr>
                                <a:rPr lang="en-US" altLang="zh-CN" sz="1400" b="0" i="1">
                                  <a:latin typeface="Cambria Math" panose="02040503050406030204" pitchFamily="18" charset="0"/>
                                </a:rPr>
                              </m:ctrlPr>
                            </m:naryPr>
                            <m:sub/>
                            <m:sup/>
                            <m:e>
                              <m:r>
                                <a:rPr lang="en-US" altLang="zh-CN" sz="1400" b="0" i="1">
                                  <a:latin typeface="Cambria Math" panose="02040503050406030204" pitchFamily="18" charset="0"/>
                                </a:rPr>
                                <m:t>(</m:t>
                              </m:r>
                              <m:sSub>
                                <m:sSubPr>
                                  <m:ctrlPr>
                                    <a:rPr lang="en-US" altLang="zh-CN" sz="1400" b="0" i="1">
                                      <a:latin typeface="Cambria Math" panose="02040503050406030204" pitchFamily="18" charset="0"/>
                                    </a:rPr>
                                  </m:ctrlPr>
                                </m:sSubPr>
                                <m:e>
                                  <m:r>
                                    <a:rPr lang="en-US" altLang="zh-CN" sz="1400" b="0" i="1">
                                      <a:latin typeface="Cambria Math" panose="02040503050406030204" pitchFamily="18" charset="0"/>
                                    </a:rPr>
                                    <m:t>𝑥</m:t>
                                  </m:r>
                                </m:e>
                                <m:sub>
                                  <m:r>
                                    <a:rPr lang="en-US" altLang="zh-CN" sz="1400" b="0" i="1">
                                      <a:latin typeface="Cambria Math" panose="02040503050406030204" pitchFamily="18" charset="0"/>
                                    </a:rPr>
                                    <m:t>𝑖</m:t>
                                  </m:r>
                                </m:sub>
                              </m:sSub>
                              <m:r>
                                <a:rPr lang="en-US" altLang="zh-CN" sz="1400" b="0" i="1">
                                  <a:latin typeface="Cambria Math" panose="02040503050406030204" pitchFamily="18" charset="0"/>
                                </a:rPr>
                                <m:t>−</m:t>
                              </m:r>
                              <m:acc>
                                <m:accPr>
                                  <m:chr m:val="̅"/>
                                  <m:ctrlPr>
                                    <a:rPr lang="en-US" altLang="zh-CN" sz="1400" b="0" i="1">
                                      <a:latin typeface="Cambria Math" panose="02040503050406030204" pitchFamily="18" charset="0"/>
                                    </a:rPr>
                                  </m:ctrlPr>
                                </m:accPr>
                                <m:e>
                                  <m:r>
                                    <a:rPr lang="en-US" altLang="zh-CN" sz="1400" b="0" i="1">
                                      <a:latin typeface="Cambria Math" panose="02040503050406030204" pitchFamily="18" charset="0"/>
                                    </a:rPr>
                                    <m:t>𝑥</m:t>
                                  </m:r>
                                </m:e>
                              </m:acc>
                              <m:r>
                                <a:rPr lang="en-US" altLang="zh-CN" sz="1400" b="0" i="1">
                                  <a:latin typeface="Cambria Math" panose="02040503050406030204" pitchFamily="18" charset="0"/>
                                </a:rPr>
                                <m:t>)(</m:t>
                              </m:r>
                              <m:sSub>
                                <m:sSubPr>
                                  <m:ctrlPr>
                                    <a:rPr lang="en-US" altLang="zh-CN" sz="1400" b="0" i="1">
                                      <a:latin typeface="Cambria Math" panose="02040503050406030204" pitchFamily="18" charset="0"/>
                                    </a:rPr>
                                  </m:ctrlPr>
                                </m:sSubPr>
                                <m:e>
                                  <m:r>
                                    <a:rPr lang="en-US" altLang="zh-CN" sz="1400" b="0" i="1">
                                      <a:latin typeface="Cambria Math" panose="02040503050406030204" pitchFamily="18" charset="0"/>
                                    </a:rPr>
                                    <m:t>𝑦</m:t>
                                  </m:r>
                                </m:e>
                                <m:sub>
                                  <m:r>
                                    <a:rPr lang="en-US" altLang="zh-CN" sz="1400" b="0" i="1">
                                      <a:latin typeface="Cambria Math" panose="02040503050406030204" pitchFamily="18" charset="0"/>
                                    </a:rPr>
                                    <m:t>𝑖</m:t>
                                  </m:r>
                                </m:sub>
                              </m:sSub>
                              <m:r>
                                <a:rPr lang="en-US" altLang="zh-CN" sz="1400" b="0" i="1">
                                  <a:latin typeface="Cambria Math" panose="02040503050406030204" pitchFamily="18" charset="0"/>
                                </a:rPr>
                                <m:t>−</m:t>
                              </m:r>
                              <m:acc>
                                <m:accPr>
                                  <m:chr m:val="̅"/>
                                  <m:ctrlPr>
                                    <a:rPr lang="en-US" altLang="zh-CN" sz="1400" b="0" i="1">
                                      <a:latin typeface="Cambria Math" panose="02040503050406030204" pitchFamily="18" charset="0"/>
                                    </a:rPr>
                                  </m:ctrlPr>
                                </m:accPr>
                                <m:e>
                                  <m:r>
                                    <a:rPr lang="en-US" altLang="zh-CN" sz="1400" b="0" i="1">
                                      <a:latin typeface="Cambria Math" panose="02040503050406030204" pitchFamily="18" charset="0"/>
                                    </a:rPr>
                                    <m:t>𝑦</m:t>
                                  </m:r>
                                </m:e>
                              </m:acc>
                              <m:r>
                                <a:rPr lang="en-US" altLang="zh-CN" sz="1400" b="0" i="1">
                                  <a:latin typeface="Cambria Math" panose="02040503050406030204" pitchFamily="18" charset="0"/>
                                </a:rPr>
                                <m:t>)</m:t>
                              </m:r>
                            </m:e>
                          </m:nary>
                        </m:num>
                        <m:den>
                          <m:rad>
                            <m:radPr>
                              <m:degHide m:val="on"/>
                              <m:ctrlPr>
                                <a:rPr lang="en-US" altLang="zh-CN" sz="1400" b="0" i="1">
                                  <a:latin typeface="Cambria Math" panose="02040503050406030204" pitchFamily="18" charset="0"/>
                                </a:rPr>
                              </m:ctrlPr>
                            </m:radPr>
                            <m:deg/>
                            <m:e>
                              <m:nary>
                                <m:naryPr>
                                  <m:chr m:val="∑"/>
                                  <m:subHide m:val="on"/>
                                  <m:supHide m:val="on"/>
                                  <m:ctrlPr>
                                    <a:rPr lang="en-US" altLang="zh-CN" sz="1400" b="0" i="1">
                                      <a:latin typeface="Cambria Math" panose="02040503050406030204" pitchFamily="18" charset="0"/>
                                    </a:rPr>
                                  </m:ctrlPr>
                                </m:naryPr>
                                <m:sub/>
                                <m:sup/>
                                <m:e>
                                  <m:sSup>
                                    <m:sSupPr>
                                      <m:ctrlPr>
                                        <a:rPr lang="en-US" altLang="zh-CN" sz="1400" b="0" i="1">
                                          <a:latin typeface="Cambria Math" panose="02040503050406030204" pitchFamily="18" charset="0"/>
                                        </a:rPr>
                                      </m:ctrlPr>
                                    </m:sSupPr>
                                    <m:e>
                                      <m:d>
                                        <m:dPr>
                                          <m:ctrlPr>
                                            <a:rPr lang="en-US" altLang="zh-CN" sz="1400" b="0" i="1">
                                              <a:solidFill>
                                                <a:schemeClr val="tx1"/>
                                              </a:solidFill>
                                              <a:effectLst/>
                                              <a:latin typeface="Cambria Math" panose="02040503050406030204" pitchFamily="18" charset="0"/>
                                              <a:ea typeface="+mn-ea"/>
                                              <a:cs typeface="+mn-cs"/>
                                            </a:rPr>
                                          </m:ctrlPr>
                                        </m:dPr>
                                        <m:e>
                                          <m:sSub>
                                            <m:sSubPr>
                                              <m:ctrlPr>
                                                <a:rPr lang="en-US" altLang="zh-CN" sz="1400" b="0" i="1">
                                                  <a:solidFill>
                                                    <a:schemeClr val="tx1"/>
                                                  </a:solidFill>
                                                  <a:effectLst/>
                                                  <a:latin typeface="Cambria Math" panose="02040503050406030204" pitchFamily="18" charset="0"/>
                                                  <a:ea typeface="+mn-ea"/>
                                                  <a:cs typeface="+mn-cs"/>
                                                </a:rPr>
                                              </m:ctrlPr>
                                            </m:sSubPr>
                                            <m:e>
                                              <m:r>
                                                <a:rPr lang="en-US" altLang="zh-CN" sz="1400" b="0" i="1">
                                                  <a:solidFill>
                                                    <a:schemeClr val="tx1"/>
                                                  </a:solidFill>
                                                  <a:effectLst/>
                                                  <a:latin typeface="Cambria Math" panose="02040503050406030204" pitchFamily="18" charset="0"/>
                                                  <a:ea typeface="+mn-ea"/>
                                                  <a:cs typeface="+mn-cs"/>
                                                </a:rPr>
                                                <m:t>𝑥</m:t>
                                              </m:r>
                                            </m:e>
                                            <m:sub>
                                              <m:r>
                                                <a:rPr lang="en-US" altLang="zh-CN" sz="1400" b="0" i="1">
                                                  <a:solidFill>
                                                    <a:schemeClr val="tx1"/>
                                                  </a:solidFill>
                                                  <a:effectLst/>
                                                  <a:latin typeface="Cambria Math" panose="02040503050406030204" pitchFamily="18" charset="0"/>
                                                  <a:ea typeface="+mn-ea"/>
                                                  <a:cs typeface="+mn-cs"/>
                                                </a:rPr>
                                                <m:t>𝑖</m:t>
                                              </m:r>
                                            </m:sub>
                                          </m:sSub>
                                          <m:r>
                                            <a:rPr lang="en-US" altLang="zh-CN" sz="1400" b="0" i="1">
                                              <a:solidFill>
                                                <a:schemeClr val="tx1"/>
                                              </a:solidFill>
                                              <a:effectLst/>
                                              <a:latin typeface="Cambria Math" panose="02040503050406030204" pitchFamily="18" charset="0"/>
                                              <a:ea typeface="+mn-ea"/>
                                              <a:cs typeface="+mn-cs"/>
                                            </a:rPr>
                                            <m:t>−</m:t>
                                          </m:r>
                                          <m:acc>
                                            <m:accPr>
                                              <m:chr m:val="̅"/>
                                              <m:ctrlPr>
                                                <a:rPr lang="en-US" altLang="zh-CN" sz="1400" b="0" i="1">
                                                  <a:solidFill>
                                                    <a:schemeClr val="tx1"/>
                                                  </a:solidFill>
                                                  <a:effectLst/>
                                                  <a:latin typeface="Cambria Math" panose="02040503050406030204" pitchFamily="18" charset="0"/>
                                                  <a:ea typeface="+mn-ea"/>
                                                  <a:cs typeface="+mn-cs"/>
                                                </a:rPr>
                                              </m:ctrlPr>
                                            </m:accPr>
                                            <m:e>
                                              <m:r>
                                                <a:rPr lang="en-US" altLang="zh-CN" sz="1400" b="0" i="1">
                                                  <a:solidFill>
                                                    <a:schemeClr val="tx1"/>
                                                  </a:solidFill>
                                                  <a:effectLst/>
                                                  <a:latin typeface="Cambria Math" panose="02040503050406030204" pitchFamily="18" charset="0"/>
                                                  <a:ea typeface="+mn-ea"/>
                                                  <a:cs typeface="+mn-cs"/>
                                                </a:rPr>
                                                <m:t>𝑥</m:t>
                                              </m:r>
                                            </m:e>
                                          </m:acc>
                                        </m:e>
                                      </m:d>
                                    </m:e>
                                    <m:sup>
                                      <m:r>
                                        <a:rPr lang="en-US" altLang="zh-CN" sz="1400" b="0" i="1">
                                          <a:latin typeface="Cambria Math" panose="02040503050406030204" pitchFamily="18" charset="0"/>
                                        </a:rPr>
                                        <m:t>2</m:t>
                                      </m:r>
                                    </m:sup>
                                  </m:sSup>
                                  <m:r>
                                    <a:rPr lang="en-US" altLang="zh-CN" sz="1400" b="0" i="1">
                                      <a:latin typeface="Cambria Math" panose="02040503050406030204" pitchFamily="18" charset="0"/>
                                      <a:ea typeface="Cambria Math" panose="02040503050406030204" pitchFamily="18" charset="0"/>
                                    </a:rPr>
                                    <m:t>×</m:t>
                                  </m:r>
                                  <m:nary>
                                    <m:naryPr>
                                      <m:chr m:val="∑"/>
                                      <m:subHide m:val="on"/>
                                      <m:supHide m:val="on"/>
                                      <m:ctrlPr>
                                        <a:rPr lang="en-US" altLang="zh-CN" sz="1400" b="0" i="1">
                                          <a:latin typeface="Cambria Math" panose="02040503050406030204" pitchFamily="18" charset="0"/>
                                          <a:ea typeface="Cambria Math" panose="02040503050406030204" pitchFamily="18" charset="0"/>
                                        </a:rPr>
                                      </m:ctrlPr>
                                    </m:naryPr>
                                    <m:sub/>
                                    <m:sup/>
                                    <m:e>
                                      <m:sSup>
                                        <m:sSupPr>
                                          <m:ctrlPr>
                                            <a:rPr lang="en-US" altLang="zh-CN" sz="1400" b="0" i="1">
                                              <a:latin typeface="Cambria Math" panose="02040503050406030204" pitchFamily="18" charset="0"/>
                                              <a:ea typeface="Cambria Math" panose="02040503050406030204" pitchFamily="18" charset="0"/>
                                            </a:rPr>
                                          </m:ctrlPr>
                                        </m:sSupPr>
                                        <m:e>
                                          <m:r>
                                            <a:rPr lang="en-US" altLang="zh-CN" sz="1400" b="0" i="1">
                                              <a:solidFill>
                                                <a:schemeClr val="tx1"/>
                                              </a:solidFill>
                                              <a:effectLst/>
                                              <a:latin typeface="Cambria Math" panose="02040503050406030204" pitchFamily="18" charset="0"/>
                                              <a:ea typeface="+mn-ea"/>
                                              <a:cs typeface="+mn-cs"/>
                                            </a:rPr>
                                            <m:t>(</m:t>
                                          </m:r>
                                          <m:sSub>
                                            <m:sSubPr>
                                              <m:ctrlPr>
                                                <a:rPr lang="en-US" altLang="zh-CN" sz="1400" b="0" i="1">
                                                  <a:solidFill>
                                                    <a:schemeClr val="tx1"/>
                                                  </a:solidFill>
                                                  <a:effectLst/>
                                                  <a:latin typeface="Cambria Math" panose="02040503050406030204" pitchFamily="18" charset="0"/>
                                                  <a:ea typeface="+mn-ea"/>
                                                  <a:cs typeface="+mn-cs"/>
                                                </a:rPr>
                                              </m:ctrlPr>
                                            </m:sSubPr>
                                            <m:e>
                                              <m:r>
                                                <a:rPr lang="en-US" altLang="zh-CN" sz="1400" b="0" i="1">
                                                  <a:solidFill>
                                                    <a:schemeClr val="tx1"/>
                                                  </a:solidFill>
                                                  <a:effectLst/>
                                                  <a:latin typeface="Cambria Math" panose="02040503050406030204" pitchFamily="18" charset="0"/>
                                                  <a:ea typeface="+mn-ea"/>
                                                  <a:cs typeface="+mn-cs"/>
                                                </a:rPr>
                                                <m:t>𝑦</m:t>
                                              </m:r>
                                            </m:e>
                                            <m:sub>
                                              <m:r>
                                                <a:rPr lang="en-US" altLang="zh-CN" sz="1400" b="0" i="1">
                                                  <a:solidFill>
                                                    <a:schemeClr val="tx1"/>
                                                  </a:solidFill>
                                                  <a:effectLst/>
                                                  <a:latin typeface="Cambria Math" panose="02040503050406030204" pitchFamily="18" charset="0"/>
                                                  <a:ea typeface="+mn-ea"/>
                                                  <a:cs typeface="+mn-cs"/>
                                                </a:rPr>
                                                <m:t>𝑖</m:t>
                                              </m:r>
                                            </m:sub>
                                          </m:sSub>
                                          <m:r>
                                            <a:rPr lang="en-US" altLang="zh-CN" sz="1400" b="0" i="1">
                                              <a:solidFill>
                                                <a:schemeClr val="tx1"/>
                                              </a:solidFill>
                                              <a:effectLst/>
                                              <a:latin typeface="Cambria Math" panose="02040503050406030204" pitchFamily="18" charset="0"/>
                                              <a:ea typeface="+mn-ea"/>
                                              <a:cs typeface="+mn-cs"/>
                                            </a:rPr>
                                            <m:t>−</m:t>
                                          </m:r>
                                          <m:acc>
                                            <m:accPr>
                                              <m:chr m:val="̅"/>
                                              <m:ctrlPr>
                                                <a:rPr lang="en-US" altLang="zh-CN" sz="1400" b="0" i="1">
                                                  <a:solidFill>
                                                    <a:schemeClr val="tx1"/>
                                                  </a:solidFill>
                                                  <a:effectLst/>
                                                  <a:latin typeface="Cambria Math" panose="02040503050406030204" pitchFamily="18" charset="0"/>
                                                  <a:ea typeface="+mn-ea"/>
                                                  <a:cs typeface="+mn-cs"/>
                                                </a:rPr>
                                              </m:ctrlPr>
                                            </m:accPr>
                                            <m:e>
                                              <m:r>
                                                <a:rPr lang="en-US" altLang="zh-CN" sz="1400" b="0" i="1">
                                                  <a:solidFill>
                                                    <a:schemeClr val="tx1"/>
                                                  </a:solidFill>
                                                  <a:effectLst/>
                                                  <a:latin typeface="Cambria Math" panose="02040503050406030204" pitchFamily="18" charset="0"/>
                                                  <a:ea typeface="+mn-ea"/>
                                                  <a:cs typeface="+mn-cs"/>
                                                </a:rPr>
                                                <m:t>𝑦</m:t>
                                              </m:r>
                                            </m:e>
                                          </m:acc>
                                          <m:r>
                                            <a:rPr lang="en-US" altLang="zh-CN" sz="1400" b="0" i="1">
                                              <a:solidFill>
                                                <a:schemeClr val="tx1"/>
                                              </a:solidFill>
                                              <a:effectLst/>
                                              <a:latin typeface="Cambria Math" panose="02040503050406030204" pitchFamily="18" charset="0"/>
                                              <a:ea typeface="+mn-ea"/>
                                              <a:cs typeface="+mn-cs"/>
                                            </a:rPr>
                                            <m:t>)</m:t>
                                          </m:r>
                                        </m:e>
                                        <m:sup>
                                          <m:r>
                                            <a:rPr lang="en-US" altLang="zh-CN" sz="1400" b="0" i="1">
                                              <a:latin typeface="Cambria Math" panose="02040503050406030204" pitchFamily="18" charset="0"/>
                                              <a:ea typeface="Cambria Math" panose="02040503050406030204" pitchFamily="18" charset="0"/>
                                            </a:rPr>
                                            <m:t>2</m:t>
                                          </m:r>
                                        </m:sup>
                                      </m:sSup>
                                    </m:e>
                                  </m:nary>
                                </m:e>
                              </m:nary>
                            </m:e>
                          </m:rad>
                        </m:den>
                      </m:f>
                    </m:oMath>
                  </m:oMathPara>
                </a14:m>
                <a:endParaRPr lang="zh-CN" altLang="en-US" sz="1400"/>
              </a:p>
            </xdr:txBody>
          </xdr:sp>
        </mc:Choice>
        <mc:Fallback>
          <xdr:sp macro="" textlink="">
            <xdr:nvSpPr>
              <xdr:cNvPr id="3" name="文本框 2">
                <a:extLst>
                  <a:ext uri="{FF2B5EF4-FFF2-40B4-BE49-F238E27FC236}">
                    <a16:creationId xmlns:a16="http://schemas.microsoft.com/office/drawing/2014/main" id="{5DAD5A5D-7010-4791-970B-9F4AF6D74002}"/>
                  </a:ext>
                </a:extLst>
              </xdr:cNvPr>
              <xdr:cNvSpPr txBox="1"/>
            </xdr:nvSpPr>
            <xdr:spPr>
              <a:xfrm>
                <a:off x="5491162" y="61912"/>
                <a:ext cx="2361224" cy="506934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0" tIns="0" rIns="0" bIns="0" rtlCol="0" anchor="t">
                <a:spAutoFit/>
              </a:bodyPr>
              <a:lstStyle/>
              <a:p>
                <a:pPr/>
                <a:r>
                  <a:rPr lang="en-US" altLang="zh-CN" sz="1400" b="0" i="0">
                    <a:latin typeface="Cambria Math" panose="02040503050406030204" pitchFamily="18" charset="0"/>
                  </a:rPr>
                  <a:t>𝑟=(∑▒〖(𝑥_𝑖−𝑥 ̅)(𝑦_𝑖−𝑦 ̅)〗)/√(∑</a:t>
                </a:r>
                <a:r>
                  <a:rPr lang="en-US" altLang="zh-CN" sz="1400" b="0" i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▒〖</a:t>
                </a:r>
                <a:r>
                  <a:rPr lang="en-US" altLang="zh-CN" sz="1400" b="0" i="0">
                    <a:solidFill>
                      <a:schemeClr val="tx1"/>
                    </a:solidFill>
                    <a:effectLst/>
                    <a:latin typeface="Cambria Math" panose="02040503050406030204" pitchFamily="18" charset="0"/>
                    <a:ea typeface="+mn-ea"/>
                    <a:cs typeface="+mn-cs"/>
                  </a:rPr>
                  <a:t>(𝑥_𝑖−𝑥 ̅ )^</a:t>
                </a:r>
                <a:r>
                  <a:rPr lang="en-US" altLang="zh-CN" sz="1400" b="0" i="0">
                    <a:latin typeface="Cambria Math" panose="02040503050406030204" pitchFamily="18" charset="0"/>
                  </a:rPr>
                  <a:t>2</a:t>
                </a:r>
                <a:r>
                  <a:rPr lang="en-US" altLang="zh-CN" sz="1400" b="0" i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×∑▒〖</a:t>
                </a:r>
                <a:r>
                  <a:rPr lang="en-US" altLang="zh-CN" sz="1400" b="0" i="0">
                    <a:solidFill>
                      <a:schemeClr val="tx1"/>
                    </a:solidFill>
                    <a:effectLst/>
                    <a:latin typeface="Cambria Math" panose="02040503050406030204" pitchFamily="18" charset="0"/>
                    <a:ea typeface="+mn-ea"/>
                    <a:cs typeface="+mn-cs"/>
                  </a:rPr>
                  <a:t>(𝑦_𝑖−𝑦 ̅)</a:t>
                </a:r>
                <a:r>
                  <a:rPr lang="en-US" altLang="zh-CN" sz="1400" b="0" i="0">
                    <a:solidFill>
                      <a:schemeClr val="tx1"/>
                    </a:solidFill>
                    <a:effectLst/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rPr>
                  <a:t>〗^</a:t>
                </a:r>
                <a:r>
                  <a:rPr lang="en-US" altLang="zh-CN" sz="1400" b="0" i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2 〗)</a:t>
                </a:r>
                <a:endParaRPr lang="zh-CN" altLang="en-US" sz="1400"/>
              </a:p>
            </xdr:txBody>
          </xdr:sp>
        </mc:Fallback>
      </mc:AlternateContent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4" name="文本框 3">
                <a:extLst>
                  <a:ext uri="{FF2B5EF4-FFF2-40B4-BE49-F238E27FC236}">
                    <a16:creationId xmlns:a16="http://schemas.microsoft.com/office/drawing/2014/main" id="{BF5E76BF-A04D-4E19-B3D3-1B8B806BA91E}"/>
                  </a:ext>
                </a:extLst>
              </xdr:cNvPr>
              <xdr:cNvSpPr txBox="1"/>
            </xdr:nvSpPr>
            <xdr:spPr>
              <a:xfrm>
                <a:off x="5634037" y="690562"/>
                <a:ext cx="2693814" cy="827150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0" tIns="0" rIns="0" bIns="0" rtlCol="0" anchor="t">
                <a:spAutoFit/>
              </a:bodyPr>
              <a:lstStyle/>
              <a:p>
                <a:pPr/>
                <a14:m>
                  <m:oMathPara xmlns:m="http://schemas.openxmlformats.org/officeDocument/2006/math">
                    <m:oMathParaPr>
                      <m:jc m:val="centerGroup"/>
                    </m:oMathParaPr>
                    <m:oMath xmlns:m="http://schemas.openxmlformats.org/officeDocument/2006/math">
                      <m:r>
                        <a:rPr lang="en-US" altLang="zh-CN" sz="1400" b="0" i="1">
                          <a:latin typeface="Cambria Math" panose="02040503050406030204" pitchFamily="18" charset="0"/>
                        </a:rPr>
                        <m:t>=</m:t>
                      </m:r>
                      <m:f>
                        <m:fPr>
                          <m:ctrlPr>
                            <a:rPr lang="en-US" altLang="zh-CN" sz="1400" b="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nary>
                            <m:naryPr>
                              <m:chr m:val="∑"/>
                              <m:subHide m:val="on"/>
                              <m:supHide m:val="on"/>
                              <m:ctrlPr>
                                <a:rPr lang="en-US" altLang="zh-CN" sz="1400" b="0" i="1">
                                  <a:latin typeface="Cambria Math" panose="02040503050406030204" pitchFamily="18" charset="0"/>
                                </a:rPr>
                              </m:ctrlPr>
                            </m:naryPr>
                            <m:sub/>
                            <m:sup/>
                            <m:e>
                              <m:r>
                                <a:rPr lang="en-US" altLang="zh-CN" sz="1400" b="0" i="1">
                                  <a:latin typeface="Cambria Math" panose="02040503050406030204" pitchFamily="18" charset="0"/>
                                </a:rPr>
                                <m:t>𝑥𝑦</m:t>
                              </m:r>
                            </m:e>
                          </m:nary>
                          <m:r>
                            <a:rPr lang="en-US" altLang="zh-CN" sz="1400" b="0" i="1">
                              <a:latin typeface="Cambria Math" panose="02040503050406030204" pitchFamily="18" charset="0"/>
                            </a:rPr>
                            <m:t>−</m:t>
                          </m:r>
                          <m:f>
                            <m:fPr>
                              <m:ctrlPr>
                                <a:rPr lang="en-US" altLang="zh-CN" sz="1400" b="0" i="1">
                                  <a:latin typeface="Cambria Math" panose="02040503050406030204" pitchFamily="18" charset="0"/>
                                </a:rPr>
                              </m:ctrlPr>
                            </m:fPr>
                            <m:num>
                              <m:nary>
                                <m:naryPr>
                                  <m:chr m:val="∑"/>
                                  <m:subHide m:val="on"/>
                                  <m:supHide m:val="on"/>
                                  <m:ctrlPr>
                                    <a:rPr lang="en-US" altLang="zh-CN" sz="1400" b="0" i="1">
                                      <a:latin typeface="Cambria Math" panose="02040503050406030204" pitchFamily="18" charset="0"/>
                                    </a:rPr>
                                  </m:ctrlPr>
                                </m:naryPr>
                                <m:sub/>
                                <m:sup/>
                                <m:e>
                                  <m:r>
                                    <a:rPr lang="en-US" altLang="zh-CN" sz="1400" b="0" i="1">
                                      <a:latin typeface="Cambria Math" panose="02040503050406030204" pitchFamily="18" charset="0"/>
                                    </a:rPr>
                                    <m:t>𝑥</m:t>
                                  </m:r>
                                </m:e>
                              </m:nary>
                              <m:nary>
                                <m:naryPr>
                                  <m:chr m:val="∑"/>
                                  <m:subHide m:val="on"/>
                                  <m:supHide m:val="on"/>
                                  <m:ctrlPr>
                                    <a:rPr lang="en-US" altLang="zh-CN" sz="1400" b="0" i="1">
                                      <a:latin typeface="Cambria Math" panose="02040503050406030204" pitchFamily="18" charset="0"/>
                                    </a:rPr>
                                  </m:ctrlPr>
                                </m:naryPr>
                                <m:sub/>
                                <m:sup/>
                                <m:e>
                                  <m:r>
                                    <a:rPr lang="en-US" altLang="zh-CN" sz="1400" b="0" i="1">
                                      <a:latin typeface="Cambria Math" panose="02040503050406030204" pitchFamily="18" charset="0"/>
                                    </a:rPr>
                                    <m:t>𝑦</m:t>
                                  </m:r>
                                </m:e>
                              </m:nary>
                            </m:num>
                            <m:den>
                              <m:r>
                                <a:rPr lang="en-US" altLang="zh-CN" sz="1400" b="0" i="1">
                                  <a:latin typeface="Cambria Math" panose="02040503050406030204" pitchFamily="18" charset="0"/>
                                </a:rPr>
                                <m:t>𝑛</m:t>
                              </m:r>
                            </m:den>
                          </m:f>
                        </m:num>
                        <m:den>
                          <m:rad>
                            <m:radPr>
                              <m:degHide m:val="on"/>
                              <m:ctrlPr>
                                <a:rPr lang="en-US" altLang="zh-CN" sz="1400" b="0" i="1">
                                  <a:latin typeface="Cambria Math" panose="02040503050406030204" pitchFamily="18" charset="0"/>
                                </a:rPr>
                              </m:ctrlPr>
                            </m:radPr>
                            <m:deg/>
                            <m:e>
                              <m:r>
                                <a:rPr lang="en-US" altLang="zh-CN" sz="1400" b="0" i="1">
                                  <a:latin typeface="Cambria Math" panose="02040503050406030204" pitchFamily="18" charset="0"/>
                                </a:rPr>
                                <m:t>[</m:t>
                              </m:r>
                              <m:nary>
                                <m:naryPr>
                                  <m:chr m:val="∑"/>
                                  <m:subHide m:val="on"/>
                                  <m:supHide m:val="on"/>
                                  <m:ctrlPr>
                                    <a:rPr lang="en-US" altLang="zh-CN" sz="1400" b="0" i="1">
                                      <a:latin typeface="Cambria Math" panose="02040503050406030204" pitchFamily="18" charset="0"/>
                                    </a:rPr>
                                  </m:ctrlPr>
                                </m:naryPr>
                                <m:sub/>
                                <m:sup/>
                                <m:e>
                                  <m:sSup>
                                    <m:sSupPr>
                                      <m:ctrlPr>
                                        <a:rPr lang="en-US" altLang="zh-CN" sz="1400" b="0" i="1">
                                          <a:latin typeface="Cambria Math" panose="02040503050406030204" pitchFamily="18" charset="0"/>
                                        </a:rPr>
                                      </m:ctrlPr>
                                    </m:sSupPr>
                                    <m:e>
                                      <m:r>
                                        <a:rPr lang="en-US" altLang="zh-CN" sz="1400" b="0" i="1">
                                          <a:latin typeface="Cambria Math" panose="02040503050406030204" pitchFamily="18" charset="0"/>
                                        </a:rPr>
                                        <m:t>𝑥</m:t>
                                      </m:r>
                                    </m:e>
                                    <m:sup>
                                      <m:r>
                                        <a:rPr lang="en-US" altLang="zh-CN" sz="1400" b="0" i="1">
                                          <a:latin typeface="Cambria Math" panose="02040503050406030204" pitchFamily="18" charset="0"/>
                                        </a:rPr>
                                        <m:t>2</m:t>
                                      </m:r>
                                    </m:sup>
                                  </m:sSup>
                                  <m:r>
                                    <a:rPr lang="en-US" altLang="zh-CN" sz="1400" b="0" i="1">
                                      <a:latin typeface="Cambria Math" panose="02040503050406030204" pitchFamily="18" charset="0"/>
                                    </a:rPr>
                                    <m:t>−</m:t>
                                  </m:r>
                                  <m:f>
                                    <m:fPr>
                                      <m:ctrlPr>
                                        <a:rPr lang="en-US" altLang="zh-CN" sz="1400" b="0" i="1">
                                          <a:latin typeface="Cambria Math" panose="02040503050406030204" pitchFamily="18" charset="0"/>
                                        </a:rPr>
                                      </m:ctrlPr>
                                    </m:fPr>
                                    <m:num>
                                      <m:r>
                                        <a:rPr lang="en-US" altLang="zh-CN" sz="1400" b="0" i="1">
                                          <a:latin typeface="Cambria Math" panose="02040503050406030204" pitchFamily="18" charset="0"/>
                                        </a:rPr>
                                        <m:t>(</m:t>
                                      </m:r>
                                      <m:nary>
                                        <m:naryPr>
                                          <m:chr m:val="∑"/>
                                          <m:subHide m:val="on"/>
                                          <m:supHide m:val="on"/>
                                          <m:ctrlPr>
                                            <a:rPr lang="en-US" altLang="zh-CN" sz="1400" b="0" i="1">
                                              <a:latin typeface="Cambria Math" panose="02040503050406030204" pitchFamily="18" charset="0"/>
                                            </a:rPr>
                                          </m:ctrlPr>
                                        </m:naryPr>
                                        <m:sub/>
                                        <m:sup/>
                                        <m:e>
                                          <m:r>
                                            <a:rPr lang="en-US" altLang="zh-CN" sz="1400" b="0" i="1">
                                              <a:latin typeface="Cambria Math" panose="02040503050406030204" pitchFamily="18" charset="0"/>
                                            </a:rPr>
                                            <m:t>𝑥</m:t>
                                          </m:r>
                                          <m:r>
                                            <a:rPr lang="en-US" altLang="zh-CN" sz="1400" b="0" i="1">
                                              <a:latin typeface="Cambria Math" panose="02040503050406030204" pitchFamily="18" charset="0"/>
                                            </a:rPr>
                                            <m:t>)²</m:t>
                                          </m:r>
                                        </m:e>
                                      </m:nary>
                                    </m:num>
                                    <m:den>
                                      <m:r>
                                        <m:rPr>
                                          <m:sty m:val="p"/>
                                        </m:rPr>
                                        <a:rPr lang="en-US" altLang="zh-CN" sz="1400" b="0" i="1">
                                          <a:latin typeface="Cambria Math" panose="02040503050406030204" pitchFamily="18" charset="0"/>
                                        </a:rPr>
                                        <m:t>n</m:t>
                                      </m:r>
                                    </m:den>
                                  </m:f>
                                </m:e>
                              </m:nary>
                              <m:r>
                                <a:rPr lang="en-US" altLang="zh-CN" sz="1400" b="0" i="1">
                                  <a:latin typeface="Cambria Math" panose="02040503050406030204" pitchFamily="18" charset="0"/>
                                </a:rPr>
                                <m:t>]</m:t>
                              </m:r>
                              <m:r>
                                <a:rPr lang="en-US" altLang="zh-CN" sz="14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[</m:t>
                              </m:r>
                              <m:nary>
                                <m:naryPr>
                                  <m:chr m:val="∑"/>
                                  <m:subHide m:val="on"/>
                                  <m:supHide m:val="on"/>
                                  <m:ctrlPr>
                                    <a:rPr lang="en-US" altLang="zh-CN" sz="14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naryPr>
                                <m:sub/>
                                <m:sup/>
                                <m:e>
                                  <m:sSup>
                                    <m:sSupPr>
                                      <m:ctrlPr>
                                        <a:rPr lang="en-US" altLang="zh-CN" sz="14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</m:ctrlPr>
                                    </m:sSupPr>
                                    <m:e>
                                      <m:r>
                                        <a:rPr lang="en-US" altLang="zh-CN" sz="14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𝑦</m:t>
                                      </m:r>
                                    </m:e>
                                    <m:sup>
                                      <m:r>
                                        <a:rPr lang="en-US" altLang="zh-CN" sz="14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2</m:t>
                                      </m:r>
                                    </m:sup>
                                  </m:sSup>
                                  <m:r>
                                    <a:rPr lang="en-US" altLang="zh-CN" sz="14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−</m:t>
                                  </m:r>
                                  <m:f>
                                    <m:fPr>
                                      <m:ctrlPr>
                                        <a:rPr lang="en-US" altLang="zh-CN" sz="14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</m:ctrlPr>
                                    </m:fPr>
                                    <m:num>
                                      <m:r>
                                        <a:rPr lang="en-US" altLang="zh-CN" sz="14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(</m:t>
                                      </m:r>
                                      <m:nary>
                                        <m:naryPr>
                                          <m:chr m:val="∑"/>
                                          <m:subHide m:val="on"/>
                                          <m:supHide m:val="on"/>
                                          <m:ctrlPr>
                                            <a:rPr lang="en-US" altLang="zh-CN" sz="1400" b="0" i="1">
                                              <a:solidFill>
                                                <a:schemeClr val="tx1"/>
                                              </a:solidFill>
                                              <a:effectLst/>
                                              <a:latin typeface="Cambria Math" panose="02040503050406030204" pitchFamily="18" charset="0"/>
                                              <a:ea typeface="+mn-ea"/>
                                              <a:cs typeface="+mn-cs"/>
                                            </a:rPr>
                                          </m:ctrlPr>
                                        </m:naryPr>
                                        <m:sub/>
                                        <m:sup/>
                                        <m:e>
                                          <m:r>
                                            <a:rPr lang="en-US" altLang="zh-CN" sz="1400" b="0" i="1">
                                              <a:solidFill>
                                                <a:schemeClr val="tx1"/>
                                              </a:solidFill>
                                              <a:effectLst/>
                                              <a:latin typeface="Cambria Math" panose="02040503050406030204" pitchFamily="18" charset="0"/>
                                              <a:ea typeface="+mn-ea"/>
                                              <a:cs typeface="+mn-cs"/>
                                            </a:rPr>
                                            <m:t>𝑦</m:t>
                                          </m:r>
                                          <m:r>
                                            <a:rPr lang="en-US" altLang="zh-CN" sz="1400" b="0" i="1">
                                              <a:solidFill>
                                                <a:schemeClr val="tx1"/>
                                              </a:solidFill>
                                              <a:effectLst/>
                                              <a:latin typeface="Cambria Math" panose="02040503050406030204" pitchFamily="18" charset="0"/>
                                              <a:ea typeface="+mn-ea"/>
                                              <a:cs typeface="+mn-cs"/>
                                            </a:rPr>
                                            <m:t>)²</m:t>
                                          </m:r>
                                        </m:e>
                                      </m:nary>
                                    </m:num>
                                    <m:den>
                                      <m:r>
                                        <m:rPr>
                                          <m:sty m:val="p"/>
                                        </m:rPr>
                                        <a:rPr lang="en-US" altLang="zh-CN" sz="14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n</m:t>
                                      </m:r>
                                    </m:den>
                                  </m:f>
                                </m:e>
                              </m:nary>
                              <m:r>
                                <a:rPr lang="en-US" altLang="zh-CN" sz="14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]</m:t>
                              </m:r>
                            </m:e>
                          </m:rad>
                        </m:den>
                      </m:f>
                    </m:oMath>
                  </m:oMathPara>
                </a14:m>
                <a:endParaRPr lang="zh-CN" altLang="en-US" sz="1400"/>
              </a:p>
            </xdr:txBody>
          </xdr:sp>
        </mc:Choice>
        <mc:Fallback>
          <xdr:sp macro="" textlink="">
            <xdr:nvSpPr>
              <xdr:cNvPr id="4" name="文本框 3">
                <a:extLst>
                  <a:ext uri="{FF2B5EF4-FFF2-40B4-BE49-F238E27FC236}">
                    <a16:creationId xmlns:a16="http://schemas.microsoft.com/office/drawing/2014/main" id="{BF5E76BF-A04D-4E19-B3D3-1B8B806BA91E}"/>
                  </a:ext>
                </a:extLst>
              </xdr:cNvPr>
              <xdr:cNvSpPr txBox="1"/>
            </xdr:nvSpPr>
            <xdr:spPr>
              <a:xfrm>
                <a:off x="5634037" y="690562"/>
                <a:ext cx="2693814" cy="827150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0" tIns="0" rIns="0" bIns="0" rtlCol="0" anchor="t">
                <a:spAutoFit/>
              </a:bodyPr>
              <a:lstStyle/>
              <a:p>
                <a:pPr/>
                <a:r>
                  <a:rPr lang="en-US" altLang="zh-CN" sz="1400" b="0" i="0">
                    <a:latin typeface="Cambria Math" panose="02040503050406030204" pitchFamily="18" charset="0"/>
                  </a:rPr>
                  <a:t>=(∑▒𝑥𝑦−(∑▒𝑥 ∑▒𝑦)/𝑛)/√([∑▒〖𝑥^2−((∑▒〖𝑥)²〗)/n〗]</a:t>
                </a:r>
                <a:r>
                  <a:rPr lang="en-US" altLang="zh-CN" sz="1400" b="0" i="0">
                    <a:solidFill>
                      <a:schemeClr val="tx1"/>
                    </a:solidFill>
                    <a:effectLst/>
                    <a:latin typeface="Cambria Math" panose="02040503050406030204" pitchFamily="18" charset="0"/>
                    <a:ea typeface="+mn-ea"/>
                    <a:cs typeface="+mn-cs"/>
                  </a:rPr>
                  <a:t>[∑▒〖𝑦^2−((∑▒〖𝑦)²〗)/n〗])</a:t>
                </a:r>
                <a:endParaRPr lang="zh-CN" altLang="en-US" sz="1400"/>
              </a:p>
            </xdr:txBody>
          </xdr:sp>
        </mc:Fallback>
      </mc:AlternateContent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5" name="文本框 4">
                <a:extLst>
                  <a:ext uri="{FF2B5EF4-FFF2-40B4-BE49-F238E27FC236}">
                    <a16:creationId xmlns:a16="http://schemas.microsoft.com/office/drawing/2014/main" id="{64CC9A96-E108-408D-9803-4BD56307D480}"/>
                  </a:ext>
                </a:extLst>
              </xdr:cNvPr>
              <xdr:cNvSpPr txBox="1"/>
            </xdr:nvSpPr>
            <xdr:spPr>
              <a:xfrm>
                <a:off x="5700712" y="1785937"/>
                <a:ext cx="1021883" cy="505267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0" tIns="0" rIns="0" bIns="0" rtlCol="0" anchor="t">
                <a:spAutoFit/>
              </a:bodyPr>
              <a:lstStyle/>
              <a:p>
                <a:pPr/>
                <a14:m>
                  <m:oMathPara xmlns:m="http://schemas.openxmlformats.org/officeDocument/2006/math">
                    <m:oMathParaPr>
                      <m:jc m:val="centerGroup"/>
                    </m:oMathParaPr>
                    <m:oMath xmlns:m="http://schemas.openxmlformats.org/officeDocument/2006/math">
                      <m:r>
                        <a:rPr lang="en-US" altLang="zh-CN" sz="1400" b="0" i="1">
                          <a:latin typeface="Cambria Math" panose="02040503050406030204" pitchFamily="18" charset="0"/>
                        </a:rPr>
                        <m:t>=</m:t>
                      </m:r>
                      <m:f>
                        <m:fPr>
                          <m:ctrlPr>
                            <a:rPr lang="en-US" altLang="zh-CN" sz="1400" b="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sSub>
                            <m:sSubPr>
                              <m:ctrlPr>
                                <a:rPr lang="en-US" altLang="zh-CN" sz="1400" b="0" i="1"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en-US" altLang="zh-CN" sz="1400" b="0" i="1">
                                  <a:latin typeface="Cambria Math" panose="02040503050406030204" pitchFamily="18" charset="0"/>
                                </a:rPr>
                                <m:t>𝑙</m:t>
                              </m:r>
                            </m:e>
                            <m:sub>
                              <m:r>
                                <a:rPr lang="en-US" altLang="zh-CN" sz="1400" b="0" i="1">
                                  <a:latin typeface="Cambria Math" panose="02040503050406030204" pitchFamily="18" charset="0"/>
                                </a:rPr>
                                <m:t>𝑥𝑦</m:t>
                              </m:r>
                            </m:sub>
                          </m:sSub>
                        </m:num>
                        <m:den>
                          <m:rad>
                            <m:radPr>
                              <m:degHide m:val="on"/>
                              <m:ctrlPr>
                                <a:rPr lang="en-US" altLang="zh-CN" sz="1400" b="0" i="1">
                                  <a:latin typeface="Cambria Math" panose="02040503050406030204" pitchFamily="18" charset="0"/>
                                </a:rPr>
                              </m:ctrlPr>
                            </m:radPr>
                            <m:deg/>
                            <m:e>
                              <m:sSub>
                                <m:sSubPr>
                                  <m:ctrlPr>
                                    <a:rPr lang="en-US" altLang="zh-CN" sz="1400" b="0" i="1">
                                      <a:latin typeface="Cambria Math" panose="02040503050406030204" pitchFamily="18" charset="0"/>
                                    </a:rPr>
                                  </m:ctrlPr>
                                </m:sSubPr>
                                <m:e>
                                  <m:r>
                                    <a:rPr lang="en-US" altLang="zh-CN" sz="1400" b="0" i="1">
                                      <a:latin typeface="Cambria Math" panose="02040503050406030204" pitchFamily="18" charset="0"/>
                                    </a:rPr>
                                    <m:t>𝑙</m:t>
                                  </m:r>
                                </m:e>
                                <m:sub>
                                  <m:r>
                                    <a:rPr lang="en-US" altLang="zh-CN" sz="1400" b="0" i="1">
                                      <a:latin typeface="Cambria Math" panose="02040503050406030204" pitchFamily="18" charset="0"/>
                                    </a:rPr>
                                    <m:t>𝑥𝑥</m:t>
                                  </m:r>
                                </m:sub>
                              </m:sSub>
                              <m:r>
                                <a:rPr lang="en-US" altLang="zh-CN" sz="1400" b="0" i="1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  <m:t>×</m:t>
                              </m:r>
                              <m:sSub>
                                <m:sSubPr>
                                  <m:ctrlPr>
                                    <a:rPr lang="en-US" altLang="zh-CN" sz="1400" b="0" i="1">
                                      <a:latin typeface="Cambria Math" panose="02040503050406030204" pitchFamily="18" charset="0"/>
                                      <a:ea typeface="Cambria Math" panose="02040503050406030204" pitchFamily="18" charset="0"/>
                                    </a:rPr>
                                  </m:ctrlPr>
                                </m:sSubPr>
                                <m:e>
                                  <m:r>
                                    <a:rPr lang="en-US" altLang="zh-CN" sz="1400" b="0" i="1">
                                      <a:latin typeface="Cambria Math" panose="02040503050406030204" pitchFamily="18" charset="0"/>
                                      <a:ea typeface="Cambria Math" panose="02040503050406030204" pitchFamily="18" charset="0"/>
                                    </a:rPr>
                                    <m:t>𝑙</m:t>
                                  </m:r>
                                </m:e>
                                <m:sub>
                                  <m:r>
                                    <a:rPr lang="en-US" altLang="zh-CN" sz="1400" b="0" i="1">
                                      <a:latin typeface="Cambria Math" panose="02040503050406030204" pitchFamily="18" charset="0"/>
                                      <a:ea typeface="Cambria Math" panose="02040503050406030204" pitchFamily="18" charset="0"/>
                                    </a:rPr>
                                    <m:t>𝑦𝑦</m:t>
                                  </m:r>
                                </m:sub>
                              </m:sSub>
                            </m:e>
                          </m:rad>
                        </m:den>
                      </m:f>
                    </m:oMath>
                  </m:oMathPara>
                </a14:m>
                <a:endParaRPr lang="zh-CN" altLang="en-US" sz="1400"/>
              </a:p>
            </xdr:txBody>
          </xdr:sp>
        </mc:Choice>
        <mc:Fallback>
          <xdr:sp macro="" textlink="">
            <xdr:nvSpPr>
              <xdr:cNvPr id="5" name="文本框 4">
                <a:extLst>
                  <a:ext uri="{FF2B5EF4-FFF2-40B4-BE49-F238E27FC236}">
                    <a16:creationId xmlns:a16="http://schemas.microsoft.com/office/drawing/2014/main" id="{64CC9A96-E108-408D-9803-4BD56307D480}"/>
                  </a:ext>
                </a:extLst>
              </xdr:cNvPr>
              <xdr:cNvSpPr txBox="1"/>
            </xdr:nvSpPr>
            <xdr:spPr>
              <a:xfrm>
                <a:off x="5700712" y="1785937"/>
                <a:ext cx="1021883" cy="505267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0" tIns="0" rIns="0" bIns="0" rtlCol="0" anchor="t">
                <a:spAutoFit/>
              </a:bodyPr>
              <a:lstStyle/>
              <a:p>
                <a:pPr/>
                <a:r>
                  <a:rPr lang="en-US" altLang="zh-CN" sz="1400" b="0" i="0">
                    <a:latin typeface="Cambria Math" panose="02040503050406030204" pitchFamily="18" charset="0"/>
                  </a:rPr>
                  <a:t>=𝑙_𝑥𝑦/√(𝑙_𝑥𝑥</a:t>
                </a:r>
                <a:r>
                  <a:rPr lang="en-US" altLang="zh-CN" sz="1400" b="0" i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×𝑙_𝑦𝑦 )</a:t>
                </a:r>
                <a:endParaRPr lang="zh-CN" altLang="en-US" sz="1400"/>
              </a:p>
            </xdr:txBody>
          </xdr:sp>
        </mc:Fallback>
      </mc:AlternateContent>
    </xdr:grpSp>
    <xdr:clientData/>
  </xdr:twoCellAnchor>
  <xdr:twoCellAnchor editAs="oneCell">
    <xdr:from>
      <xdr:col>0</xdr:col>
      <xdr:colOff>0</xdr:colOff>
      <xdr:row>52</xdr:row>
      <xdr:rowOff>9525</xdr:rowOff>
    </xdr:from>
    <xdr:to>
      <xdr:col>3</xdr:col>
      <xdr:colOff>714480</xdr:colOff>
      <xdr:row>65</xdr:row>
      <xdr:rowOff>95250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A779ABE2-554F-460B-9AEC-8183B018E7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9420225"/>
          <a:ext cx="3467205" cy="2438400"/>
        </a:xfrm>
        <a:prstGeom prst="rect">
          <a:avLst/>
        </a:prstGeom>
      </xdr:spPr>
    </xdr:pic>
    <xdr:clientData/>
  </xdr:twoCellAnchor>
  <xdr:twoCellAnchor editAs="oneCell">
    <xdr:from>
      <xdr:col>5</xdr:col>
      <xdr:colOff>276225</xdr:colOff>
      <xdr:row>35</xdr:row>
      <xdr:rowOff>123825</xdr:rowOff>
    </xdr:from>
    <xdr:to>
      <xdr:col>8</xdr:col>
      <xdr:colOff>364302</xdr:colOff>
      <xdr:row>49</xdr:row>
      <xdr:rowOff>123825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792854E8-C97B-445D-B7C4-3BCFAD254F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400550" y="6457950"/>
          <a:ext cx="3326577" cy="2533650"/>
        </a:xfrm>
        <a:prstGeom prst="rect">
          <a:avLst/>
        </a:prstGeom>
      </xdr:spPr>
    </xdr:pic>
    <xdr:clientData/>
  </xdr:twoCellAnchor>
  <xdr:twoCellAnchor editAs="oneCell">
    <xdr:from>
      <xdr:col>4</xdr:col>
      <xdr:colOff>314325</xdr:colOff>
      <xdr:row>51</xdr:row>
      <xdr:rowOff>114300</xdr:rowOff>
    </xdr:from>
    <xdr:to>
      <xdr:col>7</xdr:col>
      <xdr:colOff>828202</xdr:colOff>
      <xdr:row>66</xdr:row>
      <xdr:rowOff>9199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2583A264-BAD8-4907-AD8F-F1AA6E926F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752850" y="9344025"/>
          <a:ext cx="3780952" cy="2609524"/>
        </a:xfrm>
        <a:prstGeom prst="rect">
          <a:avLst/>
        </a:prstGeom>
      </xdr:spPr>
    </xdr:pic>
    <xdr:clientData/>
  </xdr:twoCellAnchor>
  <xdr:oneCellAnchor>
    <xdr:from>
      <xdr:col>6</xdr:col>
      <xdr:colOff>400050</xdr:colOff>
      <xdr:row>2</xdr:row>
      <xdr:rowOff>0</xdr:rowOff>
    </xdr:from>
    <xdr:ext cx="1474634" cy="47763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9" name="文本框 8">
              <a:extLst>
                <a:ext uri="{FF2B5EF4-FFF2-40B4-BE49-F238E27FC236}">
                  <a16:creationId xmlns:a16="http://schemas.microsoft.com/office/drawing/2014/main" id="{B22E1846-8642-4EB0-9552-AEB981532707}"/>
                </a:ext>
              </a:extLst>
            </xdr:cNvPr>
            <xdr:cNvSpPr txBox="1"/>
          </xdr:nvSpPr>
          <xdr:spPr>
            <a:xfrm>
              <a:off x="6000750" y="361950"/>
              <a:ext cx="1474634" cy="4776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4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400" b="0" i="1">
                            <a:latin typeface="Cambria Math" panose="02040503050406030204" pitchFamily="18" charset="0"/>
                          </a:rPr>
                          <m:t>𝑟</m:t>
                        </m:r>
                      </m:e>
                      <m:sub>
                        <m:r>
                          <a:rPr lang="en-US" altLang="zh-CN" sz="1400" b="0" i="1">
                            <a:latin typeface="Cambria Math" panose="02040503050406030204" pitchFamily="18" charset="0"/>
                          </a:rPr>
                          <m:t>𝑠</m:t>
                        </m:r>
                      </m:sub>
                    </m:sSub>
                    <m:r>
                      <a:rPr lang="en-US" altLang="zh-CN" sz="1400" b="0" i="1">
                        <a:latin typeface="Cambria Math" panose="02040503050406030204" pitchFamily="18" charset="0"/>
                      </a:rPr>
                      <m:t>=1−</m:t>
                    </m:r>
                    <m:f>
                      <m:fPr>
                        <m:ctrlPr>
                          <a:rPr lang="en-US" altLang="zh-CN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altLang="zh-CN" sz="1400" b="0" i="1">
                            <a:latin typeface="Cambria Math" panose="02040503050406030204" pitchFamily="18" charset="0"/>
                          </a:rPr>
                          <m:t>6</m:t>
                        </m:r>
                        <m:nary>
                          <m:naryPr>
                            <m:chr m:val="∑"/>
                            <m:subHide m:val="on"/>
                            <m:supHide m:val="on"/>
                            <m:ctrlPr>
                              <a:rPr lang="en-US" altLang="zh-CN" sz="1400" b="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/>
                          <m:sup/>
                          <m:e>
                            <m:sSubSup>
                              <m:sSubSupPr>
                                <m:ctrlPr>
                                  <a:rPr lang="en-US" altLang="zh-CN" sz="1400" b="0" i="1">
                                    <a:latin typeface="Cambria Math" panose="02040503050406030204" pitchFamily="18" charset="0"/>
                                  </a:rPr>
                                </m:ctrlPr>
                              </m:sSubSupPr>
                              <m:e>
                                <m:r>
                                  <a:rPr lang="en-US" altLang="zh-CN" sz="1400" b="0" i="1">
                                    <a:latin typeface="Cambria Math" panose="02040503050406030204" pitchFamily="18" charset="0"/>
                                  </a:rPr>
                                  <m:t>𝑑</m:t>
                                </m:r>
                              </m:e>
                              <m:sub>
                                <m:r>
                                  <a:rPr lang="en-US" altLang="zh-CN" sz="1400" b="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  <m:sup>
                                <m:r>
                                  <a:rPr lang="en-US" altLang="zh-CN" sz="14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bSup>
                          </m:e>
                        </m:nary>
                      </m:num>
                      <m:den>
                        <m:r>
                          <a:rPr lang="en-US" altLang="zh-CN" sz="1400" b="0" i="1">
                            <a:latin typeface="Cambria Math" panose="02040503050406030204" pitchFamily="18" charset="0"/>
                          </a:rPr>
                          <m:t>𝑛</m:t>
                        </m:r>
                        <m:r>
                          <a:rPr lang="en-US" altLang="zh-CN" sz="1400" b="0" i="1">
                            <a:latin typeface="Cambria Math" panose="02040503050406030204" pitchFamily="18" charset="0"/>
                          </a:rPr>
                          <m:t>(</m:t>
                        </m:r>
                        <m:sSup>
                          <m:sSupPr>
                            <m:ctrlPr>
                              <a:rPr lang="en-US" altLang="zh-CN" sz="14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zh-CN" sz="14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e>
                          <m:sup>
                            <m:r>
                              <a:rPr lang="en-US" altLang="zh-CN" sz="14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altLang="zh-CN" sz="1400" b="0" i="1">
                            <a:latin typeface="Cambria Math" panose="02040503050406030204" pitchFamily="18" charset="0"/>
                          </a:rPr>
                          <m:t>−1)</m:t>
                        </m:r>
                      </m:den>
                    </m:f>
                  </m:oMath>
                </m:oMathPara>
              </a14:m>
              <a:endParaRPr lang="zh-CN" altLang="en-US" sz="1400"/>
            </a:p>
          </xdr:txBody>
        </xdr:sp>
      </mc:Choice>
      <mc:Fallback>
        <xdr:sp macro="" textlink="">
          <xdr:nvSpPr>
            <xdr:cNvPr id="9" name="文本框 8">
              <a:extLst>
                <a:ext uri="{FF2B5EF4-FFF2-40B4-BE49-F238E27FC236}">
                  <a16:creationId xmlns:a16="http://schemas.microsoft.com/office/drawing/2014/main" id="{B22E1846-8642-4EB0-9552-AEB981532707}"/>
                </a:ext>
              </a:extLst>
            </xdr:cNvPr>
            <xdr:cNvSpPr txBox="1"/>
          </xdr:nvSpPr>
          <xdr:spPr>
            <a:xfrm>
              <a:off x="6000750" y="361950"/>
              <a:ext cx="1474634" cy="4776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zh-CN" sz="1400" b="0" i="0">
                  <a:latin typeface="Cambria Math" panose="02040503050406030204" pitchFamily="18" charset="0"/>
                </a:rPr>
                <a:t>𝑟_𝑠=1−(6∑▒𝑑_𝑖^2 )/(𝑛(𝑛^2−1))</a:t>
              </a:r>
              <a:endParaRPr lang="zh-CN" altLang="en-US" sz="1400"/>
            </a:p>
          </xdr:txBody>
        </xdr:sp>
      </mc:Fallback>
    </mc:AlternateContent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371475</xdr:colOff>
      <xdr:row>0</xdr:row>
      <xdr:rowOff>0</xdr:rowOff>
    </xdr:from>
    <xdr:to>
      <xdr:col>12</xdr:col>
      <xdr:colOff>66284</xdr:colOff>
      <xdr:row>5</xdr:row>
      <xdr:rowOff>266479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4A6FC8DB-36B5-448B-A7A8-C08E469023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72075" y="0"/>
          <a:ext cx="3123809" cy="1771429"/>
        </a:xfrm>
        <a:prstGeom prst="rect">
          <a:avLst/>
        </a:prstGeom>
      </xdr:spPr>
    </xdr:pic>
    <xdr:clientData/>
  </xdr:twoCellAnchor>
  <xdr:twoCellAnchor editAs="oneCell">
    <xdr:from>
      <xdr:col>7</xdr:col>
      <xdr:colOff>200025</xdr:colOff>
      <xdr:row>7</xdr:row>
      <xdr:rowOff>171450</xdr:rowOff>
    </xdr:from>
    <xdr:to>
      <xdr:col>12</xdr:col>
      <xdr:colOff>414131</xdr:colOff>
      <xdr:row>24</xdr:row>
      <xdr:rowOff>9525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49477ACB-918C-426A-927F-B8F9A54728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000625" y="2247900"/>
          <a:ext cx="3643106" cy="36195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32</xdr:row>
      <xdr:rowOff>161925</xdr:rowOff>
    </xdr:from>
    <xdr:to>
      <xdr:col>11</xdr:col>
      <xdr:colOff>627628</xdr:colOff>
      <xdr:row>59</xdr:row>
      <xdr:rowOff>18457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75B46A3C-BFA3-4A90-B801-6E9D7EA03D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953125"/>
          <a:ext cx="8171428" cy="4742857"/>
        </a:xfrm>
        <a:prstGeom prst="rect">
          <a:avLst/>
        </a:prstGeom>
      </xdr:spPr>
    </xdr:pic>
    <xdr:clientData/>
  </xdr:twoCellAnchor>
  <xdr:twoCellAnchor editAs="oneCell">
    <xdr:from>
      <xdr:col>7</xdr:col>
      <xdr:colOff>133350</xdr:colOff>
      <xdr:row>0</xdr:row>
      <xdr:rowOff>0</xdr:rowOff>
    </xdr:from>
    <xdr:to>
      <xdr:col>15</xdr:col>
      <xdr:colOff>380283</xdr:colOff>
      <xdr:row>31</xdr:row>
      <xdr:rowOff>132632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5A36E68-2634-47C0-99CD-831C21259C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933950" y="0"/>
          <a:ext cx="5733333" cy="5742857"/>
        </a:xfrm>
        <a:prstGeom prst="rect">
          <a:avLst/>
        </a:prstGeom>
      </xdr:spPr>
    </xdr:pic>
    <xdr:clientData/>
  </xdr:twoCellAnchor>
  <xdr:twoCellAnchor editAs="oneCell">
    <xdr:from>
      <xdr:col>7</xdr:col>
      <xdr:colOff>552450</xdr:colOff>
      <xdr:row>64</xdr:row>
      <xdr:rowOff>57150</xdr:rowOff>
    </xdr:from>
    <xdr:to>
      <xdr:col>16</xdr:col>
      <xdr:colOff>123107</xdr:colOff>
      <xdr:row>100</xdr:row>
      <xdr:rowOff>161098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65204C5E-D15B-481F-A2A8-B8F8DE4B77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353050" y="11639550"/>
          <a:ext cx="5742857" cy="661904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101</xdr:row>
      <xdr:rowOff>85725</xdr:rowOff>
    </xdr:from>
    <xdr:to>
      <xdr:col>12</xdr:col>
      <xdr:colOff>113257</xdr:colOff>
      <xdr:row>132</xdr:row>
      <xdr:rowOff>56452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B8E92F08-D068-4E1F-B397-BF7E6A9437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8364200"/>
          <a:ext cx="8342857" cy="5580952"/>
        </a:xfrm>
        <a:prstGeom prst="rect">
          <a:avLst/>
        </a:prstGeom>
      </xdr:spPr>
    </xdr:pic>
    <xdr:clientData/>
  </xdr:twoCellAnchor>
  <xdr:twoCellAnchor editAs="oneCell">
    <xdr:from>
      <xdr:col>10</xdr:col>
      <xdr:colOff>104775</xdr:colOff>
      <xdr:row>136</xdr:row>
      <xdr:rowOff>123825</xdr:rowOff>
    </xdr:from>
    <xdr:to>
      <xdr:col>18</xdr:col>
      <xdr:colOff>304089</xdr:colOff>
      <xdr:row>183</xdr:row>
      <xdr:rowOff>113238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DA18373F-AA71-4FAB-92DD-EF14DFB7FA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962775" y="24736425"/>
          <a:ext cx="5685714" cy="84952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160</xdr:row>
      <xdr:rowOff>57150</xdr:rowOff>
    </xdr:from>
    <xdr:to>
      <xdr:col>9</xdr:col>
      <xdr:colOff>651487</xdr:colOff>
      <xdr:row>189</xdr:row>
      <xdr:rowOff>84921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A575574D-1597-47F3-865A-8E880A0641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29013150"/>
          <a:ext cx="6823687" cy="527604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189</xdr:row>
      <xdr:rowOff>171450</xdr:rowOff>
    </xdr:from>
    <xdr:to>
      <xdr:col>7</xdr:col>
      <xdr:colOff>457200</xdr:colOff>
      <xdr:row>205</xdr:row>
      <xdr:rowOff>83587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11E5678E-A75C-40FC-9A0D-966CF2509B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34375725"/>
          <a:ext cx="5257800" cy="2807737"/>
        </a:xfrm>
        <a:prstGeom prst="rect">
          <a:avLst/>
        </a:prstGeom>
      </xdr:spPr>
    </xdr:pic>
    <xdr:clientData/>
  </xdr:twoCellAnchor>
  <xdr:twoCellAnchor editAs="oneCell">
    <xdr:from>
      <xdr:col>8</xdr:col>
      <xdr:colOff>57150</xdr:colOff>
      <xdr:row>189</xdr:row>
      <xdr:rowOff>161925</xdr:rowOff>
    </xdr:from>
    <xdr:to>
      <xdr:col>12</xdr:col>
      <xdr:colOff>151967</xdr:colOff>
      <xdr:row>204</xdr:row>
      <xdr:rowOff>161925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A2402127-885B-4F78-9C7C-89ABF6962F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543550" y="34366200"/>
          <a:ext cx="2838017" cy="27146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206</xdr:row>
      <xdr:rowOff>142875</xdr:rowOff>
    </xdr:from>
    <xdr:to>
      <xdr:col>4</xdr:col>
      <xdr:colOff>552038</xdr:colOff>
      <xdr:row>223</xdr:row>
      <xdr:rowOff>142490</xdr:rowOff>
    </xdr:to>
    <xdr:pic>
      <xdr:nvPicPr>
        <xdr:cNvPr id="10" name="图片 9">
          <a:extLst>
            <a:ext uri="{FF2B5EF4-FFF2-40B4-BE49-F238E27FC236}">
              <a16:creationId xmlns:a16="http://schemas.microsoft.com/office/drawing/2014/main" id="{C46BC950-B680-461C-AC14-F9B94082C2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37423725"/>
          <a:ext cx="3295238" cy="3076190"/>
        </a:xfrm>
        <a:prstGeom prst="rect">
          <a:avLst/>
        </a:prstGeom>
      </xdr:spPr>
    </xdr:pic>
    <xdr:clientData/>
  </xdr:twoCellAnchor>
  <xdr:twoCellAnchor editAs="oneCell">
    <xdr:from>
      <xdr:col>5</xdr:col>
      <xdr:colOff>533400</xdr:colOff>
      <xdr:row>207</xdr:row>
      <xdr:rowOff>47625</xdr:rowOff>
    </xdr:from>
    <xdr:to>
      <xdr:col>10</xdr:col>
      <xdr:colOff>275829</xdr:colOff>
      <xdr:row>224</xdr:row>
      <xdr:rowOff>56764</xdr:rowOff>
    </xdr:to>
    <xdr:pic>
      <xdr:nvPicPr>
        <xdr:cNvPr id="11" name="图片 10">
          <a:extLst>
            <a:ext uri="{FF2B5EF4-FFF2-40B4-BE49-F238E27FC236}">
              <a16:creationId xmlns:a16="http://schemas.microsoft.com/office/drawing/2014/main" id="{F5FE51C9-10BE-4D6D-969D-9889CF4709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3962400" y="37509450"/>
          <a:ext cx="3171429" cy="3085714"/>
        </a:xfrm>
        <a:prstGeom prst="rect">
          <a:avLst/>
        </a:prstGeom>
      </xdr:spPr>
    </xdr:pic>
    <xdr:clientData/>
  </xdr:twoCellAnchor>
  <xdr:twoCellAnchor editAs="oneCell">
    <xdr:from>
      <xdr:col>5</xdr:col>
      <xdr:colOff>590551</xdr:colOff>
      <xdr:row>227</xdr:row>
      <xdr:rowOff>28575</xdr:rowOff>
    </xdr:from>
    <xdr:to>
      <xdr:col>12</xdr:col>
      <xdr:colOff>405105</xdr:colOff>
      <xdr:row>241</xdr:row>
      <xdr:rowOff>142308</xdr:rowOff>
    </xdr:to>
    <xdr:pic>
      <xdr:nvPicPr>
        <xdr:cNvPr id="13" name="图片 12">
          <a:extLst>
            <a:ext uri="{FF2B5EF4-FFF2-40B4-BE49-F238E27FC236}">
              <a16:creationId xmlns:a16="http://schemas.microsoft.com/office/drawing/2014/main" id="{FF1FD297-0212-4851-9C60-41FB3ADB75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19551" y="41109900"/>
          <a:ext cx="4615154" cy="300933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32</xdr:row>
      <xdr:rowOff>171450</xdr:rowOff>
    </xdr:from>
    <xdr:to>
      <xdr:col>6</xdr:col>
      <xdr:colOff>658454</xdr:colOff>
      <xdr:row>45</xdr:row>
      <xdr:rowOff>95250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FE5DADAE-477B-4F21-9B21-54951C0A87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962650"/>
          <a:ext cx="4773254" cy="22764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55</xdr:row>
      <xdr:rowOff>9525</xdr:rowOff>
    </xdr:from>
    <xdr:to>
      <xdr:col>4</xdr:col>
      <xdr:colOff>294895</xdr:colOff>
      <xdr:row>61</xdr:row>
      <xdr:rowOff>76056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3F01FD49-8C88-4F09-BEEF-A31F4C51D7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9963150"/>
          <a:ext cx="3038095" cy="1152381"/>
        </a:xfrm>
        <a:prstGeom prst="rect">
          <a:avLst/>
        </a:prstGeom>
      </xdr:spPr>
    </xdr:pic>
    <xdr:clientData/>
  </xdr:twoCellAnchor>
  <xdr:twoCellAnchor editAs="oneCell">
    <xdr:from>
      <xdr:col>4</xdr:col>
      <xdr:colOff>238125</xdr:colOff>
      <xdr:row>64</xdr:row>
      <xdr:rowOff>66675</xdr:rowOff>
    </xdr:from>
    <xdr:to>
      <xdr:col>10</xdr:col>
      <xdr:colOff>637611</xdr:colOff>
      <xdr:row>79</xdr:row>
      <xdr:rowOff>94907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DDD9FE0-D0FE-4286-B7C9-70B599DF09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981325" y="11649075"/>
          <a:ext cx="4514286" cy="2742857"/>
        </a:xfrm>
        <a:prstGeom prst="rect">
          <a:avLst/>
        </a:prstGeom>
      </xdr:spPr>
    </xdr:pic>
    <xdr:clientData/>
  </xdr:twoCellAnchor>
  <xdr:twoCellAnchor editAs="oneCell">
    <xdr:from>
      <xdr:col>5</xdr:col>
      <xdr:colOff>390525</xdr:colOff>
      <xdr:row>46</xdr:row>
      <xdr:rowOff>133350</xdr:rowOff>
    </xdr:from>
    <xdr:to>
      <xdr:col>9</xdr:col>
      <xdr:colOff>361611</xdr:colOff>
      <xdr:row>63</xdr:row>
      <xdr:rowOff>75823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D47E9C2B-9B1F-482C-A864-4D339D8CE1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819525" y="8458200"/>
          <a:ext cx="2714286" cy="301904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63</xdr:row>
      <xdr:rowOff>95250</xdr:rowOff>
    </xdr:from>
    <xdr:to>
      <xdr:col>3</xdr:col>
      <xdr:colOff>580695</xdr:colOff>
      <xdr:row>77</xdr:row>
      <xdr:rowOff>75886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45235DF0-B46D-4BFE-8E35-99547F28D3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11496675"/>
          <a:ext cx="2638095" cy="2514286"/>
        </a:xfrm>
        <a:prstGeom prst="rect">
          <a:avLst/>
        </a:prstGeom>
      </xdr:spPr>
    </xdr:pic>
    <xdr:clientData/>
  </xdr:twoCellAnchor>
  <xdr:twoCellAnchor editAs="oneCell">
    <xdr:from>
      <xdr:col>11</xdr:col>
      <xdr:colOff>657225</xdr:colOff>
      <xdr:row>67</xdr:row>
      <xdr:rowOff>57150</xdr:rowOff>
    </xdr:from>
    <xdr:to>
      <xdr:col>21</xdr:col>
      <xdr:colOff>56274</xdr:colOff>
      <xdr:row>99</xdr:row>
      <xdr:rowOff>142140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656778D2-35D5-4E0B-A651-40C3549D10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201025" y="12182475"/>
          <a:ext cx="7009524" cy="58761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8"/>
  <sheetViews>
    <sheetView zoomScaleNormal="100" workbookViewId="0">
      <selection activeCell="O87" sqref="O87"/>
    </sheetView>
  </sheetViews>
  <sheetFormatPr defaultRowHeight="14.25" x14ac:dyDescent="0.2"/>
  <cols>
    <col min="3" max="3" width="11.375" customWidth="1"/>
    <col min="7" max="7" width="13.875" customWidth="1"/>
  </cols>
  <sheetData>
    <row r="1" spans="1:12" x14ac:dyDescent="0.2">
      <c r="A1" s="1" t="s">
        <v>0</v>
      </c>
      <c r="C1" s="3" t="s">
        <v>1</v>
      </c>
      <c r="D1" s="4"/>
      <c r="E1" s="4"/>
      <c r="F1" s="4"/>
      <c r="G1" s="4"/>
      <c r="H1" s="4"/>
      <c r="I1" s="4"/>
      <c r="J1" s="4"/>
      <c r="K1" s="4"/>
      <c r="L1" s="5"/>
    </row>
    <row r="2" spans="1:12" x14ac:dyDescent="0.2">
      <c r="A2" s="1">
        <v>26935.759999999998</v>
      </c>
      <c r="C2" s="6" t="s">
        <v>20</v>
      </c>
      <c r="D2" s="7">
        <f>MIN(A2:A32)</f>
        <v>23767.08</v>
      </c>
      <c r="E2" s="7"/>
      <c r="F2" s="7"/>
      <c r="G2" s="7"/>
      <c r="H2" s="7"/>
      <c r="I2" s="7"/>
      <c r="J2" s="7"/>
      <c r="K2" s="7"/>
      <c r="L2" s="8"/>
    </row>
    <row r="3" spans="1:12" x14ac:dyDescent="0.2">
      <c r="A3" s="1">
        <v>52859.17</v>
      </c>
      <c r="C3" s="6" t="s">
        <v>21</v>
      </c>
      <c r="D3" s="7">
        <f>MAX(A2:A32)</f>
        <v>52961.86</v>
      </c>
      <c r="E3" s="7"/>
      <c r="F3" s="7"/>
      <c r="G3" s="7"/>
      <c r="H3" s="7"/>
      <c r="I3" s="7"/>
      <c r="J3" s="7"/>
      <c r="K3" s="7"/>
      <c r="L3" s="8"/>
    </row>
    <row r="4" spans="1:12" x14ac:dyDescent="0.2">
      <c r="A4" s="1">
        <v>33275.339999999997</v>
      </c>
      <c r="C4" s="6" t="s">
        <v>19</v>
      </c>
      <c r="D4" s="7">
        <f>COUNT(A2:A32)</f>
        <v>31</v>
      </c>
      <c r="E4" s="7"/>
      <c r="F4" s="7"/>
      <c r="G4" s="7"/>
      <c r="H4" s="7"/>
      <c r="I4" s="7"/>
      <c r="J4" s="7"/>
      <c r="K4" s="7"/>
      <c r="L4" s="8"/>
    </row>
    <row r="5" spans="1:12" x14ac:dyDescent="0.2">
      <c r="A5" s="1">
        <v>23767.08</v>
      </c>
      <c r="C5" s="6"/>
      <c r="D5" s="7"/>
      <c r="E5" s="7"/>
      <c r="F5" s="7"/>
      <c r="G5" s="7"/>
      <c r="H5" s="7"/>
      <c r="I5" s="7"/>
      <c r="J5" s="7"/>
      <c r="K5" s="7"/>
      <c r="L5" s="8"/>
    </row>
    <row r="6" spans="1:12" x14ac:dyDescent="0.2">
      <c r="A6" s="1">
        <v>34757.160000000003</v>
      </c>
      <c r="C6" s="9" t="s">
        <v>7</v>
      </c>
      <c r="D6" s="7"/>
      <c r="E6" s="7"/>
      <c r="F6" s="7"/>
      <c r="G6" s="7"/>
      <c r="H6" s="7"/>
      <c r="I6" s="7"/>
      <c r="J6" s="7"/>
      <c r="K6" s="7"/>
      <c r="L6" s="8"/>
    </row>
    <row r="7" spans="1:12" x14ac:dyDescent="0.2">
      <c r="A7" s="1">
        <v>26415.87</v>
      </c>
      <c r="C7" s="6" t="s">
        <v>18</v>
      </c>
      <c r="D7" s="7">
        <f>D3-D2</f>
        <v>29194.78</v>
      </c>
      <c r="E7" s="7"/>
      <c r="F7" s="7"/>
      <c r="G7" s="7"/>
      <c r="H7" s="7"/>
      <c r="I7" s="7"/>
      <c r="J7" s="7"/>
      <c r="K7" s="7"/>
      <c r="L7" s="8"/>
    </row>
    <row r="8" spans="1:12" x14ac:dyDescent="0.2">
      <c r="A8" s="1">
        <v>24579.64</v>
      </c>
      <c r="C8" s="6" t="s">
        <v>22</v>
      </c>
      <c r="D8" s="7">
        <f>ROUND(1+3.32*LOG10(D4),0)</f>
        <v>6</v>
      </c>
      <c r="E8" s="7"/>
      <c r="F8" s="7"/>
      <c r="G8" s="7"/>
      <c r="H8" s="7"/>
      <c r="I8" s="7"/>
      <c r="J8" s="7"/>
      <c r="K8" s="7"/>
      <c r="L8" s="8"/>
    </row>
    <row r="9" spans="1:12" x14ac:dyDescent="0.2">
      <c r="A9" s="1">
        <v>26356.42</v>
      </c>
      <c r="C9" s="6" t="s">
        <v>23</v>
      </c>
      <c r="D9" s="7">
        <f>D7/D8</f>
        <v>4865.7966666666662</v>
      </c>
      <c r="E9" s="7"/>
      <c r="F9" s="7"/>
      <c r="G9" s="7"/>
      <c r="H9" s="7"/>
      <c r="I9" s="7"/>
      <c r="J9" s="7"/>
      <c r="K9" s="7"/>
      <c r="L9" s="8"/>
    </row>
    <row r="10" spans="1:12" x14ac:dyDescent="0.2">
      <c r="A10" s="1">
        <v>26152.16</v>
      </c>
      <c r="C10" s="6" t="s">
        <v>5</v>
      </c>
      <c r="D10" s="7">
        <f>D8+1</f>
        <v>7</v>
      </c>
      <c r="E10" s="7"/>
      <c r="F10" s="7"/>
      <c r="G10" s="7"/>
      <c r="H10" s="7"/>
      <c r="I10" s="7"/>
      <c r="J10" s="7"/>
      <c r="K10" s="7"/>
      <c r="L10" s="8"/>
    </row>
    <row r="11" spans="1:12" x14ac:dyDescent="0.2">
      <c r="A11" s="1">
        <v>25575.61</v>
      </c>
      <c r="C11" s="6" t="s">
        <v>6</v>
      </c>
      <c r="D11" s="7">
        <f>D2-0.5*D9</f>
        <v>21334.181666666667</v>
      </c>
      <c r="E11" s="7"/>
      <c r="F11" s="7"/>
      <c r="G11" s="7"/>
      <c r="H11" s="7"/>
      <c r="I11" s="7"/>
      <c r="J11" s="7"/>
      <c r="K11" s="7"/>
      <c r="L11" s="8"/>
    </row>
    <row r="12" spans="1:12" x14ac:dyDescent="0.2">
      <c r="A12" s="1">
        <v>24202.62</v>
      </c>
      <c r="C12" s="6"/>
      <c r="D12" s="7"/>
      <c r="E12" s="7"/>
      <c r="F12" s="7"/>
      <c r="G12" s="7"/>
      <c r="H12" s="7"/>
      <c r="I12" s="7"/>
      <c r="J12" s="7"/>
      <c r="K12" s="7"/>
      <c r="L12" s="8"/>
    </row>
    <row r="13" spans="1:12" x14ac:dyDescent="0.2">
      <c r="A13" s="1">
        <v>27051.47</v>
      </c>
      <c r="C13" s="9" t="s">
        <v>8</v>
      </c>
      <c r="D13" s="7"/>
      <c r="E13" s="7"/>
      <c r="F13" s="7"/>
      <c r="G13" s="7"/>
      <c r="H13" s="7"/>
      <c r="I13" s="7"/>
      <c r="J13" s="7"/>
      <c r="K13" s="7"/>
      <c r="L13" s="8"/>
    </row>
    <row r="14" spans="1:12" x14ac:dyDescent="0.2">
      <c r="A14" s="1">
        <v>28838.07</v>
      </c>
      <c r="C14" s="9" t="s">
        <v>9</v>
      </c>
      <c r="D14" s="15" t="s">
        <v>10</v>
      </c>
      <c r="E14" s="15" t="s">
        <v>11</v>
      </c>
      <c r="F14" s="15" t="s">
        <v>12</v>
      </c>
      <c r="G14" s="15" t="s">
        <v>13</v>
      </c>
      <c r="H14" s="15" t="s">
        <v>14</v>
      </c>
      <c r="I14" s="15" t="s">
        <v>15</v>
      </c>
      <c r="J14" s="15" t="s">
        <v>16</v>
      </c>
      <c r="K14" s="15" t="s">
        <v>17</v>
      </c>
      <c r="L14" s="8"/>
    </row>
    <row r="15" spans="1:12" x14ac:dyDescent="0.2">
      <c r="A15" s="1">
        <v>24900.86</v>
      </c>
      <c r="C15" s="6">
        <v>1</v>
      </c>
      <c r="D15" s="7">
        <f>D11</f>
        <v>21334.181666666667</v>
      </c>
      <c r="E15" s="7">
        <f>D15+$D$9</f>
        <v>26199.978333333333</v>
      </c>
      <c r="F15" s="7">
        <f>(D15+E15)/2</f>
        <v>23767.08</v>
      </c>
      <c r="G15" s="7">
        <f>SUMPRODUCT(($A$2:$A$32&gt;=D15)*($A$2:$A$32&lt;=E15))</f>
        <v>10</v>
      </c>
      <c r="H15" s="7">
        <f>G15/$D$4</f>
        <v>0.32258064516129031</v>
      </c>
      <c r="I15" s="7">
        <f>G15</f>
        <v>10</v>
      </c>
      <c r="J15" s="7">
        <f>H15</f>
        <v>0.32258064516129031</v>
      </c>
      <c r="K15" s="7" t="str">
        <f>"["&amp;ROUND(D15,0)&amp;", "&amp;ROUND(E15,0)&amp;")"</f>
        <v>[21334, 26200)</v>
      </c>
      <c r="L15" s="8"/>
    </row>
    <row r="16" spans="1:12" x14ac:dyDescent="0.2">
      <c r="A16" s="1">
        <v>37173.480000000003</v>
      </c>
      <c r="C16" s="6">
        <v>2</v>
      </c>
      <c r="D16" s="7">
        <f>E15</f>
        <v>26199.978333333333</v>
      </c>
      <c r="E16" s="7">
        <f t="shared" ref="E16:E21" si="0">D16+$D$9</f>
        <v>31065.774999999998</v>
      </c>
      <c r="F16" s="7">
        <f t="shared" ref="F16:F21" si="1">(D16+E16)/2</f>
        <v>28632.876666666663</v>
      </c>
      <c r="G16" s="7">
        <f t="shared" ref="G16:G21" si="2">SUMPRODUCT(($A$2:$A$32&gt;=D16)*($A$2:$A$32&lt;=E16))</f>
        <v>12</v>
      </c>
      <c r="H16" s="7">
        <f t="shared" ref="H16:H21" si="3">G16/$D$4</f>
        <v>0.38709677419354838</v>
      </c>
      <c r="I16" s="7">
        <f>I15+G16</f>
        <v>22</v>
      </c>
      <c r="J16" s="7">
        <f>J15+H16</f>
        <v>0.70967741935483875</v>
      </c>
      <c r="K16" s="7" t="str">
        <f t="shared" ref="K16:K21" si="4">"["&amp;ROUND(D16,0)&amp;", "&amp;ROUND(E16,0)&amp;")"</f>
        <v>[26200, 31066)</v>
      </c>
      <c r="L16" s="8"/>
    </row>
    <row r="17" spans="1:12" x14ac:dyDescent="0.2">
      <c r="A17" s="1">
        <v>26500.12</v>
      </c>
      <c r="C17" s="6">
        <v>3</v>
      </c>
      <c r="D17" s="7">
        <f t="shared" ref="D17:D21" si="5">E16</f>
        <v>31065.774999999998</v>
      </c>
      <c r="E17" s="7">
        <f t="shared" si="0"/>
        <v>35931.571666666663</v>
      </c>
      <c r="F17" s="7">
        <f t="shared" si="1"/>
        <v>33498.673333333332</v>
      </c>
      <c r="G17" s="7">
        <f t="shared" si="2"/>
        <v>5</v>
      </c>
      <c r="H17" s="7">
        <f t="shared" si="3"/>
        <v>0.16129032258064516</v>
      </c>
      <c r="I17" s="7">
        <f t="shared" ref="I17:I21" si="6">I16+G17</f>
        <v>27</v>
      </c>
      <c r="J17" s="7">
        <f t="shared" ref="J17:J21" si="7">J16+H17</f>
        <v>0.87096774193548387</v>
      </c>
      <c r="K17" s="7" t="str">
        <f t="shared" si="4"/>
        <v>[31066, 35932)</v>
      </c>
      <c r="L17" s="8"/>
    </row>
    <row r="18" spans="1:12" x14ac:dyDescent="0.2">
      <c r="A18" s="1">
        <v>31125.73</v>
      </c>
      <c r="C18" s="6">
        <v>4</v>
      </c>
      <c r="D18" s="7">
        <f t="shared" si="5"/>
        <v>35931.571666666663</v>
      </c>
      <c r="E18" s="7">
        <f t="shared" si="0"/>
        <v>40797.368333333332</v>
      </c>
      <c r="F18" s="7">
        <f t="shared" si="1"/>
        <v>38364.47</v>
      </c>
      <c r="G18" s="7">
        <f t="shared" si="2"/>
        <v>1</v>
      </c>
      <c r="H18" s="7">
        <f t="shared" si="3"/>
        <v>3.2258064516129031E-2</v>
      </c>
      <c r="I18" s="7">
        <f t="shared" si="6"/>
        <v>28</v>
      </c>
      <c r="J18" s="7">
        <f t="shared" si="7"/>
        <v>0.90322580645161288</v>
      </c>
      <c r="K18" s="7" t="str">
        <f t="shared" si="4"/>
        <v>[35932, 40797)</v>
      </c>
      <c r="L18" s="8"/>
    </row>
    <row r="19" spans="1:12" x14ac:dyDescent="0.2">
      <c r="A19" s="1">
        <v>30594.1</v>
      </c>
      <c r="C19" s="6">
        <v>5</v>
      </c>
      <c r="D19" s="7">
        <f t="shared" si="5"/>
        <v>40797.368333333332</v>
      </c>
      <c r="E19" s="7">
        <f t="shared" si="0"/>
        <v>45663.165000000001</v>
      </c>
      <c r="F19" s="7">
        <f t="shared" si="1"/>
        <v>43230.266666666663</v>
      </c>
      <c r="G19" s="7">
        <f t="shared" si="2"/>
        <v>1</v>
      </c>
      <c r="H19" s="7">
        <f t="shared" si="3"/>
        <v>3.2258064516129031E-2</v>
      </c>
      <c r="I19" s="7">
        <f t="shared" si="6"/>
        <v>29</v>
      </c>
      <c r="J19" s="7">
        <f t="shared" si="7"/>
        <v>0.93548387096774188</v>
      </c>
      <c r="K19" s="7" t="str">
        <f t="shared" si="4"/>
        <v>[40797, 45663)</v>
      </c>
      <c r="L19" s="8"/>
    </row>
    <row r="20" spans="1:12" x14ac:dyDescent="0.2">
      <c r="A20" s="1">
        <v>25186.01</v>
      </c>
      <c r="C20" s="6">
        <v>6</v>
      </c>
      <c r="D20" s="7">
        <f t="shared" si="5"/>
        <v>45663.165000000001</v>
      </c>
      <c r="E20" s="7">
        <f t="shared" si="0"/>
        <v>50528.96166666667</v>
      </c>
      <c r="F20" s="7">
        <f t="shared" si="1"/>
        <v>48096.063333333339</v>
      </c>
      <c r="G20" s="7">
        <f t="shared" si="2"/>
        <v>0</v>
      </c>
      <c r="H20" s="7">
        <f t="shared" si="3"/>
        <v>0</v>
      </c>
      <c r="I20" s="7">
        <f t="shared" si="6"/>
        <v>29</v>
      </c>
      <c r="J20" s="7">
        <f t="shared" si="7"/>
        <v>0.93548387096774188</v>
      </c>
      <c r="K20" s="7" t="str">
        <f t="shared" si="4"/>
        <v>[45663, 50529)</v>
      </c>
      <c r="L20" s="8"/>
    </row>
    <row r="21" spans="1:12" x14ac:dyDescent="0.2">
      <c r="A21" s="1">
        <v>24542.35</v>
      </c>
      <c r="C21" s="10">
        <v>7</v>
      </c>
      <c r="D21" s="11">
        <f t="shared" si="5"/>
        <v>50528.96166666667</v>
      </c>
      <c r="E21" s="11">
        <f t="shared" si="0"/>
        <v>55394.758333333339</v>
      </c>
      <c r="F21" s="11">
        <f t="shared" si="1"/>
        <v>52961.86</v>
      </c>
      <c r="G21" s="11">
        <f t="shared" si="2"/>
        <v>2</v>
      </c>
      <c r="H21" s="11">
        <f t="shared" si="3"/>
        <v>6.4516129032258063E-2</v>
      </c>
      <c r="I21" s="11">
        <f t="shared" si="6"/>
        <v>31</v>
      </c>
      <c r="J21" s="11">
        <f t="shared" si="7"/>
        <v>1</v>
      </c>
      <c r="K21" s="11" t="str">
        <f t="shared" si="4"/>
        <v>[50529, 55395)</v>
      </c>
      <c r="L21" s="12"/>
    </row>
    <row r="22" spans="1:12" x14ac:dyDescent="0.2">
      <c r="A22" s="1">
        <v>31545.27</v>
      </c>
    </row>
    <row r="23" spans="1:12" x14ac:dyDescent="0.2">
      <c r="A23" s="1">
        <v>25827.72</v>
      </c>
    </row>
    <row r="24" spans="1:12" x14ac:dyDescent="0.2">
      <c r="A24" s="1">
        <v>26420.21</v>
      </c>
    </row>
    <row r="25" spans="1:12" x14ac:dyDescent="0.2">
      <c r="A25" s="1">
        <v>52961.86</v>
      </c>
    </row>
    <row r="26" spans="1:12" x14ac:dyDescent="0.2">
      <c r="A26" s="1">
        <v>26205.25</v>
      </c>
    </row>
    <row r="27" spans="1:12" x14ac:dyDescent="0.2">
      <c r="A27" s="1">
        <v>34101.35</v>
      </c>
    </row>
    <row r="28" spans="1:12" x14ac:dyDescent="0.2">
      <c r="A28" s="1">
        <v>25456.63</v>
      </c>
    </row>
    <row r="29" spans="1:12" x14ac:dyDescent="0.2">
      <c r="A29" s="1">
        <v>26274.66</v>
      </c>
    </row>
    <row r="30" spans="1:12" x14ac:dyDescent="0.2">
      <c r="A30" s="1">
        <v>26373.23</v>
      </c>
    </row>
    <row r="31" spans="1:12" x14ac:dyDescent="0.2">
      <c r="A31" s="1">
        <v>43714.48</v>
      </c>
    </row>
    <row r="32" spans="1:12" x14ac:dyDescent="0.2">
      <c r="A32" s="1">
        <v>27238.84</v>
      </c>
    </row>
    <row r="34" spans="1:9" ht="14.25" customHeight="1" x14ac:dyDescent="0.2">
      <c r="A34" s="13" t="s">
        <v>24</v>
      </c>
      <c r="B34" s="13" t="s">
        <v>25</v>
      </c>
      <c r="C34" s="2" t="s">
        <v>28</v>
      </c>
      <c r="D34" s="14" t="s">
        <v>31</v>
      </c>
      <c r="G34" s="2" t="s">
        <v>29</v>
      </c>
    </row>
    <row r="35" spans="1:9" x14ac:dyDescent="0.2">
      <c r="A35" s="13">
        <v>1</v>
      </c>
      <c r="B35" s="13">
        <v>12</v>
      </c>
      <c r="C35">
        <f>B35-$H$38</f>
        <v>-42.25</v>
      </c>
      <c r="D35">
        <f>C35^2</f>
        <v>1785.0625</v>
      </c>
      <c r="G35" t="s">
        <v>2</v>
      </c>
      <c r="H35">
        <f>MIN(B35:B46)</f>
        <v>12</v>
      </c>
    </row>
    <row r="36" spans="1:9" x14ac:dyDescent="0.2">
      <c r="A36" s="13">
        <v>2</v>
      </c>
      <c r="B36" s="13">
        <v>83</v>
      </c>
      <c r="C36">
        <f t="shared" ref="C36:C46" si="8">B36-$H$38</f>
        <v>28.75</v>
      </c>
      <c r="D36">
        <f t="shared" ref="D36:D46" si="9">C36^2</f>
        <v>826.5625</v>
      </c>
      <c r="G36" t="s">
        <v>3</v>
      </c>
      <c r="H36">
        <f>MAX(B35:B46)</f>
        <v>85</v>
      </c>
    </row>
    <row r="37" spans="1:9" x14ac:dyDescent="0.2">
      <c r="A37" s="13">
        <v>3</v>
      </c>
      <c r="B37" s="13">
        <v>50</v>
      </c>
      <c r="C37">
        <f t="shared" si="8"/>
        <v>-4.25</v>
      </c>
      <c r="D37">
        <f t="shared" si="9"/>
        <v>18.0625</v>
      </c>
      <c r="G37" t="s">
        <v>4</v>
      </c>
      <c r="H37">
        <f>COUNT(B35:B46)</f>
        <v>12</v>
      </c>
    </row>
    <row r="38" spans="1:9" x14ac:dyDescent="0.2">
      <c r="A38" s="13">
        <v>4</v>
      </c>
      <c r="B38" s="13">
        <v>35</v>
      </c>
      <c r="C38">
        <f t="shared" si="8"/>
        <v>-19.25</v>
      </c>
      <c r="D38">
        <f t="shared" si="9"/>
        <v>370.5625</v>
      </c>
      <c r="G38" t="s">
        <v>26</v>
      </c>
      <c r="H38">
        <f>AVERAGE(B35:B46)</f>
        <v>54.25</v>
      </c>
    </row>
    <row r="39" spans="1:9" x14ac:dyDescent="0.2">
      <c r="A39" s="13">
        <v>5</v>
      </c>
      <c r="B39" s="13">
        <v>55</v>
      </c>
      <c r="C39">
        <f t="shared" si="8"/>
        <v>0.75</v>
      </c>
      <c r="D39">
        <f t="shared" si="9"/>
        <v>0.5625</v>
      </c>
      <c r="G39" t="s">
        <v>27</v>
      </c>
      <c r="H39">
        <f>H36-H35</f>
        <v>73</v>
      </c>
    </row>
    <row r="40" spans="1:9" x14ac:dyDescent="0.2">
      <c r="A40" s="13">
        <v>6</v>
      </c>
      <c r="B40" s="13">
        <v>50</v>
      </c>
      <c r="C40">
        <f t="shared" si="8"/>
        <v>-4.25</v>
      </c>
      <c r="D40">
        <f t="shared" si="9"/>
        <v>18.0625</v>
      </c>
      <c r="G40" t="s">
        <v>32</v>
      </c>
      <c r="H40">
        <f>SUM(C35:C46)</f>
        <v>0</v>
      </c>
    </row>
    <row r="41" spans="1:9" x14ac:dyDescent="0.2">
      <c r="A41" s="13">
        <v>7</v>
      </c>
      <c r="B41" s="13">
        <v>72</v>
      </c>
      <c r="C41">
        <f t="shared" si="8"/>
        <v>17.75</v>
      </c>
      <c r="D41">
        <f t="shared" si="9"/>
        <v>315.0625</v>
      </c>
      <c r="G41" t="s">
        <v>30</v>
      </c>
      <c r="H41">
        <f>SUM(D35:D46)</f>
        <v>5666.25</v>
      </c>
    </row>
    <row r="42" spans="1:9" x14ac:dyDescent="0.2">
      <c r="A42" s="13">
        <v>8</v>
      </c>
      <c r="B42" s="13">
        <v>40</v>
      </c>
      <c r="C42">
        <f t="shared" si="8"/>
        <v>-14.25</v>
      </c>
      <c r="D42">
        <f t="shared" si="9"/>
        <v>203.0625</v>
      </c>
      <c r="G42" t="s">
        <v>33</v>
      </c>
      <c r="H42">
        <f>1/H37*H41</f>
        <v>472.1875</v>
      </c>
      <c r="I42">
        <f>_xlfn.VAR.P(B35:B46)</f>
        <v>472.1875</v>
      </c>
    </row>
    <row r="43" spans="1:9" x14ac:dyDescent="0.2">
      <c r="A43" s="13">
        <v>9</v>
      </c>
      <c r="B43" s="13">
        <v>85</v>
      </c>
      <c r="C43">
        <f t="shared" si="8"/>
        <v>30.75</v>
      </c>
      <c r="D43">
        <f t="shared" si="9"/>
        <v>945.5625</v>
      </c>
      <c r="G43" t="s">
        <v>34</v>
      </c>
      <c r="H43">
        <f>1/(H37-1)*H41</f>
        <v>515.11363636363637</v>
      </c>
      <c r="I43">
        <f>VARA(B35:B46)</f>
        <v>515.11363636363637</v>
      </c>
    </row>
    <row r="44" spans="1:9" x14ac:dyDescent="0.2">
      <c r="A44" s="13">
        <v>10</v>
      </c>
      <c r="B44" s="13">
        <v>29</v>
      </c>
      <c r="C44">
        <f t="shared" si="8"/>
        <v>-25.25</v>
      </c>
      <c r="D44">
        <f t="shared" si="9"/>
        <v>637.5625</v>
      </c>
      <c r="G44" t="s">
        <v>36</v>
      </c>
      <c r="H44">
        <f>SQRT(H42)</f>
        <v>21.729875747458841</v>
      </c>
      <c r="I44">
        <f>_xlfn.STDEV.P(B35:B46)</f>
        <v>21.729875747458841</v>
      </c>
    </row>
    <row r="45" spans="1:9" x14ac:dyDescent="0.2">
      <c r="A45" s="13">
        <v>11</v>
      </c>
      <c r="B45" s="13">
        <v>65</v>
      </c>
      <c r="C45">
        <f t="shared" si="8"/>
        <v>10.75</v>
      </c>
      <c r="D45">
        <f t="shared" si="9"/>
        <v>115.5625</v>
      </c>
      <c r="G45" t="s">
        <v>35</v>
      </c>
      <c r="H45">
        <f>SQRT(H43)</f>
        <v>22.696115005957218</v>
      </c>
      <c r="I45">
        <f>_xlfn.STDEV.S(B35:B46)</f>
        <v>22.696115005957218</v>
      </c>
    </row>
    <row r="46" spans="1:9" x14ac:dyDescent="0.2">
      <c r="A46" s="13">
        <v>12</v>
      </c>
      <c r="B46" s="13">
        <v>75</v>
      </c>
      <c r="C46">
        <f t="shared" si="8"/>
        <v>20.75</v>
      </c>
      <c r="D46">
        <f t="shared" si="9"/>
        <v>430.5625</v>
      </c>
    </row>
    <row r="49" spans="1:8" x14ac:dyDescent="0.2">
      <c r="A49" s="1" t="s">
        <v>86</v>
      </c>
      <c r="B49" s="1" t="s">
        <v>87</v>
      </c>
      <c r="D49" s="2" t="s">
        <v>88</v>
      </c>
      <c r="F49" s="14" t="s">
        <v>89</v>
      </c>
      <c r="H49" s="14" t="s">
        <v>90</v>
      </c>
    </row>
    <row r="50" spans="1:8" x14ac:dyDescent="0.2">
      <c r="A50" s="1">
        <v>1940</v>
      </c>
      <c r="B50" s="1">
        <v>9.8000000000000007</v>
      </c>
      <c r="D50">
        <f>AVERAGE(B50:B52)</f>
        <v>6.6000000000000005</v>
      </c>
      <c r="F50">
        <f>AVERAGE(B50:B54)</f>
        <v>6.08</v>
      </c>
      <c r="H50">
        <f>B50-AVERAGE($B$50:$B$78)</f>
        <v>-0.53793103448275836</v>
      </c>
    </row>
    <row r="51" spans="1:8" x14ac:dyDescent="0.2">
      <c r="A51" s="1">
        <v>1941</v>
      </c>
      <c r="B51" s="1">
        <v>3</v>
      </c>
      <c r="D51">
        <f t="shared" ref="D51:D75" si="10">AVERAGE(B51:B53)</f>
        <v>4.9333333333333336</v>
      </c>
      <c r="F51">
        <f t="shared" ref="F51:F73" si="11">AVERAGE(B51:B55)</f>
        <v>5.28</v>
      </c>
      <c r="H51">
        <f t="shared" ref="H51:H78" si="12">B51-AVERAGE($B$50:$B$78)</f>
        <v>-7.3379310344827591</v>
      </c>
    </row>
    <row r="52" spans="1:8" x14ac:dyDescent="0.2">
      <c r="A52" s="1">
        <v>1942</v>
      </c>
      <c r="B52" s="1">
        <v>7</v>
      </c>
      <c r="D52">
        <f t="shared" si="10"/>
        <v>5.8666666666666671</v>
      </c>
      <c r="F52">
        <f t="shared" si="11"/>
        <v>7.080000000000001</v>
      </c>
      <c r="H52">
        <f t="shared" si="12"/>
        <v>-3.3379310344827591</v>
      </c>
    </row>
    <row r="53" spans="1:8" x14ac:dyDescent="0.2">
      <c r="A53" s="1">
        <v>1943</v>
      </c>
      <c r="B53" s="1">
        <v>4.8</v>
      </c>
      <c r="D53">
        <f t="shared" si="10"/>
        <v>5.4666666666666659</v>
      </c>
      <c r="F53">
        <f t="shared" si="11"/>
        <v>7.4599999999999991</v>
      </c>
      <c r="H53">
        <f t="shared" si="12"/>
        <v>-5.5379310344827593</v>
      </c>
    </row>
    <row r="54" spans="1:8" x14ac:dyDescent="0.2">
      <c r="A54" s="1">
        <v>1944</v>
      </c>
      <c r="B54" s="1">
        <v>5.8</v>
      </c>
      <c r="D54">
        <f t="shared" si="10"/>
        <v>7.8666666666666671</v>
      </c>
      <c r="F54">
        <f t="shared" si="11"/>
        <v>8.1</v>
      </c>
      <c r="H54">
        <f t="shared" si="12"/>
        <v>-4.5379310344827593</v>
      </c>
    </row>
    <row r="55" spans="1:8" x14ac:dyDescent="0.2">
      <c r="A55" s="1">
        <v>1945</v>
      </c>
      <c r="B55" s="1">
        <v>5.8</v>
      </c>
      <c r="D55">
        <f t="shared" si="10"/>
        <v>8.9</v>
      </c>
      <c r="F55">
        <f t="shared" si="11"/>
        <v>7.1800000000000015</v>
      </c>
      <c r="H55">
        <f t="shared" si="12"/>
        <v>-4.5379310344827593</v>
      </c>
    </row>
    <row r="56" spans="1:8" x14ac:dyDescent="0.2">
      <c r="A56" s="1">
        <v>1946</v>
      </c>
      <c r="B56" s="1">
        <v>12</v>
      </c>
      <c r="D56">
        <f t="shared" si="10"/>
        <v>9.6333333333333329</v>
      </c>
      <c r="F56">
        <f t="shared" si="11"/>
        <v>8.1199999999999992</v>
      </c>
      <c r="H56">
        <f t="shared" si="12"/>
        <v>1.6620689655172409</v>
      </c>
    </row>
    <row r="57" spans="1:8" x14ac:dyDescent="0.2">
      <c r="A57" s="1">
        <v>1947</v>
      </c>
      <c r="B57" s="1">
        <v>8.9</v>
      </c>
      <c r="D57">
        <f t="shared" si="10"/>
        <v>6.0333333333333323</v>
      </c>
      <c r="F57">
        <f t="shared" si="11"/>
        <v>9.3199999999999985</v>
      </c>
      <c r="H57">
        <f t="shared" si="12"/>
        <v>-1.4379310344827587</v>
      </c>
    </row>
    <row r="58" spans="1:8" x14ac:dyDescent="0.2">
      <c r="A58" s="1">
        <v>1948</v>
      </c>
      <c r="B58" s="1">
        <v>8</v>
      </c>
      <c r="D58">
        <f t="shared" si="10"/>
        <v>6.5666666666666664</v>
      </c>
      <c r="F58">
        <f t="shared" si="11"/>
        <v>11.540000000000001</v>
      </c>
      <c r="H58">
        <f t="shared" si="12"/>
        <v>-2.3379310344827591</v>
      </c>
    </row>
    <row r="59" spans="1:8" x14ac:dyDescent="0.2">
      <c r="A59" s="1">
        <v>1949</v>
      </c>
      <c r="B59" s="1">
        <v>1.2</v>
      </c>
      <c r="D59">
        <f t="shared" si="10"/>
        <v>9.9</v>
      </c>
      <c r="F59">
        <f t="shared" si="11"/>
        <v>10.540000000000001</v>
      </c>
      <c r="H59">
        <f t="shared" si="12"/>
        <v>-9.1379310344827598</v>
      </c>
    </row>
    <row r="60" spans="1:8" x14ac:dyDescent="0.2">
      <c r="A60" s="1">
        <v>1950</v>
      </c>
      <c r="B60" s="1">
        <v>10.5</v>
      </c>
      <c r="D60">
        <f t="shared" si="10"/>
        <v>16.166666666666668</v>
      </c>
      <c r="F60">
        <f t="shared" si="11"/>
        <v>13.7</v>
      </c>
      <c r="H60">
        <f t="shared" si="12"/>
        <v>0.16206896551724093</v>
      </c>
    </row>
    <row r="61" spans="1:8" x14ac:dyDescent="0.2">
      <c r="A61" s="1">
        <v>1951</v>
      </c>
      <c r="B61" s="1">
        <v>18</v>
      </c>
      <c r="D61">
        <f t="shared" si="10"/>
        <v>13.666666666666666</v>
      </c>
      <c r="F61">
        <f t="shared" si="11"/>
        <v>13</v>
      </c>
      <c r="H61">
        <f t="shared" si="12"/>
        <v>7.6620689655172409</v>
      </c>
    </row>
    <row r="62" spans="1:8" x14ac:dyDescent="0.2">
      <c r="A62" s="1">
        <v>1952</v>
      </c>
      <c r="B62" s="1">
        <v>20</v>
      </c>
      <c r="D62">
        <f t="shared" si="10"/>
        <v>13.333333333333334</v>
      </c>
      <c r="F62">
        <f t="shared" si="11"/>
        <v>10.6</v>
      </c>
      <c r="H62">
        <f t="shared" si="12"/>
        <v>9.6620689655172409</v>
      </c>
    </row>
    <row r="63" spans="1:8" x14ac:dyDescent="0.2">
      <c r="A63" s="1">
        <v>1953</v>
      </c>
      <c r="B63" s="1">
        <v>3</v>
      </c>
      <c r="D63">
        <f t="shared" si="10"/>
        <v>9</v>
      </c>
      <c r="F63">
        <f t="shared" si="11"/>
        <v>7.6</v>
      </c>
      <c r="H63">
        <f t="shared" si="12"/>
        <v>-7.3379310344827591</v>
      </c>
    </row>
    <row r="64" spans="1:8" x14ac:dyDescent="0.2">
      <c r="A64" s="1">
        <v>1954</v>
      </c>
      <c r="B64" s="1">
        <v>17</v>
      </c>
      <c r="D64">
        <f t="shared" si="10"/>
        <v>10</v>
      </c>
      <c r="F64">
        <f t="shared" si="11"/>
        <v>8.4</v>
      </c>
      <c r="H64">
        <f t="shared" si="12"/>
        <v>6.6620689655172409</v>
      </c>
    </row>
    <row r="65" spans="1:8" x14ac:dyDescent="0.2">
      <c r="A65" s="1">
        <v>1955</v>
      </c>
      <c r="B65" s="1">
        <v>7</v>
      </c>
      <c r="D65">
        <f t="shared" si="10"/>
        <v>6</v>
      </c>
      <c r="F65">
        <f t="shared" si="11"/>
        <v>8.3000000000000007</v>
      </c>
      <c r="H65">
        <f t="shared" si="12"/>
        <v>-3.3379310344827591</v>
      </c>
    </row>
    <row r="66" spans="1:8" x14ac:dyDescent="0.2">
      <c r="A66" s="1">
        <v>1956</v>
      </c>
      <c r="B66" s="1">
        <v>6</v>
      </c>
      <c r="D66">
        <f t="shared" si="10"/>
        <v>6</v>
      </c>
      <c r="F66">
        <f t="shared" si="11"/>
        <v>9.9</v>
      </c>
      <c r="H66">
        <f t="shared" si="12"/>
        <v>-4.3379310344827591</v>
      </c>
    </row>
    <row r="67" spans="1:8" x14ac:dyDescent="0.2">
      <c r="A67" s="1">
        <v>1957</v>
      </c>
      <c r="B67" s="1">
        <v>5</v>
      </c>
      <c r="D67">
        <f t="shared" si="10"/>
        <v>9.5</v>
      </c>
      <c r="F67">
        <f t="shared" si="11"/>
        <v>12.3</v>
      </c>
      <c r="H67">
        <f t="shared" si="12"/>
        <v>-5.3379310344827591</v>
      </c>
    </row>
    <row r="68" spans="1:8" x14ac:dyDescent="0.2">
      <c r="A68" s="1">
        <v>1958</v>
      </c>
      <c r="B68" s="1">
        <v>7</v>
      </c>
      <c r="D68">
        <f t="shared" si="10"/>
        <v>12.833333333333334</v>
      </c>
      <c r="F68">
        <f t="shared" si="11"/>
        <v>12.2</v>
      </c>
      <c r="H68">
        <f t="shared" si="12"/>
        <v>-3.3379310344827591</v>
      </c>
    </row>
    <row r="69" spans="1:8" x14ac:dyDescent="0.2">
      <c r="A69" s="1">
        <v>1959</v>
      </c>
      <c r="B69" s="1">
        <v>16.5</v>
      </c>
      <c r="D69">
        <f t="shared" si="10"/>
        <v>16.5</v>
      </c>
      <c r="F69">
        <f t="shared" si="11"/>
        <v>13.6</v>
      </c>
      <c r="H69">
        <f t="shared" si="12"/>
        <v>6.1620689655172409</v>
      </c>
    </row>
    <row r="70" spans="1:8" x14ac:dyDescent="0.2">
      <c r="A70" s="1">
        <v>1960</v>
      </c>
      <c r="B70" s="1">
        <v>15</v>
      </c>
      <c r="D70">
        <f t="shared" si="10"/>
        <v>12.5</v>
      </c>
      <c r="F70">
        <f t="shared" si="11"/>
        <v>13.1</v>
      </c>
      <c r="H70">
        <f t="shared" si="12"/>
        <v>4.6620689655172409</v>
      </c>
    </row>
    <row r="71" spans="1:8" x14ac:dyDescent="0.2">
      <c r="A71" s="1">
        <v>1961</v>
      </c>
      <c r="B71" s="1">
        <v>18</v>
      </c>
      <c r="D71">
        <f t="shared" si="10"/>
        <v>12.166666666666666</v>
      </c>
      <c r="F71">
        <f t="shared" si="11"/>
        <v>12.7</v>
      </c>
      <c r="H71">
        <f t="shared" si="12"/>
        <v>7.6620689655172409</v>
      </c>
    </row>
    <row r="72" spans="1:8" x14ac:dyDescent="0.2">
      <c r="A72" s="1">
        <v>1962</v>
      </c>
      <c r="B72" s="1">
        <v>4.5</v>
      </c>
      <c r="D72">
        <f t="shared" si="10"/>
        <v>10.833333333333334</v>
      </c>
      <c r="F72">
        <f t="shared" si="11"/>
        <v>12</v>
      </c>
      <c r="H72">
        <f t="shared" si="12"/>
        <v>-5.8379310344827591</v>
      </c>
    </row>
    <row r="73" spans="1:8" x14ac:dyDescent="0.2">
      <c r="A73" s="1">
        <v>1963</v>
      </c>
      <c r="B73" s="1">
        <v>14</v>
      </c>
      <c r="D73">
        <f t="shared" si="10"/>
        <v>13.666666666666666</v>
      </c>
      <c r="F73">
        <f t="shared" si="11"/>
        <v>14</v>
      </c>
      <c r="H73">
        <f t="shared" si="12"/>
        <v>3.6620689655172409</v>
      </c>
    </row>
    <row r="74" spans="1:8" x14ac:dyDescent="0.2">
      <c r="A74" s="1">
        <v>1964</v>
      </c>
      <c r="B74" s="1">
        <v>14</v>
      </c>
      <c r="D74">
        <f t="shared" si="10"/>
        <v>13.833333333333334</v>
      </c>
      <c r="F74">
        <f>AVERAGE(B74:B78)</f>
        <v>14.4</v>
      </c>
      <c r="H74">
        <f t="shared" si="12"/>
        <v>3.6620689655172409</v>
      </c>
    </row>
    <row r="75" spans="1:8" x14ac:dyDescent="0.2">
      <c r="A75" s="1">
        <v>1965</v>
      </c>
      <c r="B75" s="1">
        <v>13</v>
      </c>
      <c r="D75">
        <f t="shared" si="10"/>
        <v>14</v>
      </c>
      <c r="H75">
        <f t="shared" si="12"/>
        <v>2.6620689655172409</v>
      </c>
    </row>
    <row r="76" spans="1:8" x14ac:dyDescent="0.2">
      <c r="A76" s="1">
        <v>1966</v>
      </c>
      <c r="B76" s="1">
        <v>14.5</v>
      </c>
      <c r="D76">
        <f>AVERAGE(B76:B78)</f>
        <v>15</v>
      </c>
      <c r="H76">
        <f t="shared" si="12"/>
        <v>4.1620689655172409</v>
      </c>
    </row>
    <row r="77" spans="1:8" x14ac:dyDescent="0.2">
      <c r="A77" s="1">
        <v>1967</v>
      </c>
      <c r="B77" s="1">
        <v>14.5</v>
      </c>
      <c r="H77">
        <f t="shared" si="12"/>
        <v>4.1620689655172409</v>
      </c>
    </row>
    <row r="78" spans="1:8" x14ac:dyDescent="0.2">
      <c r="A78" s="1">
        <v>1968</v>
      </c>
      <c r="B78" s="1">
        <v>16</v>
      </c>
      <c r="H78">
        <f t="shared" si="12"/>
        <v>5.6620689655172409</v>
      </c>
    </row>
  </sheetData>
  <phoneticPr fontId="1" type="noConversion"/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C02A1910-4A1A-4BB6-8C15-0D8BE8072529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统计分组和统计指标计算!B50:B78</xm:f>
              <xm:sqref>P56</xm:sqref>
            </x14:sparkline>
          </x14:sparklines>
        </x14:sparklineGroup>
      </x14:sparklineGroup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281D7-07DE-4AEC-A59E-E67F4245DB92}">
  <dimension ref="A1"/>
  <sheetViews>
    <sheetView tabSelected="1" workbookViewId="0">
      <selection activeCell="H14" sqref="H14"/>
    </sheetView>
  </sheetViews>
  <sheetFormatPr defaultRowHeight="14.25" x14ac:dyDescent="0.2"/>
  <sheetData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66C5E-1D46-4FBC-9206-BBC3DAE00312}">
  <dimension ref="A1:P52"/>
  <sheetViews>
    <sheetView topLeftCell="A13" workbookViewId="0">
      <selection activeCell="K34" sqref="K34"/>
    </sheetView>
  </sheetViews>
  <sheetFormatPr defaultRowHeight="14.25" x14ac:dyDescent="0.2"/>
  <sheetData>
    <row r="1" spans="1:16" x14ac:dyDescent="0.2">
      <c r="A1" s="2" t="s">
        <v>41</v>
      </c>
    </row>
    <row r="2" spans="1:16" x14ac:dyDescent="0.2">
      <c r="A2" s="13" t="s">
        <v>37</v>
      </c>
      <c r="B2" s="13" t="s">
        <v>38</v>
      </c>
      <c r="C2" s="16" t="s">
        <v>39</v>
      </c>
      <c r="D2" s="2" t="s">
        <v>42</v>
      </c>
      <c r="E2" s="14" t="s">
        <v>43</v>
      </c>
    </row>
    <row r="3" spans="1:16" x14ac:dyDescent="0.2">
      <c r="A3" s="13">
        <v>1953</v>
      </c>
      <c r="B3" s="13">
        <v>151</v>
      </c>
      <c r="C3" s="13">
        <v>160.31</v>
      </c>
      <c r="D3">
        <f>1/(2*SQRT(B3/$A$8))</f>
        <v>126.07156592626008</v>
      </c>
      <c r="E3">
        <f>C3/D3</f>
        <v>1.2715793511581046</v>
      </c>
    </row>
    <row r="4" spans="1:16" x14ac:dyDescent="0.2">
      <c r="A4" s="13">
        <v>1963</v>
      </c>
      <c r="B4" s="13">
        <v>210</v>
      </c>
      <c r="C4" s="13">
        <v>95.96</v>
      </c>
      <c r="D4">
        <f>1/(2*SQRT(B4/$A$8))</f>
        <v>106.90449676496975</v>
      </c>
      <c r="E4">
        <f t="shared" ref="E4:E6" si="0">C4/D4</f>
        <v>0.89762360708706856</v>
      </c>
    </row>
    <row r="5" spans="1:16" x14ac:dyDescent="0.2">
      <c r="A5" s="13">
        <v>1973</v>
      </c>
      <c r="B5" s="13">
        <v>271</v>
      </c>
      <c r="C5" s="13">
        <v>83.79</v>
      </c>
      <c r="D5">
        <f>1/(2*SQRT(B5/$A$8))</f>
        <v>94.106793383291986</v>
      </c>
      <c r="E5">
        <f t="shared" si="0"/>
        <v>0.8903714279024233</v>
      </c>
    </row>
    <row r="6" spans="1:16" x14ac:dyDescent="0.2">
      <c r="A6" s="13">
        <v>1978</v>
      </c>
      <c r="B6" s="13">
        <v>302</v>
      </c>
      <c r="C6" s="13">
        <v>81.02</v>
      </c>
      <c r="D6">
        <f>1/(2*SQRT(B6/$A$8))</f>
        <v>89.146059181265386</v>
      </c>
      <c r="E6">
        <f t="shared" si="0"/>
        <v>0.90884555912065335</v>
      </c>
    </row>
    <row r="7" spans="1:16" x14ac:dyDescent="0.2">
      <c r="A7" t="s">
        <v>40</v>
      </c>
    </row>
    <row r="8" spans="1:16" x14ac:dyDescent="0.2">
      <c r="A8">
        <v>9600000</v>
      </c>
    </row>
    <row r="10" spans="1:16" x14ac:dyDescent="0.2">
      <c r="A10" s="1" t="s">
        <v>44</v>
      </c>
      <c r="B10" s="1"/>
      <c r="C10" s="1"/>
      <c r="D10" s="1"/>
      <c r="E10" s="1"/>
      <c r="F10" s="1"/>
      <c r="G10" s="1"/>
      <c r="H10" s="1"/>
      <c r="I10" s="1"/>
      <c r="J10" s="1"/>
      <c r="K10" s="1"/>
      <c r="N10" s="13">
        <v>3.58</v>
      </c>
      <c r="O10" s="13">
        <v>6.89</v>
      </c>
      <c r="P10" t="str">
        <f>N10&amp;","&amp;O10</f>
        <v>3.58,6.89</v>
      </c>
    </row>
    <row r="11" spans="1:16" x14ac:dyDescent="0.2">
      <c r="A11" s="13" t="s">
        <v>45</v>
      </c>
      <c r="B11" s="13">
        <v>1</v>
      </c>
      <c r="C11" s="13">
        <v>2</v>
      </c>
      <c r="D11" s="13">
        <v>3</v>
      </c>
      <c r="E11" s="13">
        <v>4</v>
      </c>
      <c r="F11" s="13">
        <v>5</v>
      </c>
      <c r="G11" s="13">
        <v>6</v>
      </c>
      <c r="H11" s="13">
        <v>7</v>
      </c>
      <c r="I11" s="13">
        <v>8</v>
      </c>
      <c r="J11" s="13">
        <v>9</v>
      </c>
      <c r="K11" s="13">
        <v>10</v>
      </c>
      <c r="N11" s="13">
        <v>7.45</v>
      </c>
      <c r="O11" s="13">
        <v>6.41</v>
      </c>
      <c r="P11" t="str">
        <f t="shared" ref="P11:P19" si="1">N11&amp;","&amp;O11</f>
        <v>7.45,6.41</v>
      </c>
    </row>
    <row r="12" spans="1:16" x14ac:dyDescent="0.2">
      <c r="A12" s="13" t="s">
        <v>46</v>
      </c>
      <c r="B12" s="13">
        <v>3.58</v>
      </c>
      <c r="C12" s="13">
        <v>7.45</v>
      </c>
      <c r="D12" s="13">
        <v>3.21</v>
      </c>
      <c r="E12" s="13">
        <v>6.47</v>
      </c>
      <c r="F12" s="13">
        <v>5.32</v>
      </c>
      <c r="G12" s="13">
        <v>6.54</v>
      </c>
      <c r="H12" s="13">
        <v>7.81</v>
      </c>
      <c r="I12" s="13">
        <v>9.65</v>
      </c>
      <c r="J12" s="13">
        <v>6.78</v>
      </c>
      <c r="K12" s="13">
        <v>8.92</v>
      </c>
      <c r="N12" s="13">
        <v>3.21</v>
      </c>
      <c r="O12" s="13">
        <v>4.2300000000000004</v>
      </c>
      <c r="P12" t="str">
        <f t="shared" si="1"/>
        <v>3.21,4.23</v>
      </c>
    </row>
    <row r="13" spans="1:16" x14ac:dyDescent="0.2">
      <c r="A13" s="13" t="s">
        <v>47</v>
      </c>
      <c r="B13" s="13">
        <v>6.89</v>
      </c>
      <c r="C13" s="13">
        <v>6.41</v>
      </c>
      <c r="D13" s="13">
        <v>4.2300000000000004</v>
      </c>
      <c r="E13" s="13">
        <v>4.58</v>
      </c>
      <c r="F13" s="13">
        <v>6.31</v>
      </c>
      <c r="G13" s="13">
        <v>2.97</v>
      </c>
      <c r="H13" s="13">
        <v>6.35</v>
      </c>
      <c r="I13" s="13">
        <v>7.43</v>
      </c>
      <c r="J13" s="13">
        <v>5.98</v>
      </c>
      <c r="K13" s="13">
        <v>4.47</v>
      </c>
      <c r="N13" s="13">
        <v>6.47</v>
      </c>
      <c r="O13" s="13">
        <v>4.58</v>
      </c>
      <c r="P13" t="str">
        <f t="shared" si="1"/>
        <v>6.47,4.58</v>
      </c>
    </row>
    <row r="14" spans="1:16" x14ac:dyDescent="0.2">
      <c r="N14" s="13">
        <v>5.32</v>
      </c>
      <c r="O14" s="13">
        <v>6.31</v>
      </c>
      <c r="P14" t="str">
        <f t="shared" si="1"/>
        <v>5.32,6.31</v>
      </c>
    </row>
    <row r="15" spans="1:16" x14ac:dyDescent="0.2">
      <c r="A15" t="s">
        <v>48</v>
      </c>
      <c r="D15" t="s">
        <v>51</v>
      </c>
      <c r="N15" s="13">
        <v>6.54</v>
      </c>
      <c r="O15" s="13">
        <v>2.97</v>
      </c>
      <c r="P15" t="str">
        <f t="shared" si="1"/>
        <v>6.54,2.97</v>
      </c>
    </row>
    <row r="16" spans="1:16" x14ac:dyDescent="0.2">
      <c r="B16" t="s">
        <v>2</v>
      </c>
      <c r="C16" t="s">
        <v>3</v>
      </c>
      <c r="D16" t="s">
        <v>26</v>
      </c>
      <c r="F16" t="s">
        <v>52</v>
      </c>
      <c r="H16" t="s">
        <v>53</v>
      </c>
      <c r="N16" s="13">
        <v>7.81</v>
      </c>
      <c r="O16" s="13">
        <v>6.35</v>
      </c>
      <c r="P16" t="str">
        <f t="shared" si="1"/>
        <v>7.81,6.35</v>
      </c>
    </row>
    <row r="17" spans="1:16" x14ac:dyDescent="0.2">
      <c r="A17" t="s">
        <v>49</v>
      </c>
      <c r="B17">
        <f>MIN(B12:K12)</f>
        <v>3.21</v>
      </c>
      <c r="C17">
        <f>MAX(B12:K12)</f>
        <v>9.65</v>
      </c>
      <c r="D17">
        <f>AVERAGE(B12:K12)</f>
        <v>6.5730000000000004</v>
      </c>
      <c r="F17">
        <f>COUNT(B11:K11)</f>
        <v>10</v>
      </c>
      <c r="H17">
        <f>(C17-B17)*(C18-B18)</f>
        <v>28.722399999999997</v>
      </c>
      <c r="N17" s="13">
        <v>9.65</v>
      </c>
      <c r="O17" s="13">
        <v>7.43</v>
      </c>
      <c r="P17" t="str">
        <f t="shared" si="1"/>
        <v>9.65,7.43</v>
      </c>
    </row>
    <row r="18" spans="1:16" x14ac:dyDescent="0.2">
      <c r="A18" t="s">
        <v>50</v>
      </c>
      <c r="B18">
        <f>MIN(B13:K13)</f>
        <v>2.97</v>
      </c>
      <c r="C18">
        <f>MAX(B13:K13)</f>
        <v>7.43</v>
      </c>
      <c r="D18">
        <f>AVERAGE(B13:K13)</f>
        <v>5.5619999999999994</v>
      </c>
      <c r="N18" s="13">
        <v>6.78</v>
      </c>
      <c r="O18" s="13">
        <v>5.98</v>
      </c>
      <c r="P18" t="str">
        <f t="shared" si="1"/>
        <v>6.78,5.98</v>
      </c>
    </row>
    <row r="19" spans="1:16" x14ac:dyDescent="0.2">
      <c r="N19" s="13">
        <v>8.92</v>
      </c>
      <c r="O19" s="13">
        <v>4.47</v>
      </c>
      <c r="P19" t="str">
        <f t="shared" si="1"/>
        <v>8.92,4.47</v>
      </c>
    </row>
    <row r="20" spans="1:16" x14ac:dyDescent="0.2">
      <c r="A20" t="s">
        <v>54</v>
      </c>
      <c r="B20">
        <v>1</v>
      </c>
      <c r="C20">
        <v>2</v>
      </c>
      <c r="D20">
        <v>3</v>
      </c>
      <c r="E20">
        <v>4</v>
      </c>
      <c r="F20">
        <v>5</v>
      </c>
      <c r="G20">
        <v>6</v>
      </c>
      <c r="H20">
        <v>7</v>
      </c>
      <c r="I20">
        <v>8</v>
      </c>
      <c r="J20">
        <v>9</v>
      </c>
      <c r="K20">
        <v>10</v>
      </c>
      <c r="L20" t="s">
        <v>2</v>
      </c>
    </row>
    <row r="21" spans="1:16" x14ac:dyDescent="0.2">
      <c r="A21">
        <v>1</v>
      </c>
      <c r="B21">
        <f>SQRT((INDEX($B$12:$K$12,B$20)-INDEX($B$12:$K$12,$A21))^2+(INDEX($B$13:$K$13,B$20)-INDEX($B$13:$K$13,$A21))^2)</f>
        <v>0</v>
      </c>
      <c r="C21">
        <f t="shared" ref="C21:K21" si="2">SQRT((INDEX($B$12:$K$12,C$20)-INDEX($B$12:$K$12,$A21))^2+(INDEX($B$13:$K$13,C$20)-INDEX($B$13:$K$13,$A21))^2)</f>
        <v>3.8996538307906254</v>
      </c>
      <c r="D21">
        <f t="shared" si="2"/>
        <v>2.6856098003991562</v>
      </c>
      <c r="E21">
        <f t="shared" si="2"/>
        <v>3.6997567487606529</v>
      </c>
      <c r="F21">
        <f t="shared" si="2"/>
        <v>1.8341210428976604</v>
      </c>
      <c r="G21">
        <f t="shared" si="2"/>
        <v>4.9120260585627999</v>
      </c>
      <c r="H21">
        <f t="shared" si="2"/>
        <v>4.264328786573568</v>
      </c>
      <c r="I21">
        <f t="shared" si="2"/>
        <v>6.0939724318378738</v>
      </c>
      <c r="J21">
        <f t="shared" si="2"/>
        <v>3.3268754109524452</v>
      </c>
      <c r="K21">
        <f t="shared" si="2"/>
        <v>5.8627638533374347</v>
      </c>
      <c r="L21">
        <f>SMALL(B21:K21,2)</f>
        <v>1.8341210428976604</v>
      </c>
    </row>
    <row r="22" spans="1:16" x14ac:dyDescent="0.2">
      <c r="A22">
        <v>2</v>
      </c>
      <c r="B22">
        <f t="shared" ref="B22:K30" si="3">SQRT((INDEX($B$12:$K$12,B$20)-INDEX($B$12:$K$12,$A22))^2+(INDEX($B$13:$K$13,B$20)-INDEX($B$13:$K$13,$A22))^2)</f>
        <v>3.8996538307906254</v>
      </c>
      <c r="C22">
        <f t="shared" si="3"/>
        <v>0</v>
      </c>
      <c r="D22">
        <f t="shared" si="3"/>
        <v>4.7675989764240869</v>
      </c>
      <c r="E22">
        <f t="shared" si="3"/>
        <v>2.0758853532890496</v>
      </c>
      <c r="F22">
        <f t="shared" si="3"/>
        <v>2.1323461257497573</v>
      </c>
      <c r="G22">
        <f t="shared" si="3"/>
        <v>3.5583282591689036</v>
      </c>
      <c r="H22">
        <f t="shared" si="3"/>
        <v>0.3649657518178927</v>
      </c>
      <c r="I22">
        <f t="shared" si="3"/>
        <v>2.4249536078036629</v>
      </c>
      <c r="J22">
        <f t="shared" si="3"/>
        <v>0.79611556949980555</v>
      </c>
      <c r="K22">
        <f t="shared" si="3"/>
        <v>2.4340295807569801</v>
      </c>
      <c r="L22">
        <f t="shared" ref="L22:L30" si="4">SMALL(B22:K22,2)</f>
        <v>0.3649657518178927</v>
      </c>
    </row>
    <row r="23" spans="1:16" x14ac:dyDescent="0.2">
      <c r="A23">
        <v>3</v>
      </c>
      <c r="B23">
        <f t="shared" si="3"/>
        <v>2.6856098003991562</v>
      </c>
      <c r="C23">
        <f t="shared" si="3"/>
        <v>4.7675989764240869</v>
      </c>
      <c r="D23">
        <f t="shared" si="3"/>
        <v>0</v>
      </c>
      <c r="E23">
        <f t="shared" si="3"/>
        <v>3.2787345119725688</v>
      </c>
      <c r="F23">
        <f t="shared" si="3"/>
        <v>2.9628533544541145</v>
      </c>
      <c r="G23">
        <f t="shared" si="3"/>
        <v>3.5604072800734472</v>
      </c>
      <c r="H23">
        <f t="shared" si="3"/>
        <v>5.0650172753900842</v>
      </c>
      <c r="I23">
        <f t="shared" si="3"/>
        <v>7.1912168650375161</v>
      </c>
      <c r="J23">
        <f t="shared" si="3"/>
        <v>3.9758521099256194</v>
      </c>
      <c r="K23">
        <f t="shared" si="3"/>
        <v>5.7150415571542439</v>
      </c>
      <c r="L23">
        <f t="shared" si="4"/>
        <v>2.6856098003991562</v>
      </c>
    </row>
    <row r="24" spans="1:16" x14ac:dyDescent="0.2">
      <c r="A24">
        <v>4</v>
      </c>
      <c r="B24">
        <f t="shared" si="3"/>
        <v>3.6997567487606529</v>
      </c>
      <c r="C24">
        <f t="shared" si="3"/>
        <v>2.0758853532890496</v>
      </c>
      <c r="D24">
        <f t="shared" si="3"/>
        <v>3.2787345119725688</v>
      </c>
      <c r="E24">
        <f t="shared" si="3"/>
        <v>0</v>
      </c>
      <c r="F24">
        <f t="shared" si="3"/>
        <v>2.0773540863319369</v>
      </c>
      <c r="G24">
        <f t="shared" si="3"/>
        <v>1.6115210206509871</v>
      </c>
      <c r="H24">
        <f t="shared" si="3"/>
        <v>2.2200225224082746</v>
      </c>
      <c r="I24">
        <f t="shared" si="3"/>
        <v>4.2702341856155854</v>
      </c>
      <c r="J24">
        <f t="shared" si="3"/>
        <v>1.4339107364128361</v>
      </c>
      <c r="K24">
        <f t="shared" si="3"/>
        <v>2.4524681445433703</v>
      </c>
      <c r="L24">
        <f t="shared" si="4"/>
        <v>1.4339107364128361</v>
      </c>
    </row>
    <row r="25" spans="1:16" x14ac:dyDescent="0.2">
      <c r="A25">
        <v>5</v>
      </c>
      <c r="B25">
        <f t="shared" si="3"/>
        <v>1.8341210428976604</v>
      </c>
      <c r="C25">
        <f t="shared" si="3"/>
        <v>2.1323461257497573</v>
      </c>
      <c r="D25">
        <f t="shared" si="3"/>
        <v>2.9628533544541145</v>
      </c>
      <c r="E25">
        <f t="shared" si="3"/>
        <v>2.0773540863319369</v>
      </c>
      <c r="F25">
        <f t="shared" si="3"/>
        <v>0</v>
      </c>
      <c r="G25">
        <f t="shared" si="3"/>
        <v>3.555840266378679</v>
      </c>
      <c r="H25">
        <f t="shared" si="3"/>
        <v>2.4903212644154964</v>
      </c>
      <c r="I25">
        <f t="shared" si="3"/>
        <v>4.4725048909978842</v>
      </c>
      <c r="J25">
        <f t="shared" si="3"/>
        <v>1.4968299836654793</v>
      </c>
      <c r="K25">
        <f t="shared" si="3"/>
        <v>4.0429692059178484</v>
      </c>
      <c r="L25">
        <f t="shared" si="4"/>
        <v>1.4968299836654793</v>
      </c>
    </row>
    <row r="26" spans="1:16" x14ac:dyDescent="0.2">
      <c r="A26">
        <v>6</v>
      </c>
      <c r="B26">
        <f t="shared" si="3"/>
        <v>4.9120260585627999</v>
      </c>
      <c r="C26">
        <f t="shared" si="3"/>
        <v>3.5583282591689036</v>
      </c>
      <c r="D26">
        <f t="shared" si="3"/>
        <v>3.5604072800734472</v>
      </c>
      <c r="E26">
        <f t="shared" si="3"/>
        <v>1.6115210206509871</v>
      </c>
      <c r="F26">
        <f t="shared" si="3"/>
        <v>3.555840266378679</v>
      </c>
      <c r="G26">
        <f t="shared" si="3"/>
        <v>0</v>
      </c>
      <c r="H26">
        <f t="shared" si="3"/>
        <v>3.6107201497762182</v>
      </c>
      <c r="I26">
        <f t="shared" si="3"/>
        <v>5.4372511437306255</v>
      </c>
      <c r="J26">
        <f t="shared" si="3"/>
        <v>3.019552947043652</v>
      </c>
      <c r="K26">
        <f t="shared" si="3"/>
        <v>2.8132543432828818</v>
      </c>
      <c r="L26">
        <f t="shared" si="4"/>
        <v>1.6115210206509871</v>
      </c>
    </row>
    <row r="27" spans="1:16" x14ac:dyDescent="0.2">
      <c r="A27">
        <v>7</v>
      </c>
      <c r="B27">
        <f t="shared" si="3"/>
        <v>4.264328786573568</v>
      </c>
      <c r="C27">
        <f t="shared" si="3"/>
        <v>0.3649657518178927</v>
      </c>
      <c r="D27">
        <f t="shared" si="3"/>
        <v>5.0650172753900842</v>
      </c>
      <c r="E27">
        <f t="shared" si="3"/>
        <v>2.2200225224082746</v>
      </c>
      <c r="F27">
        <f t="shared" si="3"/>
        <v>2.4903212644154964</v>
      </c>
      <c r="G27">
        <f t="shared" si="3"/>
        <v>3.6107201497762182</v>
      </c>
      <c r="H27">
        <f t="shared" si="3"/>
        <v>0</v>
      </c>
      <c r="I27">
        <f t="shared" si="3"/>
        <v>2.1335416564951348</v>
      </c>
      <c r="J27">
        <f t="shared" si="3"/>
        <v>1.0944404963267751</v>
      </c>
      <c r="K27">
        <f t="shared" si="3"/>
        <v>2.1832315497903561</v>
      </c>
      <c r="L27">
        <f t="shared" si="4"/>
        <v>0.3649657518178927</v>
      </c>
    </row>
    <row r="28" spans="1:16" x14ac:dyDescent="0.2">
      <c r="A28">
        <v>8</v>
      </c>
      <c r="B28">
        <f t="shared" si="3"/>
        <v>6.0939724318378738</v>
      </c>
      <c r="C28">
        <f t="shared" si="3"/>
        <v>2.4249536078036629</v>
      </c>
      <c r="D28">
        <f t="shared" si="3"/>
        <v>7.1912168650375161</v>
      </c>
      <c r="E28">
        <f t="shared" si="3"/>
        <v>4.2702341856155854</v>
      </c>
      <c r="F28">
        <f t="shared" si="3"/>
        <v>4.4725048909978842</v>
      </c>
      <c r="G28">
        <f t="shared" si="3"/>
        <v>5.4372511437306255</v>
      </c>
      <c r="H28">
        <f t="shared" si="3"/>
        <v>2.1335416564951348</v>
      </c>
      <c r="I28">
        <f t="shared" si="3"/>
        <v>0</v>
      </c>
      <c r="J28">
        <f t="shared" si="3"/>
        <v>3.2154937412472129</v>
      </c>
      <c r="K28">
        <f t="shared" si="3"/>
        <v>3.0486882425069308</v>
      </c>
      <c r="L28">
        <f t="shared" si="4"/>
        <v>2.1335416564951348</v>
      </c>
    </row>
    <row r="29" spans="1:16" x14ac:dyDescent="0.2">
      <c r="A29">
        <v>9</v>
      </c>
      <c r="B29">
        <f t="shared" si="3"/>
        <v>3.3268754109524452</v>
      </c>
      <c r="C29">
        <f t="shared" si="3"/>
        <v>0.79611556949980555</v>
      </c>
      <c r="D29">
        <f t="shared" si="3"/>
        <v>3.9758521099256194</v>
      </c>
      <c r="E29">
        <f t="shared" si="3"/>
        <v>1.4339107364128361</v>
      </c>
      <c r="F29">
        <f t="shared" si="3"/>
        <v>1.4968299836654793</v>
      </c>
      <c r="G29">
        <f t="shared" si="3"/>
        <v>3.019552947043652</v>
      </c>
      <c r="H29">
        <f t="shared" si="3"/>
        <v>1.0944404963267751</v>
      </c>
      <c r="I29">
        <f t="shared" si="3"/>
        <v>3.2154937412472129</v>
      </c>
      <c r="J29">
        <f t="shared" si="3"/>
        <v>0</v>
      </c>
      <c r="K29">
        <f t="shared" si="3"/>
        <v>2.6191028998494885</v>
      </c>
      <c r="L29">
        <f t="shared" si="4"/>
        <v>0.79611556949980555</v>
      </c>
    </row>
    <row r="30" spans="1:16" x14ac:dyDescent="0.2">
      <c r="A30">
        <v>10</v>
      </c>
      <c r="B30">
        <f t="shared" si="3"/>
        <v>5.8627638533374347</v>
      </c>
      <c r="C30">
        <f t="shared" si="3"/>
        <v>2.4340295807569801</v>
      </c>
      <c r="D30">
        <f t="shared" si="3"/>
        <v>5.7150415571542439</v>
      </c>
      <c r="E30">
        <f t="shared" si="3"/>
        <v>2.4524681445433703</v>
      </c>
      <c r="F30">
        <f t="shared" si="3"/>
        <v>4.0429692059178484</v>
      </c>
      <c r="G30">
        <f t="shared" si="3"/>
        <v>2.8132543432828818</v>
      </c>
      <c r="H30">
        <f t="shared" si="3"/>
        <v>2.1832315497903561</v>
      </c>
      <c r="I30">
        <f t="shared" si="3"/>
        <v>3.0486882425069308</v>
      </c>
      <c r="J30">
        <f t="shared" si="3"/>
        <v>2.6191028998494885</v>
      </c>
      <c r="K30">
        <f t="shared" si="3"/>
        <v>0</v>
      </c>
      <c r="L30">
        <f t="shared" si="4"/>
        <v>2.1832315497903561</v>
      </c>
    </row>
    <row r="32" spans="1:16" x14ac:dyDescent="0.2">
      <c r="A32" t="s">
        <v>55</v>
      </c>
      <c r="C32" t="s">
        <v>56</v>
      </c>
      <c r="I32" t="s">
        <v>57</v>
      </c>
    </row>
    <row r="33" spans="1:10" x14ac:dyDescent="0.2">
      <c r="A33">
        <f>AVERAGE(L21:L30)</f>
        <v>1.4904812863447201</v>
      </c>
      <c r="C33">
        <f>1/(2*SQRT(F17/H17))</f>
        <v>0.84738421037921163</v>
      </c>
      <c r="I33">
        <f>A33/C33</f>
        <v>1.7589202962345936</v>
      </c>
    </row>
    <row r="35" spans="1:10" x14ac:dyDescent="0.2">
      <c r="A35" s="18" t="s">
        <v>58</v>
      </c>
      <c r="B35" s="1"/>
      <c r="C35" s="1"/>
      <c r="D35" s="1"/>
      <c r="E35" s="1"/>
      <c r="F35" s="1"/>
      <c r="G35" s="1"/>
      <c r="H35" s="1"/>
      <c r="I35" s="1"/>
      <c r="J35" s="1"/>
    </row>
    <row r="36" spans="1:10" x14ac:dyDescent="0.2">
      <c r="A36" s="18" t="s">
        <v>59</v>
      </c>
      <c r="B36" s="1"/>
      <c r="C36" s="1"/>
      <c r="D36" s="1"/>
      <c r="E36" s="1"/>
      <c r="F36" s="1"/>
      <c r="G36" s="1"/>
      <c r="H36" s="1"/>
      <c r="I36" s="1"/>
      <c r="J36" s="1"/>
    </row>
    <row r="37" spans="1:10" x14ac:dyDescent="0.2">
      <c r="A37" s="1"/>
      <c r="B37" s="1"/>
      <c r="C37" s="1"/>
      <c r="D37" s="1"/>
      <c r="E37" s="1"/>
      <c r="F37" s="1"/>
      <c r="G37" s="1"/>
      <c r="H37" s="1"/>
      <c r="I37" s="1"/>
      <c r="J37" s="1"/>
    </row>
    <row r="38" spans="1:10" x14ac:dyDescent="0.2">
      <c r="A38" s="1"/>
      <c r="B38" s="1"/>
      <c r="C38" s="1"/>
      <c r="D38" s="1"/>
      <c r="E38" s="1"/>
      <c r="F38" s="1"/>
      <c r="G38" s="1"/>
      <c r="H38" s="1"/>
      <c r="I38" s="1"/>
      <c r="J38" s="1"/>
    </row>
    <row r="39" spans="1:10" x14ac:dyDescent="0.2">
      <c r="A39" s="1"/>
      <c r="B39" s="1"/>
      <c r="C39" s="1"/>
      <c r="D39" s="1"/>
      <c r="E39" s="1"/>
      <c r="F39" s="1"/>
      <c r="G39" s="1"/>
      <c r="H39" s="1"/>
      <c r="I39" s="1"/>
      <c r="J39" s="1"/>
    </row>
    <row r="40" spans="1:10" x14ac:dyDescent="0.2">
      <c r="A40" s="1"/>
      <c r="B40" s="1"/>
      <c r="C40" s="1"/>
      <c r="D40" s="1"/>
      <c r="E40" s="1"/>
      <c r="F40" s="1"/>
      <c r="G40" s="1"/>
      <c r="H40" s="1"/>
      <c r="I40" s="1"/>
      <c r="J40" s="1"/>
    </row>
    <row r="41" spans="1:10" x14ac:dyDescent="0.2">
      <c r="A41" s="1"/>
      <c r="B41" s="1"/>
      <c r="C41" s="1"/>
      <c r="D41" s="1"/>
      <c r="E41" s="1"/>
      <c r="F41" s="1"/>
      <c r="G41" s="1"/>
      <c r="H41" s="1"/>
      <c r="I41" s="1"/>
      <c r="J41" s="1"/>
    </row>
    <row r="42" spans="1:10" x14ac:dyDescent="0.2">
      <c r="A42" s="1"/>
      <c r="B42" s="1"/>
      <c r="C42" s="1"/>
      <c r="D42" s="1"/>
      <c r="E42" s="1"/>
      <c r="F42" s="1"/>
      <c r="G42" s="1"/>
      <c r="H42" s="1"/>
      <c r="I42" s="1"/>
      <c r="J42" s="1"/>
    </row>
    <row r="44" spans="1:10" x14ac:dyDescent="0.2">
      <c r="A44" t="s">
        <v>54</v>
      </c>
      <c r="B44" t="s">
        <v>60</v>
      </c>
      <c r="C44" t="s">
        <v>61</v>
      </c>
      <c r="D44" t="s">
        <v>62</v>
      </c>
      <c r="E44" t="s">
        <v>63</v>
      </c>
      <c r="F44" t="s">
        <v>64</v>
      </c>
      <c r="H44" t="s">
        <v>65</v>
      </c>
    </row>
    <row r="45" spans="1:10" x14ac:dyDescent="0.2">
      <c r="A45" t="s">
        <v>60</v>
      </c>
      <c r="B45">
        <v>0</v>
      </c>
      <c r="C45">
        <v>15</v>
      </c>
      <c r="D45">
        <v>27</v>
      </c>
      <c r="E45">
        <v>48</v>
      </c>
      <c r="F45">
        <v>63</v>
      </c>
      <c r="H45">
        <f>1</f>
        <v>1</v>
      </c>
    </row>
    <row r="46" spans="1:10" x14ac:dyDescent="0.2">
      <c r="A46" t="s">
        <v>61</v>
      </c>
      <c r="B46">
        <v>15</v>
      </c>
      <c r="C46">
        <v>0</v>
      </c>
      <c r="D46">
        <v>12</v>
      </c>
      <c r="E46">
        <v>54</v>
      </c>
      <c r="F46">
        <v>69</v>
      </c>
      <c r="H46">
        <v>2</v>
      </c>
    </row>
    <row r="47" spans="1:10" x14ac:dyDescent="0.2">
      <c r="A47" t="s">
        <v>62</v>
      </c>
      <c r="B47">
        <v>27</v>
      </c>
      <c r="C47">
        <v>12</v>
      </c>
      <c r="D47">
        <v>0</v>
      </c>
      <c r="E47">
        <v>42</v>
      </c>
      <c r="F47">
        <v>57</v>
      </c>
      <c r="H47">
        <v>3</v>
      </c>
    </row>
    <row r="48" spans="1:10" x14ac:dyDescent="0.2">
      <c r="A48" t="s">
        <v>63</v>
      </c>
      <c r="B48">
        <v>48</v>
      </c>
      <c r="C48">
        <v>54</v>
      </c>
      <c r="D48">
        <v>42</v>
      </c>
      <c r="E48">
        <v>0</v>
      </c>
      <c r="F48">
        <v>15</v>
      </c>
      <c r="H48">
        <v>4</v>
      </c>
    </row>
    <row r="49" spans="1:8" x14ac:dyDescent="0.2">
      <c r="A49" t="s">
        <v>64</v>
      </c>
      <c r="B49">
        <v>63</v>
      </c>
      <c r="C49">
        <v>69</v>
      </c>
      <c r="D49">
        <v>57</v>
      </c>
      <c r="E49">
        <v>15</v>
      </c>
      <c r="F49">
        <v>0</v>
      </c>
      <c r="H49">
        <v>5</v>
      </c>
    </row>
    <row r="51" spans="1:8" x14ac:dyDescent="0.2">
      <c r="B51" t="s">
        <v>66</v>
      </c>
      <c r="C51" t="s">
        <v>67</v>
      </c>
      <c r="D51" t="s">
        <v>68</v>
      </c>
      <c r="E51" t="s">
        <v>69</v>
      </c>
      <c r="F51" t="s">
        <v>70</v>
      </c>
      <c r="G51" t="s">
        <v>2</v>
      </c>
    </row>
    <row r="52" spans="1:8" x14ac:dyDescent="0.2">
      <c r="B52">
        <f>B45*$H$45+B46*$H$46+B47*$H$47+B48*$H$48+B49*$H$49</f>
        <v>618</v>
      </c>
      <c r="C52">
        <f t="shared" ref="C52:F52" si="5">C45*$H$45+C46*$H$46+C47*$H$47+C48*$H$48+C49*$H$49</f>
        <v>612</v>
      </c>
      <c r="D52">
        <f t="shared" si="5"/>
        <v>504</v>
      </c>
      <c r="E52">
        <f t="shared" si="5"/>
        <v>357</v>
      </c>
      <c r="F52">
        <f t="shared" si="5"/>
        <v>432</v>
      </c>
      <c r="G52">
        <f>MIN(B52:F52)</f>
        <v>357</v>
      </c>
      <c r="H52" t="s">
        <v>63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42F2F-5D00-4D0F-9445-58D17B8FE75E}">
  <dimension ref="A1:S50"/>
  <sheetViews>
    <sheetView workbookViewId="0">
      <selection activeCell="I62" sqref="I62"/>
    </sheetView>
  </sheetViews>
  <sheetFormatPr defaultRowHeight="14.25" x14ac:dyDescent="0.2"/>
  <sheetData>
    <row r="1" spans="1:19" x14ac:dyDescent="0.2">
      <c r="A1" s="1" t="s">
        <v>71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 t="s">
        <v>72</v>
      </c>
    </row>
    <row r="2" spans="1:19" x14ac:dyDescent="0.2">
      <c r="A2" s="1" t="s">
        <v>73</v>
      </c>
      <c r="B2" s="1">
        <v>5.2</v>
      </c>
      <c r="C2" s="1">
        <v>7.8</v>
      </c>
      <c r="D2" s="1">
        <v>7.6</v>
      </c>
      <c r="E2" s="1">
        <v>12.6</v>
      </c>
      <c r="F2" s="1">
        <v>23.2</v>
      </c>
      <c r="G2" s="1">
        <v>11.2</v>
      </c>
      <c r="H2" s="1">
        <v>3.6</v>
      </c>
      <c r="I2" s="1">
        <v>6.9</v>
      </c>
      <c r="J2" s="1">
        <v>4.2</v>
      </c>
      <c r="K2" s="1">
        <v>15.6</v>
      </c>
      <c r="L2" s="1">
        <v>2.1</v>
      </c>
      <c r="M2" s="1">
        <f>SUM(B2:L2)</f>
        <v>100</v>
      </c>
    </row>
    <row r="3" spans="1:19" x14ac:dyDescent="0.2">
      <c r="A3" s="1" t="s">
        <v>74</v>
      </c>
      <c r="B3" s="1">
        <v>2.6</v>
      </c>
      <c r="C3" s="1">
        <v>22.7</v>
      </c>
      <c r="D3" s="1">
        <v>15.3</v>
      </c>
      <c r="E3" s="1">
        <v>0.5</v>
      </c>
      <c r="F3" s="1">
        <v>4.2</v>
      </c>
      <c r="G3" s="1">
        <v>2</v>
      </c>
      <c r="H3" s="1">
        <v>2.2000000000000002</v>
      </c>
      <c r="I3" s="1">
        <v>4.5999999999999996</v>
      </c>
      <c r="J3" s="1">
        <v>27.4</v>
      </c>
      <c r="K3" s="1">
        <v>12</v>
      </c>
      <c r="L3" s="1">
        <v>6.5</v>
      </c>
      <c r="M3" s="1">
        <f t="shared" ref="M3:M5" si="0">SUM(B3:L3)</f>
        <v>100</v>
      </c>
    </row>
    <row r="4" spans="1:19" x14ac:dyDescent="0.2">
      <c r="A4" s="1" t="s">
        <v>75</v>
      </c>
      <c r="B4" s="1">
        <v>5.2</v>
      </c>
      <c r="C4" s="1">
        <v>7.9</v>
      </c>
      <c r="D4" s="1">
        <v>4.9000000000000004</v>
      </c>
      <c r="E4" s="1">
        <v>2.7</v>
      </c>
      <c r="F4" s="1">
        <v>36</v>
      </c>
      <c r="G4" s="1">
        <v>6.6</v>
      </c>
      <c r="H4" s="1">
        <v>4.5999999999999996</v>
      </c>
      <c r="I4" s="1">
        <v>8.3000000000000007</v>
      </c>
      <c r="J4" s="1">
        <v>11.6</v>
      </c>
      <c r="K4" s="1">
        <v>10</v>
      </c>
      <c r="L4" s="1">
        <v>2.2000000000000002</v>
      </c>
      <c r="M4" s="1">
        <f t="shared" si="0"/>
        <v>100</v>
      </c>
    </row>
    <row r="5" spans="1:19" x14ac:dyDescent="0.2">
      <c r="A5" s="1" t="s">
        <v>76</v>
      </c>
      <c r="B5" s="1">
        <v>5.5</v>
      </c>
      <c r="C5" s="1">
        <v>8.8000000000000007</v>
      </c>
      <c r="D5" s="1">
        <v>6</v>
      </c>
      <c r="E5" s="1">
        <v>2.6</v>
      </c>
      <c r="F5" s="1">
        <v>33.700000000000003</v>
      </c>
      <c r="G5" s="1">
        <v>5.6</v>
      </c>
      <c r="H5" s="1">
        <v>4.2</v>
      </c>
      <c r="I5" s="1">
        <v>10</v>
      </c>
      <c r="J5" s="1">
        <v>12.6</v>
      </c>
      <c r="K5" s="1">
        <v>9</v>
      </c>
      <c r="L5" s="1">
        <v>2</v>
      </c>
      <c r="M5" s="1">
        <f t="shared" si="0"/>
        <v>100</v>
      </c>
    </row>
    <row r="7" spans="1:19" x14ac:dyDescent="0.2">
      <c r="A7" s="19" t="s">
        <v>77</v>
      </c>
      <c r="B7" s="7"/>
    </row>
    <row r="8" spans="1:19" x14ac:dyDescent="0.2">
      <c r="A8" s="7" t="s">
        <v>78</v>
      </c>
      <c r="B8" s="7">
        <f>B2/B$5</f>
        <v>0.94545454545454544</v>
      </c>
      <c r="C8" s="7">
        <f t="shared" ref="C8:L8" si="1">C2/C$5</f>
        <v>0.88636363636363624</v>
      </c>
      <c r="D8" s="7">
        <f t="shared" si="1"/>
        <v>1.2666666666666666</v>
      </c>
      <c r="E8" s="7">
        <f t="shared" si="1"/>
        <v>4.8461538461538458</v>
      </c>
      <c r="F8" s="7">
        <f t="shared" si="1"/>
        <v>0.688427299703264</v>
      </c>
      <c r="G8" s="7">
        <f t="shared" si="1"/>
        <v>2</v>
      </c>
      <c r="H8" s="7">
        <f t="shared" si="1"/>
        <v>0.8571428571428571</v>
      </c>
      <c r="I8" s="7">
        <f t="shared" si="1"/>
        <v>0.69000000000000006</v>
      </c>
      <c r="J8" s="7">
        <f t="shared" si="1"/>
        <v>0.33333333333333337</v>
      </c>
      <c r="K8" s="7">
        <f t="shared" si="1"/>
        <v>1.7333333333333334</v>
      </c>
      <c r="L8" s="7">
        <f t="shared" si="1"/>
        <v>1.05</v>
      </c>
    </row>
    <row r="9" spans="1:19" x14ac:dyDescent="0.2">
      <c r="A9" s="7" t="s">
        <v>79</v>
      </c>
      <c r="B9" s="7">
        <f t="shared" ref="B9:L10" si="2">B3/B$5</f>
        <v>0.47272727272727272</v>
      </c>
      <c r="C9" s="7">
        <f t="shared" si="2"/>
        <v>2.5795454545454541</v>
      </c>
      <c r="D9" s="7">
        <f t="shared" si="2"/>
        <v>2.5500000000000003</v>
      </c>
      <c r="E9" s="7">
        <f t="shared" si="2"/>
        <v>0.19230769230769229</v>
      </c>
      <c r="F9" s="7">
        <f t="shared" si="2"/>
        <v>0.12462908011869436</v>
      </c>
      <c r="G9" s="7">
        <f t="shared" si="2"/>
        <v>0.35714285714285715</v>
      </c>
      <c r="H9" s="7">
        <f t="shared" si="2"/>
        <v>0.52380952380952384</v>
      </c>
      <c r="I9" s="7">
        <f t="shared" si="2"/>
        <v>0.45999999999999996</v>
      </c>
      <c r="J9" s="7">
        <f t="shared" si="2"/>
        <v>2.1746031746031744</v>
      </c>
      <c r="K9" s="7">
        <f t="shared" si="2"/>
        <v>1.3333333333333333</v>
      </c>
      <c r="L9" s="7">
        <f t="shared" si="2"/>
        <v>3.25</v>
      </c>
    </row>
    <row r="10" spans="1:19" x14ac:dyDescent="0.2">
      <c r="A10" s="7" t="s">
        <v>80</v>
      </c>
      <c r="B10" s="7">
        <f t="shared" si="2"/>
        <v>0.94545454545454544</v>
      </c>
      <c r="C10" s="7">
        <f t="shared" si="2"/>
        <v>0.89772727272727271</v>
      </c>
      <c r="D10" s="7">
        <f t="shared" si="2"/>
        <v>0.81666666666666676</v>
      </c>
      <c r="E10" s="7">
        <f t="shared" si="2"/>
        <v>1.0384615384615385</v>
      </c>
      <c r="F10" s="7">
        <f t="shared" si="2"/>
        <v>1.0682492581602372</v>
      </c>
      <c r="G10" s="7">
        <f t="shared" si="2"/>
        <v>1.1785714285714286</v>
      </c>
      <c r="H10" s="7">
        <f t="shared" si="2"/>
        <v>1.0952380952380951</v>
      </c>
      <c r="I10" s="7">
        <f t="shared" si="2"/>
        <v>0.83000000000000007</v>
      </c>
      <c r="J10" s="7">
        <f t="shared" si="2"/>
        <v>0.92063492063492058</v>
      </c>
      <c r="K10" s="7">
        <f t="shared" si="2"/>
        <v>1.1111111111111112</v>
      </c>
      <c r="L10" s="7">
        <f t="shared" si="2"/>
        <v>1.1000000000000001</v>
      </c>
    </row>
    <row r="11" spans="1:19" x14ac:dyDescent="0.2">
      <c r="A11" s="7"/>
      <c r="B11" s="7"/>
    </row>
    <row r="12" spans="1:19" x14ac:dyDescent="0.2">
      <c r="A12" s="2" t="s">
        <v>81</v>
      </c>
      <c r="B12" s="7"/>
      <c r="I12" s="7"/>
      <c r="J12" s="7"/>
      <c r="K12" s="7"/>
      <c r="L12" s="7"/>
      <c r="M12" s="7"/>
      <c r="N12" s="7"/>
      <c r="O12" s="7"/>
      <c r="P12" s="7"/>
      <c r="Q12" s="7"/>
      <c r="R12" s="7"/>
    </row>
    <row r="13" spans="1:19" x14ac:dyDescent="0.2">
      <c r="A13" s="1" t="s">
        <v>71</v>
      </c>
      <c r="B13" s="7" t="s">
        <v>78</v>
      </c>
      <c r="C13" s="1" t="s">
        <v>73</v>
      </c>
      <c r="D13" s="1" t="s">
        <v>76</v>
      </c>
      <c r="E13" t="s">
        <v>82</v>
      </c>
      <c r="F13" t="s">
        <v>83</v>
      </c>
    </row>
    <row r="14" spans="1:19" x14ac:dyDescent="0.2">
      <c r="A14" s="1">
        <v>4</v>
      </c>
      <c r="B14" s="7">
        <v>4.8461538461538458</v>
      </c>
      <c r="C14" s="1">
        <v>12.6</v>
      </c>
      <c r="D14" s="1">
        <v>2.6</v>
      </c>
      <c r="E14">
        <f>C14</f>
        <v>12.6</v>
      </c>
      <c r="F14">
        <f>D14</f>
        <v>2.6</v>
      </c>
      <c r="G14" s="7"/>
      <c r="H14" s="1">
        <v>5.2</v>
      </c>
      <c r="I14" s="1">
        <v>5.5</v>
      </c>
      <c r="J14" s="7" t="str">
        <f>H14&amp;","&amp;I14</f>
        <v>5.2,5.5</v>
      </c>
      <c r="K14" s="7"/>
      <c r="L14" s="7"/>
      <c r="M14" s="7"/>
      <c r="N14" s="7"/>
      <c r="O14" s="7"/>
      <c r="P14" s="7"/>
      <c r="Q14" s="7"/>
      <c r="R14" s="7"/>
      <c r="S14" s="7"/>
    </row>
    <row r="15" spans="1:19" x14ac:dyDescent="0.2">
      <c r="A15" s="1">
        <v>6</v>
      </c>
      <c r="B15" s="7">
        <v>2</v>
      </c>
      <c r="C15" s="1">
        <v>11.2</v>
      </c>
      <c r="D15" s="1">
        <v>5.6</v>
      </c>
      <c r="E15">
        <f>E14+C15</f>
        <v>23.799999999999997</v>
      </c>
      <c r="F15">
        <f>F14+D15</f>
        <v>8.1999999999999993</v>
      </c>
      <c r="H15" s="1">
        <v>7.8</v>
      </c>
      <c r="I15" s="1">
        <v>8.8000000000000007</v>
      </c>
      <c r="J15" s="7" t="str">
        <f t="shared" ref="J15:J24" si="3">H15&amp;","&amp;I15</f>
        <v>7.8,8.8</v>
      </c>
    </row>
    <row r="16" spans="1:19" x14ac:dyDescent="0.2">
      <c r="A16" s="1">
        <v>10</v>
      </c>
      <c r="B16" s="7">
        <v>1.7333333333333334</v>
      </c>
      <c r="C16" s="1">
        <v>15.6</v>
      </c>
      <c r="D16" s="1">
        <v>9</v>
      </c>
      <c r="E16">
        <f t="shared" ref="E16:E24" si="4">E15+C16</f>
        <v>39.4</v>
      </c>
      <c r="F16">
        <f t="shared" ref="F16:F24" si="5">F15+D16</f>
        <v>17.2</v>
      </c>
      <c r="G16" s="7"/>
      <c r="H16" s="1">
        <v>7.6</v>
      </c>
      <c r="I16" s="1">
        <v>6</v>
      </c>
      <c r="J16" s="7" t="str">
        <f t="shared" si="3"/>
        <v>7.6,6</v>
      </c>
      <c r="K16" s="7"/>
      <c r="L16" s="7"/>
      <c r="M16" s="7"/>
      <c r="N16" s="7"/>
      <c r="O16" s="7"/>
      <c r="P16" s="7"/>
    </row>
    <row r="17" spans="1:19" x14ac:dyDescent="0.2">
      <c r="A17" s="1">
        <v>3</v>
      </c>
      <c r="B17" s="7">
        <v>1.2666666666666666</v>
      </c>
      <c r="C17" s="1">
        <v>7.6</v>
      </c>
      <c r="D17" s="1">
        <v>6</v>
      </c>
      <c r="E17">
        <f t="shared" si="4"/>
        <v>47</v>
      </c>
      <c r="F17">
        <f t="shared" si="5"/>
        <v>23.2</v>
      </c>
      <c r="G17" s="7"/>
      <c r="H17" s="1">
        <v>12.6</v>
      </c>
      <c r="I17" s="1">
        <v>2.6</v>
      </c>
      <c r="J17" s="7" t="str">
        <f t="shared" si="3"/>
        <v>12.6,2.6</v>
      </c>
      <c r="K17" s="7"/>
      <c r="L17" s="7"/>
      <c r="M17" s="7"/>
    </row>
    <row r="18" spans="1:19" x14ac:dyDescent="0.2">
      <c r="A18" s="1">
        <v>11</v>
      </c>
      <c r="B18" s="7">
        <v>1.05</v>
      </c>
      <c r="C18" s="1">
        <v>2.1</v>
      </c>
      <c r="D18" s="1">
        <v>2</v>
      </c>
      <c r="E18">
        <f t="shared" si="4"/>
        <v>49.1</v>
      </c>
      <c r="F18">
        <f t="shared" si="5"/>
        <v>25.2</v>
      </c>
      <c r="H18" s="1">
        <v>23.2</v>
      </c>
      <c r="I18" s="1">
        <v>33.700000000000003</v>
      </c>
      <c r="J18" s="7" t="str">
        <f t="shared" si="3"/>
        <v>23.2,33.7</v>
      </c>
      <c r="K18" s="7"/>
      <c r="L18" s="7"/>
      <c r="M18" s="7"/>
    </row>
    <row r="19" spans="1:19" x14ac:dyDescent="0.2">
      <c r="A19" s="1">
        <v>1</v>
      </c>
      <c r="B19" s="7">
        <v>0.94545454545454544</v>
      </c>
      <c r="C19" s="1">
        <v>5.2</v>
      </c>
      <c r="D19" s="1">
        <v>5.5</v>
      </c>
      <c r="E19">
        <f t="shared" si="4"/>
        <v>54.300000000000004</v>
      </c>
      <c r="F19">
        <f t="shared" si="5"/>
        <v>30.7</v>
      </c>
      <c r="H19" s="1">
        <v>11.2</v>
      </c>
      <c r="I19" s="1">
        <v>5.6</v>
      </c>
      <c r="J19" s="7" t="str">
        <f t="shared" si="3"/>
        <v>11.2,5.6</v>
      </c>
      <c r="K19" s="7"/>
      <c r="L19" s="7"/>
      <c r="M19" s="7"/>
    </row>
    <row r="20" spans="1:19" x14ac:dyDescent="0.2">
      <c r="A20" s="1">
        <v>2</v>
      </c>
      <c r="B20" s="7">
        <v>0.88636363636363624</v>
      </c>
      <c r="C20" s="1">
        <v>7.8</v>
      </c>
      <c r="D20" s="1">
        <v>8.8000000000000007</v>
      </c>
      <c r="E20">
        <f t="shared" si="4"/>
        <v>62.1</v>
      </c>
      <c r="F20">
        <f t="shared" si="5"/>
        <v>39.5</v>
      </c>
      <c r="H20" s="1">
        <v>3.6</v>
      </c>
      <c r="I20" s="1">
        <v>4.2</v>
      </c>
      <c r="J20" s="7" t="str">
        <f t="shared" si="3"/>
        <v>3.6,4.2</v>
      </c>
    </row>
    <row r="21" spans="1:19" x14ac:dyDescent="0.2">
      <c r="A21" s="1">
        <v>7</v>
      </c>
      <c r="B21" s="7">
        <v>0.8571428571428571</v>
      </c>
      <c r="C21" s="1">
        <v>3.6</v>
      </c>
      <c r="D21" s="1">
        <v>4.2</v>
      </c>
      <c r="E21">
        <f t="shared" si="4"/>
        <v>65.7</v>
      </c>
      <c r="F21">
        <f t="shared" si="5"/>
        <v>43.7</v>
      </c>
      <c r="H21" s="1">
        <v>6.9</v>
      </c>
      <c r="I21" s="1">
        <v>10</v>
      </c>
      <c r="J21" s="7" t="str">
        <f t="shared" si="3"/>
        <v>6.9,10</v>
      </c>
    </row>
    <row r="22" spans="1:19" x14ac:dyDescent="0.2">
      <c r="A22" s="1">
        <v>8</v>
      </c>
      <c r="B22" s="7">
        <v>0.69000000000000006</v>
      </c>
      <c r="C22" s="1">
        <v>6.9</v>
      </c>
      <c r="D22" s="1">
        <v>10</v>
      </c>
      <c r="E22">
        <f t="shared" si="4"/>
        <v>72.600000000000009</v>
      </c>
      <c r="F22">
        <f t="shared" si="5"/>
        <v>53.7</v>
      </c>
      <c r="H22" s="1">
        <v>4.2</v>
      </c>
      <c r="I22" s="1">
        <v>12.6</v>
      </c>
      <c r="J22" s="7" t="str">
        <f t="shared" si="3"/>
        <v>4.2,12.6</v>
      </c>
    </row>
    <row r="23" spans="1:19" x14ac:dyDescent="0.2">
      <c r="A23" s="1">
        <v>5</v>
      </c>
      <c r="B23" s="7">
        <v>0.688427299703264</v>
      </c>
      <c r="C23" s="1">
        <v>23.2</v>
      </c>
      <c r="D23" s="1">
        <v>33.700000000000003</v>
      </c>
      <c r="E23">
        <f t="shared" si="4"/>
        <v>95.800000000000011</v>
      </c>
      <c r="F23">
        <f t="shared" si="5"/>
        <v>87.4</v>
      </c>
      <c r="H23" s="1">
        <v>15.6</v>
      </c>
      <c r="I23" s="1">
        <v>9</v>
      </c>
      <c r="J23" s="7" t="str">
        <f t="shared" si="3"/>
        <v>15.6,9</v>
      </c>
    </row>
    <row r="24" spans="1:19" x14ac:dyDescent="0.2">
      <c r="A24" s="1">
        <v>9</v>
      </c>
      <c r="B24" s="7">
        <v>0.33333333333333337</v>
      </c>
      <c r="C24" s="1">
        <v>4.2</v>
      </c>
      <c r="D24" s="1">
        <v>12.6</v>
      </c>
      <c r="E24">
        <f t="shared" si="4"/>
        <v>100.00000000000001</v>
      </c>
      <c r="F24">
        <f t="shared" si="5"/>
        <v>100</v>
      </c>
      <c r="H24" s="1">
        <v>2.1</v>
      </c>
      <c r="I24" s="1">
        <v>2</v>
      </c>
      <c r="J24" s="7" t="str">
        <f t="shared" si="3"/>
        <v>2.1,2</v>
      </c>
    </row>
    <row r="26" spans="1:19" x14ac:dyDescent="0.2">
      <c r="A26" s="1" t="s">
        <v>71</v>
      </c>
      <c r="B26" s="7" t="s">
        <v>79</v>
      </c>
      <c r="C26" s="1" t="s">
        <v>74</v>
      </c>
      <c r="D26" s="1" t="s">
        <v>76</v>
      </c>
      <c r="E26" t="s">
        <v>84</v>
      </c>
      <c r="F26" t="s">
        <v>83</v>
      </c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</row>
    <row r="27" spans="1:19" x14ac:dyDescent="0.2">
      <c r="A27" s="1">
        <v>11</v>
      </c>
      <c r="B27" s="7">
        <v>3.25</v>
      </c>
      <c r="C27" s="1">
        <v>6.5</v>
      </c>
      <c r="D27" s="1">
        <v>2</v>
      </c>
      <c r="E27">
        <f>C27</f>
        <v>6.5</v>
      </c>
      <c r="F27">
        <f>D27</f>
        <v>2</v>
      </c>
      <c r="H27" s="1">
        <v>2.6</v>
      </c>
      <c r="I27" s="1">
        <v>5.5</v>
      </c>
      <c r="J27" s="7" t="str">
        <f>H27&amp;","&amp;I27</f>
        <v>2.6,5.5</v>
      </c>
    </row>
    <row r="28" spans="1:19" x14ac:dyDescent="0.2">
      <c r="A28" s="1">
        <v>2</v>
      </c>
      <c r="B28" s="7">
        <v>2.5795454545454541</v>
      </c>
      <c r="C28" s="1">
        <v>22.7</v>
      </c>
      <c r="D28" s="1">
        <v>8.8000000000000007</v>
      </c>
      <c r="E28">
        <f>E27+C28</f>
        <v>29.2</v>
      </c>
      <c r="F28">
        <f>F27+D28</f>
        <v>10.8</v>
      </c>
      <c r="H28" s="1">
        <v>22.7</v>
      </c>
      <c r="I28" s="1">
        <v>8.8000000000000007</v>
      </c>
      <c r="J28" s="7" t="str">
        <f t="shared" ref="J28:J37" si="6">H28&amp;","&amp;I28</f>
        <v>22.7,8.8</v>
      </c>
    </row>
    <row r="29" spans="1:19" x14ac:dyDescent="0.2">
      <c r="A29" s="1">
        <v>3</v>
      </c>
      <c r="B29" s="7">
        <v>2.5500000000000003</v>
      </c>
      <c r="C29" s="1">
        <v>15.3</v>
      </c>
      <c r="D29" s="1">
        <v>6</v>
      </c>
      <c r="E29">
        <f t="shared" ref="E29:E37" si="7">E28+C29</f>
        <v>44.5</v>
      </c>
      <c r="F29">
        <f t="shared" ref="F29:F37" si="8">F28+D29</f>
        <v>16.8</v>
      </c>
      <c r="H29" s="1">
        <v>15.3</v>
      </c>
      <c r="I29" s="1">
        <v>6</v>
      </c>
      <c r="J29" s="7" t="str">
        <f t="shared" si="6"/>
        <v>15.3,6</v>
      </c>
    </row>
    <row r="30" spans="1:19" x14ac:dyDescent="0.2">
      <c r="A30" s="1">
        <v>9</v>
      </c>
      <c r="B30" s="7">
        <v>2.1746031746031744</v>
      </c>
      <c r="C30" s="1">
        <v>27.4</v>
      </c>
      <c r="D30" s="1">
        <v>12.6</v>
      </c>
      <c r="E30">
        <f t="shared" si="7"/>
        <v>71.900000000000006</v>
      </c>
      <c r="F30">
        <f t="shared" si="8"/>
        <v>29.4</v>
      </c>
      <c r="H30" s="1">
        <v>0.5</v>
      </c>
      <c r="I30" s="1">
        <v>2.6</v>
      </c>
      <c r="J30" s="7" t="str">
        <f t="shared" si="6"/>
        <v>0.5,2.6</v>
      </c>
    </row>
    <row r="31" spans="1:19" x14ac:dyDescent="0.2">
      <c r="A31" s="1">
        <v>10</v>
      </c>
      <c r="B31" s="7">
        <v>1.3333333333333333</v>
      </c>
      <c r="C31" s="1">
        <v>12</v>
      </c>
      <c r="D31" s="1">
        <v>9</v>
      </c>
      <c r="E31">
        <f t="shared" si="7"/>
        <v>83.9</v>
      </c>
      <c r="F31">
        <f t="shared" si="8"/>
        <v>38.4</v>
      </c>
      <c r="H31" s="1">
        <v>4.2</v>
      </c>
      <c r="I31" s="1">
        <v>33.700000000000003</v>
      </c>
      <c r="J31" s="7" t="str">
        <f t="shared" si="6"/>
        <v>4.2,33.7</v>
      </c>
    </row>
    <row r="32" spans="1:19" x14ac:dyDescent="0.2">
      <c r="A32" s="1">
        <v>7</v>
      </c>
      <c r="B32" s="7">
        <v>0.52380952380952384</v>
      </c>
      <c r="C32" s="1">
        <v>2.2000000000000002</v>
      </c>
      <c r="D32" s="1">
        <v>4.2</v>
      </c>
      <c r="E32">
        <f t="shared" si="7"/>
        <v>86.100000000000009</v>
      </c>
      <c r="F32">
        <f t="shared" si="8"/>
        <v>42.6</v>
      </c>
      <c r="H32" s="1">
        <v>2</v>
      </c>
      <c r="I32" s="1">
        <v>5.6</v>
      </c>
      <c r="J32" s="7" t="str">
        <f t="shared" si="6"/>
        <v>2,5.6</v>
      </c>
    </row>
    <row r="33" spans="1:19" x14ac:dyDescent="0.2">
      <c r="A33" s="1">
        <v>1</v>
      </c>
      <c r="B33" s="7">
        <v>0.47272727272727272</v>
      </c>
      <c r="C33" s="1">
        <v>2.6</v>
      </c>
      <c r="D33" s="1">
        <v>5.5</v>
      </c>
      <c r="E33">
        <f t="shared" si="7"/>
        <v>88.7</v>
      </c>
      <c r="F33">
        <f t="shared" si="8"/>
        <v>48.1</v>
      </c>
      <c r="H33" s="1">
        <v>2.2000000000000002</v>
      </c>
      <c r="I33" s="1">
        <v>4.2</v>
      </c>
      <c r="J33" s="7" t="str">
        <f t="shared" si="6"/>
        <v>2.2,4.2</v>
      </c>
    </row>
    <row r="34" spans="1:19" x14ac:dyDescent="0.2">
      <c r="A34" s="1">
        <v>8</v>
      </c>
      <c r="B34" s="7">
        <v>0.45999999999999996</v>
      </c>
      <c r="C34" s="1">
        <v>4.5999999999999996</v>
      </c>
      <c r="D34" s="1">
        <v>10</v>
      </c>
      <c r="E34">
        <f t="shared" si="7"/>
        <v>93.3</v>
      </c>
      <c r="F34">
        <f t="shared" si="8"/>
        <v>58.1</v>
      </c>
      <c r="H34" s="1">
        <v>4.5999999999999996</v>
      </c>
      <c r="I34" s="1">
        <v>10</v>
      </c>
      <c r="J34" s="7" t="str">
        <f t="shared" si="6"/>
        <v>4.6,10</v>
      </c>
    </row>
    <row r="35" spans="1:19" x14ac:dyDescent="0.2">
      <c r="A35" s="1">
        <v>6</v>
      </c>
      <c r="B35" s="7">
        <v>0.35714285714285715</v>
      </c>
      <c r="C35" s="1">
        <v>2</v>
      </c>
      <c r="D35" s="1">
        <v>5.6</v>
      </c>
      <c r="E35">
        <f t="shared" si="7"/>
        <v>95.3</v>
      </c>
      <c r="F35">
        <f t="shared" si="8"/>
        <v>63.7</v>
      </c>
      <c r="H35" s="1">
        <v>27.4</v>
      </c>
      <c r="I35" s="1">
        <v>12.6</v>
      </c>
      <c r="J35" s="7" t="str">
        <f t="shared" si="6"/>
        <v>27.4,12.6</v>
      </c>
    </row>
    <row r="36" spans="1:19" x14ac:dyDescent="0.2">
      <c r="A36" s="1">
        <v>4</v>
      </c>
      <c r="B36" s="7">
        <v>0.19230769230769229</v>
      </c>
      <c r="C36" s="1">
        <v>0.5</v>
      </c>
      <c r="D36" s="1">
        <v>2.6</v>
      </c>
      <c r="E36">
        <f t="shared" si="7"/>
        <v>95.8</v>
      </c>
      <c r="F36">
        <f t="shared" si="8"/>
        <v>66.3</v>
      </c>
      <c r="H36" s="1">
        <v>12</v>
      </c>
      <c r="I36" s="1">
        <v>9</v>
      </c>
      <c r="J36" s="7" t="str">
        <f t="shared" si="6"/>
        <v>12,9</v>
      </c>
    </row>
    <row r="37" spans="1:19" x14ac:dyDescent="0.2">
      <c r="A37" s="1">
        <v>5</v>
      </c>
      <c r="B37" s="7">
        <v>0.12462908011869436</v>
      </c>
      <c r="C37" s="1">
        <v>4.2</v>
      </c>
      <c r="D37" s="1">
        <v>33.700000000000003</v>
      </c>
      <c r="E37">
        <f t="shared" si="7"/>
        <v>100</v>
      </c>
      <c r="F37">
        <f t="shared" si="8"/>
        <v>100</v>
      </c>
      <c r="H37" s="1">
        <v>6.5</v>
      </c>
      <c r="I37" s="1">
        <v>2</v>
      </c>
      <c r="J37" s="7" t="str">
        <f t="shared" si="6"/>
        <v>6.5,2</v>
      </c>
    </row>
    <row r="39" spans="1:19" x14ac:dyDescent="0.2">
      <c r="A39" s="1" t="s">
        <v>71</v>
      </c>
      <c r="B39" s="7" t="s">
        <v>80</v>
      </c>
      <c r="C39" s="1" t="s">
        <v>75</v>
      </c>
      <c r="D39" s="1" t="s">
        <v>76</v>
      </c>
      <c r="E39" t="s">
        <v>85</v>
      </c>
      <c r="F39" t="s">
        <v>83</v>
      </c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</row>
    <row r="40" spans="1:19" x14ac:dyDescent="0.2">
      <c r="A40" s="1">
        <v>6</v>
      </c>
      <c r="B40" s="7">
        <v>1.1785714285714286</v>
      </c>
      <c r="C40" s="1">
        <v>6.6</v>
      </c>
      <c r="D40" s="1">
        <v>5.6</v>
      </c>
      <c r="E40">
        <f>C40</f>
        <v>6.6</v>
      </c>
      <c r="F40">
        <f>D40</f>
        <v>5.6</v>
      </c>
      <c r="H40" s="1">
        <v>5.2</v>
      </c>
      <c r="I40" s="1">
        <v>5.5</v>
      </c>
      <c r="J40" s="7" t="str">
        <f>H40&amp;","&amp;I40</f>
        <v>5.2,5.5</v>
      </c>
    </row>
    <row r="41" spans="1:19" x14ac:dyDescent="0.2">
      <c r="A41" s="1">
        <v>10</v>
      </c>
      <c r="B41" s="7">
        <v>1.1111111111111112</v>
      </c>
      <c r="C41" s="1">
        <v>10</v>
      </c>
      <c r="D41" s="1">
        <v>9</v>
      </c>
      <c r="E41">
        <f>E40+C41</f>
        <v>16.600000000000001</v>
      </c>
      <c r="F41">
        <f>F40+D41</f>
        <v>14.6</v>
      </c>
      <c r="H41" s="1">
        <v>7.9</v>
      </c>
      <c r="I41" s="1">
        <v>8.8000000000000007</v>
      </c>
      <c r="J41" s="7" t="str">
        <f t="shared" ref="J41:J50" si="9">H41&amp;","&amp;I41</f>
        <v>7.9,8.8</v>
      </c>
    </row>
    <row r="42" spans="1:19" x14ac:dyDescent="0.2">
      <c r="A42" s="1">
        <v>11</v>
      </c>
      <c r="B42" s="7">
        <v>1.1000000000000001</v>
      </c>
      <c r="C42" s="1">
        <v>2.2000000000000002</v>
      </c>
      <c r="D42" s="1">
        <v>2</v>
      </c>
      <c r="E42">
        <f t="shared" ref="E42:E50" si="10">E41+C42</f>
        <v>18.8</v>
      </c>
      <c r="F42">
        <f t="shared" ref="F42:F50" si="11">F41+D42</f>
        <v>16.600000000000001</v>
      </c>
      <c r="H42" s="1">
        <v>4.9000000000000004</v>
      </c>
      <c r="I42" s="1">
        <v>6</v>
      </c>
      <c r="J42" s="7" t="str">
        <f t="shared" si="9"/>
        <v>4.9,6</v>
      </c>
    </row>
    <row r="43" spans="1:19" x14ac:dyDescent="0.2">
      <c r="A43" s="1">
        <v>7</v>
      </c>
      <c r="B43" s="7">
        <v>1.0952380952380951</v>
      </c>
      <c r="C43" s="1">
        <v>4.5999999999999996</v>
      </c>
      <c r="D43" s="1">
        <v>4.2</v>
      </c>
      <c r="E43">
        <f t="shared" si="10"/>
        <v>23.4</v>
      </c>
      <c r="F43">
        <f t="shared" si="11"/>
        <v>20.8</v>
      </c>
      <c r="H43" s="1">
        <v>2.7</v>
      </c>
      <c r="I43" s="1">
        <v>2.6</v>
      </c>
      <c r="J43" s="7" t="str">
        <f t="shared" si="9"/>
        <v>2.7,2.6</v>
      </c>
    </row>
    <row r="44" spans="1:19" x14ac:dyDescent="0.2">
      <c r="A44" s="1">
        <v>5</v>
      </c>
      <c r="B44" s="7">
        <v>1.0682492581602372</v>
      </c>
      <c r="C44" s="1">
        <v>36</v>
      </c>
      <c r="D44" s="1">
        <v>33.700000000000003</v>
      </c>
      <c r="E44">
        <f t="shared" si="10"/>
        <v>59.4</v>
      </c>
      <c r="F44">
        <f t="shared" si="11"/>
        <v>54.5</v>
      </c>
      <c r="H44" s="1">
        <v>36</v>
      </c>
      <c r="I44" s="1">
        <v>33.700000000000003</v>
      </c>
      <c r="J44" s="7" t="str">
        <f t="shared" si="9"/>
        <v>36,33.7</v>
      </c>
    </row>
    <row r="45" spans="1:19" x14ac:dyDescent="0.2">
      <c r="A45" s="1">
        <v>4</v>
      </c>
      <c r="B45" s="7">
        <v>1.0384615384615385</v>
      </c>
      <c r="C45" s="1">
        <v>2.7</v>
      </c>
      <c r="D45" s="1">
        <v>2.6</v>
      </c>
      <c r="E45">
        <f t="shared" si="10"/>
        <v>62.1</v>
      </c>
      <c r="F45">
        <f t="shared" si="11"/>
        <v>57.1</v>
      </c>
      <c r="H45" s="1">
        <v>6.6</v>
      </c>
      <c r="I45" s="1">
        <v>5.6</v>
      </c>
      <c r="J45" s="7" t="str">
        <f t="shared" si="9"/>
        <v>6.6,5.6</v>
      </c>
    </row>
    <row r="46" spans="1:19" x14ac:dyDescent="0.2">
      <c r="A46" s="1">
        <v>1</v>
      </c>
      <c r="B46" s="7">
        <v>0.94545454545454544</v>
      </c>
      <c r="C46" s="1">
        <v>5.2</v>
      </c>
      <c r="D46" s="1">
        <v>5.5</v>
      </c>
      <c r="E46">
        <f t="shared" si="10"/>
        <v>67.3</v>
      </c>
      <c r="F46">
        <f t="shared" si="11"/>
        <v>62.6</v>
      </c>
      <c r="H46" s="1">
        <v>4.5999999999999996</v>
      </c>
      <c r="I46" s="1">
        <v>4.2</v>
      </c>
      <c r="J46" s="7" t="str">
        <f t="shared" si="9"/>
        <v>4.6,4.2</v>
      </c>
    </row>
    <row r="47" spans="1:19" x14ac:dyDescent="0.2">
      <c r="A47" s="1">
        <v>9</v>
      </c>
      <c r="B47" s="7">
        <v>0.92063492063492058</v>
      </c>
      <c r="C47" s="1">
        <v>11.6</v>
      </c>
      <c r="D47" s="1">
        <v>12.6</v>
      </c>
      <c r="E47">
        <f t="shared" si="10"/>
        <v>78.899999999999991</v>
      </c>
      <c r="F47">
        <f t="shared" si="11"/>
        <v>75.2</v>
      </c>
      <c r="H47" s="1">
        <v>8.3000000000000007</v>
      </c>
      <c r="I47" s="1">
        <v>10</v>
      </c>
      <c r="J47" s="7" t="str">
        <f t="shared" si="9"/>
        <v>8.3,10</v>
      </c>
    </row>
    <row r="48" spans="1:19" x14ac:dyDescent="0.2">
      <c r="A48" s="1">
        <v>2</v>
      </c>
      <c r="B48" s="7">
        <v>0.89772727272727271</v>
      </c>
      <c r="C48" s="1">
        <v>7.9</v>
      </c>
      <c r="D48" s="1">
        <v>8.8000000000000007</v>
      </c>
      <c r="E48">
        <f t="shared" si="10"/>
        <v>86.8</v>
      </c>
      <c r="F48">
        <f t="shared" si="11"/>
        <v>84</v>
      </c>
      <c r="H48" s="1">
        <v>11.6</v>
      </c>
      <c r="I48" s="1">
        <v>12.6</v>
      </c>
      <c r="J48" s="7" t="str">
        <f t="shared" si="9"/>
        <v>11.6,12.6</v>
      </c>
    </row>
    <row r="49" spans="1:10" x14ac:dyDescent="0.2">
      <c r="A49" s="1">
        <v>8</v>
      </c>
      <c r="B49" s="7">
        <v>0.83000000000000007</v>
      </c>
      <c r="C49" s="1">
        <v>8.3000000000000007</v>
      </c>
      <c r="D49" s="1">
        <v>10</v>
      </c>
      <c r="E49">
        <f t="shared" si="10"/>
        <v>95.1</v>
      </c>
      <c r="F49">
        <f t="shared" si="11"/>
        <v>94</v>
      </c>
      <c r="H49" s="1">
        <v>10</v>
      </c>
      <c r="I49" s="1">
        <v>9</v>
      </c>
      <c r="J49" s="7" t="str">
        <f t="shared" si="9"/>
        <v>10,9</v>
      </c>
    </row>
    <row r="50" spans="1:10" x14ac:dyDescent="0.2">
      <c r="A50" s="1">
        <v>3</v>
      </c>
      <c r="B50" s="7">
        <v>0.81666666666666676</v>
      </c>
      <c r="C50" s="1">
        <v>4.9000000000000004</v>
      </c>
      <c r="D50" s="1">
        <v>6</v>
      </c>
      <c r="E50">
        <f t="shared" si="10"/>
        <v>100</v>
      </c>
      <c r="F50">
        <f t="shared" si="11"/>
        <v>100</v>
      </c>
      <c r="H50" s="1">
        <v>2.2000000000000002</v>
      </c>
      <c r="I50" s="1">
        <v>2</v>
      </c>
      <c r="J50" s="7" t="str">
        <f t="shared" si="9"/>
        <v>2.2,2</v>
      </c>
    </row>
  </sheetData>
  <sortState ref="A40:F50">
    <sortCondition descending="1" ref="B40"/>
  </sortState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622C1-7603-4892-9004-F25E8E76943F}">
  <dimension ref="A1:K176"/>
  <sheetViews>
    <sheetView topLeftCell="A73" zoomScaleNormal="100" workbookViewId="0">
      <selection activeCell="G112" sqref="G112"/>
    </sheetView>
  </sheetViews>
  <sheetFormatPr defaultRowHeight="14.25" x14ac:dyDescent="0.2"/>
  <cols>
    <col min="4" max="4" width="13" bestFit="1" customWidth="1"/>
    <col min="6" max="6" width="12.125" customWidth="1"/>
    <col min="8" max="8" width="13.75" customWidth="1"/>
  </cols>
  <sheetData>
    <row r="1" spans="1:8" x14ac:dyDescent="0.2">
      <c r="A1" s="1" t="s">
        <v>91</v>
      </c>
      <c r="B1" s="1" t="s">
        <v>92</v>
      </c>
      <c r="C1" s="1" t="s">
        <v>93</v>
      </c>
      <c r="E1" s="3" t="s">
        <v>95</v>
      </c>
    </row>
    <row r="2" spans="1:8" x14ac:dyDescent="0.2">
      <c r="A2" s="1">
        <v>1995</v>
      </c>
      <c r="B2" s="1">
        <v>2462.5700000000002</v>
      </c>
      <c r="C2" s="1">
        <v>1301.3699999999999</v>
      </c>
      <c r="F2" t="s">
        <v>94</v>
      </c>
      <c r="G2" t="s">
        <v>91</v>
      </c>
    </row>
    <row r="3" spans="1:8" x14ac:dyDescent="0.2">
      <c r="A3" s="1">
        <v>1996</v>
      </c>
      <c r="B3" s="1">
        <v>2902.2</v>
      </c>
      <c r="C3" s="1">
        <v>1304.43</v>
      </c>
      <c r="E3" t="s">
        <v>4</v>
      </c>
      <c r="F3">
        <f>COUNT(A2:A7)</f>
        <v>6</v>
      </c>
      <c r="G3">
        <f>COUNT(A10:A15)</f>
        <v>6</v>
      </c>
    </row>
    <row r="4" spans="1:8" x14ac:dyDescent="0.2">
      <c r="A4" s="1">
        <v>1997</v>
      </c>
      <c r="B4" s="1">
        <v>3360.21</v>
      </c>
      <c r="C4" s="1">
        <v>1305.46</v>
      </c>
      <c r="E4" s="2" t="s">
        <v>96</v>
      </c>
    </row>
    <row r="5" spans="1:8" x14ac:dyDescent="0.2">
      <c r="A5" s="1">
        <v>1998</v>
      </c>
      <c r="B5" s="1">
        <v>3688.2</v>
      </c>
      <c r="C5" s="1">
        <v>1306.58</v>
      </c>
      <c r="E5" t="s">
        <v>97</v>
      </c>
    </row>
    <row r="6" spans="1:8" x14ac:dyDescent="0.2">
      <c r="A6" s="1">
        <v>1999</v>
      </c>
      <c r="B6" s="1">
        <v>4034.96</v>
      </c>
      <c r="C6" s="1">
        <v>1313.12</v>
      </c>
      <c r="E6" s="2" t="s">
        <v>100</v>
      </c>
    </row>
    <row r="7" spans="1:8" x14ac:dyDescent="0.2">
      <c r="A7" s="1">
        <v>2000</v>
      </c>
      <c r="B7" s="1">
        <v>4551.1499999999996</v>
      </c>
      <c r="C7" s="1">
        <v>1321.63</v>
      </c>
      <c r="F7" t="s">
        <v>98</v>
      </c>
      <c r="G7" t="s">
        <v>99</v>
      </c>
    </row>
    <row r="8" spans="1:8" x14ac:dyDescent="0.2">
      <c r="A8" s="1"/>
      <c r="B8" s="1"/>
      <c r="C8" s="1"/>
      <c r="E8" t="s">
        <v>91</v>
      </c>
      <c r="F8">
        <f>_xlfn.VAR.S(B2:B7)</f>
        <v>575936.9538166672</v>
      </c>
      <c r="G8">
        <f>_xlfn.VAR.S(C2:C7)</f>
        <v>54.729950000000599</v>
      </c>
    </row>
    <row r="9" spans="1:8" x14ac:dyDescent="0.2">
      <c r="A9" s="1" t="s">
        <v>94</v>
      </c>
      <c r="B9" s="1" t="s">
        <v>92</v>
      </c>
      <c r="C9" s="1" t="s">
        <v>93</v>
      </c>
      <c r="E9" t="s">
        <v>94</v>
      </c>
      <c r="F9">
        <f>_xlfn.VAR.S(B10:B15)</f>
        <v>202522.50176000223</v>
      </c>
      <c r="G9">
        <f>_xlfn.VAR.S(C10:C15)</f>
        <v>4085.4496666666701</v>
      </c>
    </row>
    <row r="10" spans="1:8" x14ac:dyDescent="0.2">
      <c r="A10" s="1">
        <v>1996</v>
      </c>
      <c r="B10" s="1">
        <v>1615.73</v>
      </c>
      <c r="C10" s="1">
        <v>1184</v>
      </c>
      <c r="E10" t="s">
        <v>101</v>
      </c>
      <c r="F10" s="17">
        <f>F8/F9</f>
        <v>2.8438171008729536</v>
      </c>
      <c r="G10">
        <f>G8/G9</f>
        <v>1.3396309945155907E-2</v>
      </c>
    </row>
    <row r="11" spans="1:8" x14ac:dyDescent="0.2">
      <c r="A11" s="1">
        <v>1997</v>
      </c>
      <c r="B11" s="1">
        <v>1810.09</v>
      </c>
      <c r="C11" s="1">
        <v>1217</v>
      </c>
      <c r="F11">
        <f>F9/F8</f>
        <v>0.35164005438079493</v>
      </c>
      <c r="G11" s="17">
        <f>G9/G8</f>
        <v>74.647421871692288</v>
      </c>
    </row>
    <row r="12" spans="1:8" x14ac:dyDescent="0.2">
      <c r="A12" s="1">
        <v>1998</v>
      </c>
      <c r="B12" s="1">
        <v>2011.31</v>
      </c>
      <c r="C12" s="1">
        <v>1223.4000000000001</v>
      </c>
      <c r="E12" s="2" t="s">
        <v>102</v>
      </c>
    </row>
    <row r="13" spans="1:8" x14ac:dyDescent="0.2">
      <c r="A13" s="1">
        <v>1999</v>
      </c>
      <c r="B13" s="1">
        <v>2174.46</v>
      </c>
      <c r="C13" s="1">
        <v>1249.9000000000001</v>
      </c>
      <c r="F13" t="s">
        <v>98</v>
      </c>
      <c r="G13" t="s">
        <v>99</v>
      </c>
    </row>
    <row r="14" spans="1:8" x14ac:dyDescent="0.2">
      <c r="A14" s="1">
        <v>2000</v>
      </c>
      <c r="B14" s="1">
        <v>2478.7600000000002</v>
      </c>
      <c r="C14" s="1">
        <v>1278</v>
      </c>
      <c r="E14" t="s">
        <v>106</v>
      </c>
      <c r="F14">
        <f>F3-1</f>
        <v>5</v>
      </c>
      <c r="G14">
        <f>G3-1</f>
        <v>5</v>
      </c>
      <c r="H14" t="s">
        <v>108</v>
      </c>
    </row>
    <row r="15" spans="1:8" x14ac:dyDescent="0.2">
      <c r="A15" s="1">
        <v>2001</v>
      </c>
      <c r="B15" s="1">
        <v>2845.65</v>
      </c>
      <c r="C15" s="1">
        <v>1366.4</v>
      </c>
      <c r="E15" t="s">
        <v>107</v>
      </c>
      <c r="F15">
        <f>G3-1</f>
        <v>5</v>
      </c>
      <c r="G15">
        <f>G3-1</f>
        <v>5</v>
      </c>
    </row>
    <row r="16" spans="1:8" x14ac:dyDescent="0.2">
      <c r="E16" t="s">
        <v>104</v>
      </c>
      <c r="F16">
        <v>0.1</v>
      </c>
      <c r="G16">
        <v>0.1</v>
      </c>
    </row>
    <row r="17" spans="1:9" x14ac:dyDescent="0.2">
      <c r="E17" t="s">
        <v>105</v>
      </c>
      <c r="F17">
        <f>FINV(F16/2,F14,F15)</f>
        <v>5.0503290576326485</v>
      </c>
      <c r="G17">
        <f>FINV(G16/2,G14,G15)</f>
        <v>5.0503290576326485</v>
      </c>
      <c r="H17" t="s">
        <v>109</v>
      </c>
    </row>
    <row r="18" spans="1:9" x14ac:dyDescent="0.2">
      <c r="E18" t="s">
        <v>110</v>
      </c>
    </row>
    <row r="19" spans="1:9" x14ac:dyDescent="0.2">
      <c r="E19" t="s">
        <v>111</v>
      </c>
    </row>
    <row r="20" spans="1:9" x14ac:dyDescent="0.2">
      <c r="A20" s="3" t="s">
        <v>125</v>
      </c>
    </row>
    <row r="21" spans="1:9" x14ac:dyDescent="0.2">
      <c r="A21" s="24" t="s">
        <v>112</v>
      </c>
      <c r="B21" s="24"/>
      <c r="C21" s="24"/>
      <c r="D21" s="24"/>
      <c r="E21" s="24"/>
      <c r="F21" s="24"/>
      <c r="G21" s="24"/>
      <c r="H21" s="24"/>
      <c r="I21" s="24"/>
    </row>
    <row r="22" spans="1:9" x14ac:dyDescent="0.2">
      <c r="A22" s="1" t="s">
        <v>113</v>
      </c>
      <c r="B22" s="1" t="s">
        <v>114</v>
      </c>
      <c r="C22" s="1"/>
      <c r="D22" s="1"/>
      <c r="E22" s="1"/>
      <c r="F22" s="20" t="s">
        <v>115</v>
      </c>
      <c r="G22" s="1"/>
      <c r="H22" s="1"/>
      <c r="I22" s="1"/>
    </row>
    <row r="23" spans="1:9" x14ac:dyDescent="0.2">
      <c r="A23" s="1" t="s">
        <v>116</v>
      </c>
      <c r="B23" s="1" t="s">
        <v>117</v>
      </c>
      <c r="C23" s="1" t="s">
        <v>118</v>
      </c>
      <c r="D23" s="1" t="s">
        <v>119</v>
      </c>
      <c r="E23" s="1" t="s">
        <v>120</v>
      </c>
      <c r="F23" s="21" t="s">
        <v>121</v>
      </c>
      <c r="G23" s="1" t="s">
        <v>121</v>
      </c>
      <c r="H23" s="1" t="s">
        <v>122</v>
      </c>
      <c r="I23" s="1" t="s">
        <v>123</v>
      </c>
    </row>
    <row r="24" spans="1:9" x14ac:dyDescent="0.2">
      <c r="A24" s="1" t="s">
        <v>124</v>
      </c>
      <c r="B24" s="1">
        <v>4.1000000000000003E-3</v>
      </c>
      <c r="C24" s="1">
        <v>6.1999999999999998E-3</v>
      </c>
      <c r="D24" s="1">
        <v>5.4000000000000003E-3</v>
      </c>
      <c r="E24" s="1">
        <v>7.0000000000000001E-3</v>
      </c>
      <c r="F24" s="21">
        <v>6.0000000000000001E-3</v>
      </c>
      <c r="G24" s="1">
        <v>8.0000000000000002E-3</v>
      </c>
      <c r="H24" s="1">
        <v>1.03E-2</v>
      </c>
      <c r="I24" s="1">
        <v>0.01</v>
      </c>
    </row>
    <row r="25" spans="1:9" x14ac:dyDescent="0.2">
      <c r="A25" s="2" t="s">
        <v>96</v>
      </c>
    </row>
    <row r="26" spans="1:9" x14ac:dyDescent="0.2">
      <c r="A26" t="s">
        <v>126</v>
      </c>
    </row>
    <row r="27" spans="1:9" x14ac:dyDescent="0.2">
      <c r="A27" s="2" t="s">
        <v>127</v>
      </c>
    </row>
    <row r="28" spans="1:9" x14ac:dyDescent="0.2">
      <c r="B28" t="s">
        <v>4</v>
      </c>
      <c r="C28" t="s">
        <v>26</v>
      </c>
      <c r="D28" t="s">
        <v>33</v>
      </c>
      <c r="H28" s="1"/>
      <c r="I28" s="21"/>
    </row>
    <row r="29" spans="1:9" x14ac:dyDescent="0.2">
      <c r="A29" t="s">
        <v>128</v>
      </c>
      <c r="B29">
        <f>COUNT(B24:E24)</f>
        <v>4</v>
      </c>
      <c r="C29">
        <f>AVERAGE(B24:E24)</f>
        <v>5.6749999999999995E-3</v>
      </c>
      <c r="D29">
        <f>_xlfn.VAR.S(B24:E24)</f>
        <v>1.5291666666666663E-6</v>
      </c>
      <c r="H29" s="1"/>
      <c r="I29" s="1"/>
    </row>
    <row r="30" spans="1:9" x14ac:dyDescent="0.2">
      <c r="A30" t="s">
        <v>115</v>
      </c>
      <c r="B30">
        <f>COUNT(F24:I24)</f>
        <v>4</v>
      </c>
      <c r="C30">
        <f>AVERAGE(F24:I24)</f>
        <v>8.575000000000001E-3</v>
      </c>
      <c r="D30">
        <f>_xlfn.VAR.S(F24:I24)</f>
        <v>3.9891666666666664E-6</v>
      </c>
      <c r="H30" s="1"/>
      <c r="I30" s="1"/>
    </row>
    <row r="31" spans="1:9" x14ac:dyDescent="0.2">
      <c r="A31" t="s">
        <v>129</v>
      </c>
      <c r="B31">
        <f>(C29-C30)/(SQRT((B29*D29+B30*D30)/(B29+B30-2))*SQRT(1/B29+1/B30))</f>
        <v>-2.1382311892179131</v>
      </c>
      <c r="H31" s="1"/>
      <c r="I31" s="1"/>
    </row>
    <row r="32" spans="1:9" x14ac:dyDescent="0.2">
      <c r="A32" s="2" t="s">
        <v>130</v>
      </c>
    </row>
    <row r="33" spans="1:11" x14ac:dyDescent="0.2">
      <c r="A33" t="s">
        <v>103</v>
      </c>
      <c r="B33">
        <f>B29-1+B30-1</f>
        <v>6</v>
      </c>
    </row>
    <row r="34" spans="1:11" x14ac:dyDescent="0.2">
      <c r="A34" t="s">
        <v>104</v>
      </c>
      <c r="B34">
        <v>0.1</v>
      </c>
    </row>
    <row r="35" spans="1:11" x14ac:dyDescent="0.2">
      <c r="A35" t="s">
        <v>131</v>
      </c>
      <c r="B35">
        <f>TINV(B34,B33)</f>
        <v>1.9431802805153031</v>
      </c>
    </row>
    <row r="36" spans="1:11" x14ac:dyDescent="0.2">
      <c r="A36" t="s">
        <v>132</v>
      </c>
      <c r="B36">
        <f>ABS(B31)</f>
        <v>2.1382311892179131</v>
      </c>
    </row>
    <row r="37" spans="1:11" x14ac:dyDescent="0.2">
      <c r="A37" t="s">
        <v>133</v>
      </c>
    </row>
    <row r="39" spans="1:11" x14ac:dyDescent="0.2">
      <c r="A39" s="25" t="s">
        <v>134</v>
      </c>
      <c r="B39" s="25"/>
      <c r="C39" s="25"/>
      <c r="D39" s="25"/>
      <c r="E39" s="25"/>
      <c r="F39" s="25"/>
      <c r="G39" s="25"/>
      <c r="H39" s="25"/>
      <c r="I39" s="13"/>
      <c r="J39" s="13"/>
      <c r="K39" s="13"/>
    </row>
    <row r="40" spans="1:11" x14ac:dyDescent="0.2">
      <c r="A40" s="22" t="s">
        <v>135</v>
      </c>
      <c r="B40" s="23">
        <v>1</v>
      </c>
      <c r="C40" s="23">
        <v>2</v>
      </c>
      <c r="D40" s="23">
        <v>3</v>
      </c>
      <c r="E40" s="23">
        <v>4</v>
      </c>
      <c r="F40" s="23">
        <v>5</v>
      </c>
      <c r="G40" s="23">
        <v>6</v>
      </c>
      <c r="H40" s="23">
        <v>7</v>
      </c>
      <c r="I40" s="23">
        <v>8</v>
      </c>
      <c r="J40" s="23">
        <v>9</v>
      </c>
      <c r="K40" s="23">
        <v>10</v>
      </c>
    </row>
    <row r="41" spans="1:11" x14ac:dyDescent="0.2">
      <c r="A41" s="22" t="s">
        <v>136</v>
      </c>
      <c r="B41" s="23">
        <v>7</v>
      </c>
      <c r="C41" s="23">
        <v>3</v>
      </c>
      <c r="D41" s="23">
        <v>2</v>
      </c>
      <c r="E41" s="23">
        <v>4</v>
      </c>
      <c r="F41" s="23">
        <v>5</v>
      </c>
      <c r="G41" s="23">
        <v>6</v>
      </c>
      <c r="H41" s="23">
        <v>7</v>
      </c>
      <c r="I41" s="23">
        <v>5</v>
      </c>
      <c r="J41" s="23">
        <v>6</v>
      </c>
      <c r="K41" s="23">
        <v>4</v>
      </c>
    </row>
    <row r="42" spans="1:11" x14ac:dyDescent="0.2">
      <c r="A42" s="22" t="s">
        <v>137</v>
      </c>
      <c r="B42" s="23">
        <v>3</v>
      </c>
      <c r="C42" s="23">
        <v>6</v>
      </c>
      <c r="D42" s="23">
        <v>2</v>
      </c>
      <c r="E42" s="23">
        <v>2</v>
      </c>
      <c r="F42" s="23">
        <v>1</v>
      </c>
      <c r="G42" s="23">
        <v>4</v>
      </c>
      <c r="H42" s="23">
        <v>2</v>
      </c>
      <c r="I42" s="23">
        <v>6</v>
      </c>
      <c r="J42" s="23">
        <v>3</v>
      </c>
      <c r="K42" s="23">
        <v>1</v>
      </c>
    </row>
    <row r="43" spans="1:11" x14ac:dyDescent="0.2">
      <c r="A43" s="2" t="s">
        <v>96</v>
      </c>
    </row>
    <row r="44" spans="1:11" x14ac:dyDescent="0.2">
      <c r="A44" t="s">
        <v>138</v>
      </c>
    </row>
    <row r="45" spans="1:11" x14ac:dyDescent="0.2">
      <c r="A45" s="14" t="s">
        <v>127</v>
      </c>
      <c r="F45" s="23"/>
      <c r="G45" s="23"/>
    </row>
    <row r="46" spans="1:11" x14ac:dyDescent="0.2">
      <c r="B46" t="s">
        <v>4</v>
      </c>
      <c r="C46" t="s">
        <v>26</v>
      </c>
      <c r="D46" t="s">
        <v>33</v>
      </c>
      <c r="F46" s="23"/>
      <c r="G46" s="23"/>
    </row>
    <row r="47" spans="1:11" x14ac:dyDescent="0.2">
      <c r="A47" t="s">
        <v>139</v>
      </c>
      <c r="B47">
        <f>COUNT(B41:K41)</f>
        <v>10</v>
      </c>
      <c r="C47">
        <f>AVERAGE(B41:K41)</f>
        <v>4.9000000000000004</v>
      </c>
      <c r="D47">
        <f>_xlfn.VAR.S(B41:K41)</f>
        <v>2.7666666666666675</v>
      </c>
      <c r="F47" s="23"/>
      <c r="G47" s="23"/>
    </row>
    <row r="48" spans="1:11" x14ac:dyDescent="0.2">
      <c r="A48" t="s">
        <v>140</v>
      </c>
      <c r="B48">
        <f>COUNT(B42:K42)</f>
        <v>10</v>
      </c>
      <c r="C48">
        <f>AVERAGE(B42:K42)</f>
        <v>3</v>
      </c>
      <c r="D48">
        <f>_xlfn.VAR.S(B42:K42)</f>
        <v>3.3333333333333335</v>
      </c>
      <c r="F48" s="23"/>
      <c r="G48" s="23"/>
    </row>
    <row r="49" spans="1:7" x14ac:dyDescent="0.2">
      <c r="A49" t="s">
        <v>129</v>
      </c>
      <c r="B49">
        <f>(C47-C48)/(SQRT((B47*D47+B48*D48)/(B47+B48-2))*SQRT(1/B47+1/B48))</f>
        <v>2.3078625410099107</v>
      </c>
      <c r="F49" s="23"/>
      <c r="G49" s="23"/>
    </row>
    <row r="50" spans="1:7" x14ac:dyDescent="0.2">
      <c r="A50" s="2" t="s">
        <v>141</v>
      </c>
      <c r="F50" s="23"/>
      <c r="G50" s="23"/>
    </row>
    <row r="51" spans="1:7" x14ac:dyDescent="0.2">
      <c r="A51" t="s">
        <v>103</v>
      </c>
      <c r="B51">
        <f>B47+B48-2</f>
        <v>18</v>
      </c>
      <c r="F51" s="23"/>
      <c r="G51" s="23"/>
    </row>
    <row r="52" spans="1:7" x14ac:dyDescent="0.2">
      <c r="A52" t="s">
        <v>104</v>
      </c>
      <c r="B52">
        <v>0.1</v>
      </c>
      <c r="F52" s="23"/>
      <c r="G52" s="23"/>
    </row>
    <row r="53" spans="1:7" x14ac:dyDescent="0.2">
      <c r="A53" t="s">
        <v>131</v>
      </c>
      <c r="B53">
        <f>TINV(B52,B51)</f>
        <v>1.7340636066175394</v>
      </c>
      <c r="F53" s="23"/>
      <c r="G53" s="23"/>
    </row>
    <row r="54" spans="1:7" x14ac:dyDescent="0.2">
      <c r="A54" t="s">
        <v>132</v>
      </c>
      <c r="B54">
        <f>ABS(B49)</f>
        <v>2.3078625410099107</v>
      </c>
      <c r="F54" s="23"/>
      <c r="G54" s="23"/>
    </row>
    <row r="55" spans="1:7" x14ac:dyDescent="0.2">
      <c r="A55" t="s">
        <v>142</v>
      </c>
    </row>
    <row r="57" spans="1:7" x14ac:dyDescent="0.2">
      <c r="A57" s="25" t="s">
        <v>143</v>
      </c>
      <c r="B57" s="25"/>
      <c r="C57" s="13"/>
      <c r="D57" s="13"/>
      <c r="E57" s="13"/>
      <c r="F57" s="13"/>
      <c r="G57" s="3" t="s">
        <v>156</v>
      </c>
    </row>
    <row r="58" spans="1:7" x14ac:dyDescent="0.2">
      <c r="A58" s="22"/>
      <c r="B58" s="22" t="s">
        <v>144</v>
      </c>
      <c r="C58" s="22" t="s">
        <v>145</v>
      </c>
      <c r="D58" s="22" t="s">
        <v>146</v>
      </c>
      <c r="E58" s="22" t="s">
        <v>147</v>
      </c>
      <c r="F58" s="22" t="s">
        <v>148</v>
      </c>
    </row>
    <row r="59" spans="1:7" x14ac:dyDescent="0.2">
      <c r="A59" s="22" t="s">
        <v>149</v>
      </c>
      <c r="B59" s="22">
        <v>31</v>
      </c>
      <c r="C59" s="22">
        <v>0.2</v>
      </c>
      <c r="D59" s="22">
        <v>16.7</v>
      </c>
      <c r="E59" s="22">
        <v>47.4</v>
      </c>
      <c r="F59" s="22">
        <v>4.7</v>
      </c>
    </row>
    <row r="60" spans="1:7" x14ac:dyDescent="0.2">
      <c r="A60" s="22" t="s">
        <v>150</v>
      </c>
      <c r="B60" s="22">
        <v>26.5</v>
      </c>
      <c r="C60" s="22">
        <v>0.2</v>
      </c>
      <c r="D60" s="22">
        <v>20.2</v>
      </c>
      <c r="E60" s="22">
        <v>52.5</v>
      </c>
      <c r="F60" s="22">
        <v>0.6</v>
      </c>
    </row>
    <row r="61" spans="1:7" x14ac:dyDescent="0.2">
      <c r="A61" s="22" t="s">
        <v>151</v>
      </c>
      <c r="B61" s="22">
        <v>46.3</v>
      </c>
      <c r="C61" s="22">
        <v>0.6</v>
      </c>
      <c r="D61" s="22">
        <v>15.6</v>
      </c>
      <c r="E61" s="22">
        <v>34</v>
      </c>
      <c r="F61" s="22">
        <v>3.5</v>
      </c>
    </row>
    <row r="62" spans="1:7" x14ac:dyDescent="0.2">
      <c r="A62" s="13"/>
      <c r="B62" s="13"/>
      <c r="C62" s="13"/>
      <c r="D62" s="13"/>
      <c r="E62" s="13"/>
      <c r="F62" s="13"/>
    </row>
    <row r="63" spans="1:7" x14ac:dyDescent="0.2">
      <c r="A63" s="26" t="s">
        <v>152</v>
      </c>
      <c r="B63" s="26"/>
      <c r="C63" s="26"/>
      <c r="D63" s="26"/>
      <c r="E63" s="26"/>
      <c r="F63" s="26"/>
    </row>
    <row r="64" spans="1:7" x14ac:dyDescent="0.2">
      <c r="A64" s="2" t="s">
        <v>153</v>
      </c>
    </row>
    <row r="65" spans="1:8" x14ac:dyDescent="0.2">
      <c r="A65" t="s">
        <v>155</v>
      </c>
    </row>
    <row r="66" spans="1:8" x14ac:dyDescent="0.2">
      <c r="A66" t="s">
        <v>154</v>
      </c>
    </row>
    <row r="67" spans="1:8" x14ac:dyDescent="0.2">
      <c r="A67" s="2" t="s">
        <v>127</v>
      </c>
    </row>
    <row r="68" spans="1:8" x14ac:dyDescent="0.2">
      <c r="B68" t="s">
        <v>4</v>
      </c>
      <c r="C68" t="s">
        <v>159</v>
      </c>
      <c r="D68" t="s">
        <v>160</v>
      </c>
      <c r="E68" t="s">
        <v>161</v>
      </c>
      <c r="F68" t="s">
        <v>162</v>
      </c>
      <c r="G68" t="s">
        <v>148</v>
      </c>
      <c r="H68" t="s">
        <v>163</v>
      </c>
    </row>
    <row r="69" spans="1:8" x14ac:dyDescent="0.2">
      <c r="A69" t="s">
        <v>157</v>
      </c>
      <c r="B69">
        <f>COUNT(B60:F60)</f>
        <v>5</v>
      </c>
      <c r="C69">
        <f>(B60-B$59)^2/B$59</f>
        <v>0.65322580645161288</v>
      </c>
      <c r="D69">
        <f t="shared" ref="D69:G69" si="0">(C60-C$59)^2/C$59</f>
        <v>0</v>
      </c>
      <c r="E69">
        <f t="shared" si="0"/>
        <v>0.73353293413173659</v>
      </c>
      <c r="F69">
        <f t="shared" si="0"/>
        <v>0.54873417721519024</v>
      </c>
      <c r="G69">
        <f t="shared" si="0"/>
        <v>3.5765957446808523</v>
      </c>
      <c r="H69">
        <f>SUM(C69:G69)</f>
        <v>5.5120886624793926</v>
      </c>
    </row>
    <row r="70" spans="1:8" x14ac:dyDescent="0.2">
      <c r="A70" t="s">
        <v>158</v>
      </c>
      <c r="B70">
        <f>COUNT(B61:F61)</f>
        <v>5</v>
      </c>
      <c r="C70">
        <f>(B61-B$59)^2/B$59</f>
        <v>7.5512903225806429</v>
      </c>
      <c r="D70">
        <f t="shared" ref="D70:G70" si="1">(C61-C$59)^2/C$59</f>
        <v>0.79999999999999982</v>
      </c>
      <c r="E70">
        <f t="shared" si="1"/>
        <v>7.2455089820359239E-2</v>
      </c>
      <c r="F70">
        <f t="shared" si="1"/>
        <v>3.7881856540084384</v>
      </c>
      <c r="G70">
        <f t="shared" si="1"/>
        <v>0.30638297872340431</v>
      </c>
      <c r="H70">
        <f>SUM(C70:G70)</f>
        <v>12.518314045132843</v>
      </c>
    </row>
    <row r="71" spans="1:8" x14ac:dyDescent="0.2">
      <c r="A71" s="2" t="s">
        <v>141</v>
      </c>
    </row>
    <row r="72" spans="1:8" x14ac:dyDescent="0.2">
      <c r="B72" t="s">
        <v>103</v>
      </c>
      <c r="C72" t="s">
        <v>104</v>
      </c>
      <c r="D72" t="s">
        <v>164</v>
      </c>
      <c r="E72" t="s">
        <v>165</v>
      </c>
    </row>
    <row r="73" spans="1:8" x14ac:dyDescent="0.2">
      <c r="A73" t="s">
        <v>157</v>
      </c>
      <c r="B73">
        <f>B69-1</f>
        <v>4</v>
      </c>
      <c r="C73">
        <v>0.05</v>
      </c>
      <c r="D73">
        <v>9.4879999999999995</v>
      </c>
      <c r="E73" t="s">
        <v>167</v>
      </c>
    </row>
    <row r="74" spans="1:8" x14ac:dyDescent="0.2">
      <c r="A74" t="s">
        <v>158</v>
      </c>
      <c r="B74">
        <f>B70-1</f>
        <v>4</v>
      </c>
      <c r="C74">
        <v>0.05</v>
      </c>
      <c r="D74">
        <v>9.4879999999999995</v>
      </c>
      <c r="E74" t="s">
        <v>166</v>
      </c>
    </row>
    <row r="76" spans="1:8" x14ac:dyDescent="0.2">
      <c r="A76" s="13" t="s">
        <v>168</v>
      </c>
      <c r="C76" s="2" t="s">
        <v>153</v>
      </c>
    </row>
    <row r="77" spans="1:8" x14ac:dyDescent="0.2">
      <c r="A77" s="13">
        <v>1101.9000000000001</v>
      </c>
      <c r="C77" t="s">
        <v>169</v>
      </c>
    </row>
    <row r="78" spans="1:8" x14ac:dyDescent="0.2">
      <c r="A78" s="13">
        <v>947.1</v>
      </c>
      <c r="C78" s="2" t="s">
        <v>175</v>
      </c>
    </row>
    <row r="79" spans="1:8" x14ac:dyDescent="0.2">
      <c r="A79" s="13">
        <v>1008.6</v>
      </c>
      <c r="C79" t="s">
        <v>4</v>
      </c>
      <c r="D79">
        <f>COUNT(A77:A176)</f>
        <v>100</v>
      </c>
    </row>
    <row r="80" spans="1:8" x14ac:dyDescent="0.2">
      <c r="A80" s="13">
        <v>1115.8</v>
      </c>
      <c r="C80" t="s">
        <v>3</v>
      </c>
      <c r="D80">
        <f>MAX(A77:A176)</f>
        <v>1806.3</v>
      </c>
    </row>
    <row r="81" spans="1:11" x14ac:dyDescent="0.2">
      <c r="A81" s="13">
        <v>1015.5</v>
      </c>
      <c r="C81" t="s">
        <v>2</v>
      </c>
      <c r="D81">
        <f>MIN(A77:A176)</f>
        <v>709</v>
      </c>
    </row>
    <row r="82" spans="1:11" x14ac:dyDescent="0.2">
      <c r="A82" s="13">
        <v>1143.8</v>
      </c>
      <c r="C82" t="s">
        <v>170</v>
      </c>
      <c r="D82">
        <f>D80-D81</f>
        <v>1097.3</v>
      </c>
      <c r="F82" t="s">
        <v>176</v>
      </c>
      <c r="G82">
        <f>AVERAGE(A77:A176)</f>
        <v>1140.4879999999994</v>
      </c>
    </row>
    <row r="83" spans="1:11" x14ac:dyDescent="0.2">
      <c r="A83" s="13">
        <v>1140.7</v>
      </c>
      <c r="C83" t="s">
        <v>171</v>
      </c>
      <c r="D83">
        <f>ROUND(1+3.32*LOG10(D79),0)</f>
        <v>8</v>
      </c>
      <c r="F83" t="s">
        <v>36</v>
      </c>
      <c r="G83">
        <f>_xlfn.STDEV.S(A77:A176)</f>
        <v>203.54666567416996</v>
      </c>
    </row>
    <row r="84" spans="1:11" x14ac:dyDescent="0.2">
      <c r="A84" s="13">
        <v>1402.5</v>
      </c>
      <c r="C84" t="s">
        <v>172</v>
      </c>
      <c r="D84">
        <f>D82/D83</f>
        <v>137.16249999999999</v>
      </c>
    </row>
    <row r="85" spans="1:11" x14ac:dyDescent="0.2">
      <c r="A85" s="13">
        <v>1197.0999999999999</v>
      </c>
      <c r="C85" t="s">
        <v>173</v>
      </c>
      <c r="D85">
        <f>D83+1</f>
        <v>9</v>
      </c>
    </row>
    <row r="86" spans="1:11" x14ac:dyDescent="0.2">
      <c r="A86" s="13">
        <v>1107.5</v>
      </c>
      <c r="C86" t="s">
        <v>6</v>
      </c>
      <c r="D86">
        <f>D81-0.5*D84</f>
        <v>640.41875000000005</v>
      </c>
    </row>
    <row r="87" spans="1:11" x14ac:dyDescent="0.2">
      <c r="A87" s="13">
        <v>1340.2</v>
      </c>
    </row>
    <row r="88" spans="1:11" x14ac:dyDescent="0.2">
      <c r="A88" s="13">
        <v>1416</v>
      </c>
      <c r="C88" t="s">
        <v>9</v>
      </c>
      <c r="D88" t="s">
        <v>10</v>
      </c>
      <c r="E88" t="s">
        <v>11</v>
      </c>
      <c r="F88" t="s">
        <v>174</v>
      </c>
      <c r="G88" t="s">
        <v>177</v>
      </c>
      <c r="H88" t="s">
        <v>178</v>
      </c>
      <c r="I88" t="s">
        <v>179</v>
      </c>
      <c r="J88" t="s">
        <v>180</v>
      </c>
      <c r="K88" t="s">
        <v>181</v>
      </c>
    </row>
    <row r="89" spans="1:11" x14ac:dyDescent="0.2">
      <c r="A89" s="13">
        <v>1063.8</v>
      </c>
      <c r="C89">
        <v>1</v>
      </c>
      <c r="D89">
        <f>D86</f>
        <v>640.41875000000005</v>
      </c>
      <c r="E89">
        <f>D89+$D$84</f>
        <v>777.58125000000007</v>
      </c>
      <c r="F89">
        <f>SUMPRODUCT(($A$77:$A$176&gt;=D89)*($A$77:$A$176&lt;E89))</f>
        <v>2</v>
      </c>
      <c r="G89">
        <f>(D89-$G$82)/$G$83</f>
        <v>-2.456779374615214</v>
      </c>
      <c r="H89">
        <f>NORMSDIST(G89)</f>
        <v>7.0094375989241961E-3</v>
      </c>
      <c r="I89">
        <f>H90-H89</f>
        <v>3.0290494272639044E-2</v>
      </c>
      <c r="J89">
        <f>$D$79*I89</f>
        <v>3.0290494272639044</v>
      </c>
      <c r="K89">
        <f>(J89-F89)^2/J89</f>
        <v>0.34959572274418016</v>
      </c>
    </row>
    <row r="90" spans="1:11" x14ac:dyDescent="0.2">
      <c r="A90" s="13">
        <v>1217.5</v>
      </c>
      <c r="C90">
        <v>2</v>
      </c>
      <c r="D90">
        <f>E89</f>
        <v>777.58125000000007</v>
      </c>
      <c r="E90">
        <f t="shared" ref="E90:E98" si="2">D90+$D$84</f>
        <v>914.74375000000009</v>
      </c>
      <c r="F90">
        <f t="shared" ref="F90:F97" si="3">SUMPRODUCT(($A$77:$A$176&gt;=D90)*($A$77:$A$176&lt;E90))</f>
        <v>12</v>
      </c>
      <c r="G90">
        <f t="shared" ref="G90:G97" si="4">(D90-$G$82)/$G$83</f>
        <v>-1.7829167026539612</v>
      </c>
      <c r="H90">
        <f t="shared" ref="H90:H97" si="5">NORMSDIST(G90)</f>
        <v>3.729993187156324E-2</v>
      </c>
      <c r="I90">
        <f t="shared" ref="I90:I97" si="6">H91-H90</f>
        <v>9.6403505192732164E-2</v>
      </c>
      <c r="J90">
        <f t="shared" ref="J90:J97" si="7">$D$79*I90</f>
        <v>9.6403505192732162</v>
      </c>
      <c r="K90">
        <f t="shared" ref="K90:K97" si="8">(J90-F90)^2/J90</f>
        <v>0.57756672444249946</v>
      </c>
    </row>
    <row r="91" spans="1:11" x14ac:dyDescent="0.2">
      <c r="A91" s="13">
        <v>1507.1</v>
      </c>
      <c r="C91">
        <v>3</v>
      </c>
      <c r="D91">
        <f t="shared" ref="D91:D98" si="9">E90</f>
        <v>914.74375000000009</v>
      </c>
      <c r="E91">
        <f t="shared" si="2"/>
        <v>1051.90625</v>
      </c>
      <c r="F91">
        <f t="shared" si="3"/>
        <v>22</v>
      </c>
      <c r="G91">
        <f t="shared" si="4"/>
        <v>-1.1090540306927081</v>
      </c>
      <c r="H91">
        <f t="shared" si="5"/>
        <v>0.13370343706429541</v>
      </c>
      <c r="I91">
        <f t="shared" si="6"/>
        <v>0.19800833011929644</v>
      </c>
      <c r="J91">
        <f t="shared" si="7"/>
        <v>19.800833011929644</v>
      </c>
      <c r="K91">
        <f t="shared" si="8"/>
        <v>0.24424908984913096</v>
      </c>
    </row>
    <row r="92" spans="1:11" x14ac:dyDescent="0.2">
      <c r="A92" s="13">
        <v>1602</v>
      </c>
      <c r="C92">
        <v>4</v>
      </c>
      <c r="D92">
        <f t="shared" si="9"/>
        <v>1051.90625</v>
      </c>
      <c r="E92">
        <f t="shared" si="2"/>
        <v>1189.0687499999999</v>
      </c>
      <c r="F92">
        <f t="shared" si="3"/>
        <v>25</v>
      </c>
      <c r="G92">
        <f t="shared" si="4"/>
        <v>-0.4351913587314557</v>
      </c>
      <c r="H92">
        <f t="shared" si="5"/>
        <v>0.33171176718359185</v>
      </c>
      <c r="I92">
        <f t="shared" si="6"/>
        <v>0.26260800147241892</v>
      </c>
      <c r="J92">
        <f t="shared" si="7"/>
        <v>26.260800147241891</v>
      </c>
      <c r="K92">
        <f t="shared" si="8"/>
        <v>6.0531933618638359E-2</v>
      </c>
    </row>
    <row r="93" spans="1:11" x14ac:dyDescent="0.2">
      <c r="A93" s="13">
        <v>1659.3</v>
      </c>
      <c r="C93">
        <v>5</v>
      </c>
      <c r="D93">
        <f t="shared" si="9"/>
        <v>1189.0687499999999</v>
      </c>
      <c r="E93">
        <f t="shared" si="2"/>
        <v>1326.2312499999998</v>
      </c>
      <c r="F93">
        <f t="shared" si="3"/>
        <v>24</v>
      </c>
      <c r="G93">
        <f t="shared" si="4"/>
        <v>0.23867131322979673</v>
      </c>
      <c r="H93">
        <f t="shared" si="5"/>
        <v>0.59431976865601077</v>
      </c>
      <c r="I93">
        <f t="shared" si="6"/>
        <v>0.22493638753510892</v>
      </c>
      <c r="J93">
        <f t="shared" si="7"/>
        <v>22.493638753510893</v>
      </c>
      <c r="K93">
        <f t="shared" si="8"/>
        <v>0.10087848523707801</v>
      </c>
    </row>
    <row r="94" spans="1:11" x14ac:dyDescent="0.2">
      <c r="A94" s="13">
        <v>1256.0999999999999</v>
      </c>
      <c r="C94">
        <v>6</v>
      </c>
      <c r="D94">
        <f t="shared" si="9"/>
        <v>1326.2312499999998</v>
      </c>
      <c r="E94">
        <f t="shared" si="2"/>
        <v>1463.3937499999997</v>
      </c>
      <c r="F94">
        <f t="shared" si="3"/>
        <v>8</v>
      </c>
      <c r="G94">
        <f t="shared" si="4"/>
        <v>0.91253398519104911</v>
      </c>
      <c r="H94">
        <f t="shared" si="5"/>
        <v>0.81925615619111969</v>
      </c>
      <c r="I94">
        <f t="shared" si="6"/>
        <v>0.12441916467887881</v>
      </c>
      <c r="J94">
        <f t="shared" si="7"/>
        <v>12.441916467887882</v>
      </c>
      <c r="K94">
        <f t="shared" si="8"/>
        <v>1.5858185480201183</v>
      </c>
    </row>
    <row r="95" spans="1:11" x14ac:dyDescent="0.2">
      <c r="A95" s="13">
        <v>1143</v>
      </c>
      <c r="C95">
        <v>7</v>
      </c>
      <c r="D95">
        <f t="shared" si="9"/>
        <v>1463.3937499999997</v>
      </c>
      <c r="E95">
        <f t="shared" si="2"/>
        <v>1600.5562499999996</v>
      </c>
      <c r="F95">
        <f t="shared" si="3"/>
        <v>4</v>
      </c>
      <c r="G95">
        <f t="shared" si="4"/>
        <v>1.5863966571523016</v>
      </c>
      <c r="H95">
        <f t="shared" si="5"/>
        <v>0.9436753208699985</v>
      </c>
      <c r="I95">
        <f t="shared" si="6"/>
        <v>4.4422098837048285E-2</v>
      </c>
      <c r="J95">
        <f t="shared" si="7"/>
        <v>4.4422098837048285</v>
      </c>
      <c r="K95">
        <f t="shared" si="8"/>
        <v>4.4020788383629564E-2</v>
      </c>
    </row>
    <row r="96" spans="1:11" x14ac:dyDescent="0.2">
      <c r="A96" s="13">
        <v>911.4</v>
      </c>
      <c r="C96">
        <v>8</v>
      </c>
      <c r="D96">
        <f t="shared" si="9"/>
        <v>1600.5562499999996</v>
      </c>
      <c r="E96">
        <f t="shared" si="2"/>
        <v>1737.7187499999995</v>
      </c>
      <c r="F96">
        <f t="shared" si="3"/>
        <v>2</v>
      </c>
      <c r="G96">
        <f t="shared" si="4"/>
        <v>2.2602593291135542</v>
      </c>
      <c r="H96">
        <f t="shared" si="5"/>
        <v>0.98809741970704679</v>
      </c>
      <c r="I96">
        <f t="shared" si="6"/>
        <v>1.0230116780438392E-2</v>
      </c>
      <c r="J96">
        <f t="shared" si="7"/>
        <v>1.0230116780438392</v>
      </c>
      <c r="K96">
        <f t="shared" si="8"/>
        <v>0.93303546941309834</v>
      </c>
    </row>
    <row r="97" spans="1:11" x14ac:dyDescent="0.2">
      <c r="A97" s="13">
        <v>1331</v>
      </c>
      <c r="C97">
        <v>9</v>
      </c>
      <c r="D97">
        <f t="shared" si="9"/>
        <v>1737.7187499999995</v>
      </c>
      <c r="E97">
        <f t="shared" si="2"/>
        <v>1874.8812499999995</v>
      </c>
      <c r="F97">
        <f t="shared" si="3"/>
        <v>1</v>
      </c>
      <c r="G97">
        <f t="shared" si="4"/>
        <v>2.9341220010748064</v>
      </c>
      <c r="H97">
        <f t="shared" si="5"/>
        <v>0.99832753648748518</v>
      </c>
      <c r="I97">
        <f t="shared" si="6"/>
        <v>1.5181711551578436E-3</v>
      </c>
      <c r="J97">
        <f t="shared" si="7"/>
        <v>0.15181711551578436</v>
      </c>
      <c r="K97">
        <f t="shared" si="8"/>
        <v>4.7386897260419039</v>
      </c>
    </row>
    <row r="98" spans="1:11" x14ac:dyDescent="0.2">
      <c r="A98" s="13">
        <v>709</v>
      </c>
      <c r="D98">
        <f t="shared" si="9"/>
        <v>1874.8812499999995</v>
      </c>
      <c r="E98">
        <f t="shared" si="2"/>
        <v>2012.0437499999994</v>
      </c>
      <c r="G98">
        <f>(D98-$G$82)/$G$83</f>
        <v>3.607984673036059</v>
      </c>
      <c r="H98">
        <f>NORMSDIST(G98)</f>
        <v>0.99984570764264302</v>
      </c>
    </row>
    <row r="99" spans="1:11" x14ac:dyDescent="0.2">
      <c r="A99" s="13">
        <v>1004.9</v>
      </c>
      <c r="C99" s="2" t="s">
        <v>141</v>
      </c>
    </row>
    <row r="100" spans="1:11" x14ac:dyDescent="0.2">
      <c r="A100" s="13">
        <v>1320.7</v>
      </c>
      <c r="C100" t="s">
        <v>163</v>
      </c>
      <c r="D100">
        <f>SUM(K89:K97)</f>
        <v>8.6343864877502767</v>
      </c>
    </row>
    <row r="101" spans="1:11" x14ac:dyDescent="0.2">
      <c r="A101" s="13">
        <v>1159.5999999999999</v>
      </c>
      <c r="C101" t="s">
        <v>103</v>
      </c>
      <c r="D101">
        <f>D85-2-1</f>
        <v>6</v>
      </c>
    </row>
    <row r="102" spans="1:11" x14ac:dyDescent="0.2">
      <c r="A102" s="13">
        <v>951.4</v>
      </c>
      <c r="C102" t="s">
        <v>104</v>
      </c>
      <c r="D102">
        <v>12.592000000000001</v>
      </c>
    </row>
    <row r="103" spans="1:11" x14ac:dyDescent="0.2">
      <c r="A103" s="13">
        <v>942.7</v>
      </c>
      <c r="C103" t="s">
        <v>183</v>
      </c>
    </row>
    <row r="104" spans="1:11" x14ac:dyDescent="0.2">
      <c r="A104" s="13">
        <v>1285.9000000000001</v>
      </c>
    </row>
    <row r="105" spans="1:11" x14ac:dyDescent="0.2">
      <c r="A105" s="13">
        <v>1018.8</v>
      </c>
      <c r="J105">
        <v>9</v>
      </c>
    </row>
    <row r="106" spans="1:11" x14ac:dyDescent="0.2">
      <c r="A106" s="13">
        <v>901.7</v>
      </c>
    </row>
    <row r="107" spans="1:11" x14ac:dyDescent="0.2">
      <c r="A107" s="13">
        <v>947.8</v>
      </c>
    </row>
    <row r="108" spans="1:11" x14ac:dyDescent="0.2">
      <c r="A108" s="13">
        <v>1085</v>
      </c>
    </row>
    <row r="109" spans="1:11" x14ac:dyDescent="0.2">
      <c r="A109" s="13">
        <v>1147.5</v>
      </c>
    </row>
    <row r="110" spans="1:11" x14ac:dyDescent="0.2">
      <c r="A110" s="13">
        <v>1086.2</v>
      </c>
    </row>
    <row r="111" spans="1:11" x14ac:dyDescent="0.2">
      <c r="A111" s="13">
        <v>1078.0999999999999</v>
      </c>
    </row>
    <row r="112" spans="1:11" x14ac:dyDescent="0.2">
      <c r="A112" s="13">
        <v>1021.3</v>
      </c>
    </row>
    <row r="113" spans="1:1" x14ac:dyDescent="0.2">
      <c r="A113" s="13">
        <v>1002.5</v>
      </c>
    </row>
    <row r="114" spans="1:1" x14ac:dyDescent="0.2">
      <c r="A114" s="13">
        <v>1123.3</v>
      </c>
    </row>
    <row r="115" spans="1:1" x14ac:dyDescent="0.2">
      <c r="A115" s="13">
        <v>984.8</v>
      </c>
    </row>
    <row r="116" spans="1:1" x14ac:dyDescent="0.2">
      <c r="A116" s="13">
        <v>1243.7</v>
      </c>
    </row>
    <row r="117" spans="1:1" x14ac:dyDescent="0.2">
      <c r="A117" s="13">
        <v>1806.3</v>
      </c>
    </row>
    <row r="118" spans="1:1" x14ac:dyDescent="0.2">
      <c r="A118" s="13">
        <v>1184.4000000000001</v>
      </c>
    </row>
    <row r="119" spans="1:1" x14ac:dyDescent="0.2">
      <c r="A119" s="13">
        <v>935</v>
      </c>
    </row>
    <row r="120" spans="1:1" x14ac:dyDescent="0.2">
      <c r="A120" s="13">
        <v>1022.5</v>
      </c>
    </row>
    <row r="121" spans="1:1" x14ac:dyDescent="0.2">
      <c r="A121" s="13">
        <v>1203.4000000000001</v>
      </c>
    </row>
    <row r="122" spans="1:1" x14ac:dyDescent="0.2">
      <c r="A122" s="13">
        <v>986.1</v>
      </c>
    </row>
    <row r="123" spans="1:1" x14ac:dyDescent="0.2">
      <c r="A123" s="13">
        <v>859.4</v>
      </c>
    </row>
    <row r="124" spans="1:1" x14ac:dyDescent="0.2">
      <c r="A124" s="13">
        <v>910.2</v>
      </c>
    </row>
    <row r="125" spans="1:1" x14ac:dyDescent="0.2">
      <c r="A125" s="13">
        <v>1195</v>
      </c>
    </row>
    <row r="126" spans="1:1" x14ac:dyDescent="0.2">
      <c r="A126" s="13">
        <v>909.3</v>
      </c>
    </row>
    <row r="127" spans="1:1" x14ac:dyDescent="0.2">
      <c r="A127" s="13">
        <v>1588.1</v>
      </c>
    </row>
    <row r="128" spans="1:1" x14ac:dyDescent="0.2">
      <c r="A128" s="13">
        <v>1113.4000000000001</v>
      </c>
    </row>
    <row r="129" spans="1:1" x14ac:dyDescent="0.2">
      <c r="A129" s="13">
        <v>1016.3</v>
      </c>
    </row>
    <row r="130" spans="1:1" x14ac:dyDescent="0.2">
      <c r="A130" s="13">
        <v>1330.9</v>
      </c>
    </row>
    <row r="131" spans="1:1" x14ac:dyDescent="0.2">
      <c r="A131" s="13">
        <v>1480</v>
      </c>
    </row>
    <row r="132" spans="1:1" x14ac:dyDescent="0.2">
      <c r="A132" s="13">
        <v>794.7</v>
      </c>
    </row>
    <row r="133" spans="1:1" x14ac:dyDescent="0.2">
      <c r="A133" s="13">
        <v>870.6</v>
      </c>
    </row>
    <row r="134" spans="1:1" x14ac:dyDescent="0.2">
      <c r="A134" s="13">
        <v>1405</v>
      </c>
    </row>
    <row r="135" spans="1:1" x14ac:dyDescent="0.2">
      <c r="A135" s="13">
        <v>1062.3</v>
      </c>
    </row>
    <row r="136" spans="1:1" x14ac:dyDescent="0.2">
      <c r="A136" s="13">
        <v>1030.3</v>
      </c>
    </row>
    <row r="137" spans="1:1" x14ac:dyDescent="0.2">
      <c r="A137" s="13">
        <v>769.8</v>
      </c>
    </row>
    <row r="138" spans="1:1" x14ac:dyDescent="0.2">
      <c r="A138" s="13">
        <v>1204.9000000000001</v>
      </c>
    </row>
    <row r="139" spans="1:1" x14ac:dyDescent="0.2">
      <c r="A139" s="13">
        <v>1031.5999999999999</v>
      </c>
    </row>
    <row r="140" spans="1:1" x14ac:dyDescent="0.2">
      <c r="A140" s="13">
        <v>1439.4</v>
      </c>
    </row>
    <row r="141" spans="1:1" x14ac:dyDescent="0.2">
      <c r="A141" s="13">
        <v>1269.9000000000001</v>
      </c>
    </row>
    <row r="142" spans="1:1" x14ac:dyDescent="0.2">
      <c r="A142" s="13">
        <v>1131.5</v>
      </c>
    </row>
    <row r="143" spans="1:1" x14ac:dyDescent="0.2">
      <c r="A143" s="13">
        <v>912</v>
      </c>
    </row>
    <row r="144" spans="1:1" x14ac:dyDescent="0.2">
      <c r="A144" s="13">
        <v>1208.7</v>
      </c>
    </row>
    <row r="145" spans="1:1" x14ac:dyDescent="0.2">
      <c r="A145" s="13">
        <v>1287.3</v>
      </c>
    </row>
    <row r="146" spans="1:1" x14ac:dyDescent="0.2">
      <c r="A146" s="13">
        <v>1124.4000000000001</v>
      </c>
    </row>
    <row r="147" spans="1:1" x14ac:dyDescent="0.2">
      <c r="A147" s="13">
        <v>1008.9</v>
      </c>
    </row>
    <row r="148" spans="1:1" x14ac:dyDescent="0.2">
      <c r="A148" s="13">
        <v>1170.7</v>
      </c>
    </row>
    <row r="149" spans="1:1" x14ac:dyDescent="0.2">
      <c r="A149" s="13">
        <v>1105.7</v>
      </c>
    </row>
    <row r="150" spans="1:1" x14ac:dyDescent="0.2">
      <c r="A150" s="13">
        <v>1236.5</v>
      </c>
    </row>
    <row r="151" spans="1:1" x14ac:dyDescent="0.2">
      <c r="A151" s="13">
        <v>1049.2</v>
      </c>
    </row>
    <row r="152" spans="1:1" x14ac:dyDescent="0.2">
      <c r="A152" s="13">
        <v>1170.5999999999999</v>
      </c>
    </row>
    <row r="153" spans="1:1" x14ac:dyDescent="0.2">
      <c r="A153" s="13">
        <v>1025.2</v>
      </c>
    </row>
    <row r="154" spans="1:1" x14ac:dyDescent="0.2">
      <c r="A154" s="13">
        <v>1305.5</v>
      </c>
    </row>
    <row r="155" spans="1:1" x14ac:dyDescent="0.2">
      <c r="A155" s="13">
        <v>1477</v>
      </c>
    </row>
    <row r="156" spans="1:1" x14ac:dyDescent="0.2">
      <c r="A156" s="13">
        <v>811.4</v>
      </c>
    </row>
    <row r="157" spans="1:1" x14ac:dyDescent="0.2">
      <c r="A157" s="13">
        <v>1206.8</v>
      </c>
    </row>
    <row r="158" spans="1:1" x14ac:dyDescent="0.2">
      <c r="A158" s="13">
        <v>975.4</v>
      </c>
    </row>
    <row r="159" spans="1:1" x14ac:dyDescent="0.2">
      <c r="A159" s="13">
        <v>849.9</v>
      </c>
    </row>
    <row r="160" spans="1:1" x14ac:dyDescent="0.2">
      <c r="A160" s="13">
        <v>1088.0999999999999</v>
      </c>
    </row>
    <row r="161" spans="1:1" x14ac:dyDescent="0.2">
      <c r="A161" s="13">
        <v>1318.4</v>
      </c>
    </row>
    <row r="162" spans="1:1" x14ac:dyDescent="0.2">
      <c r="A162" s="13">
        <v>1161.7</v>
      </c>
    </row>
    <row r="163" spans="1:1" x14ac:dyDescent="0.2">
      <c r="A163" s="13">
        <v>1264.2</v>
      </c>
    </row>
    <row r="164" spans="1:1" x14ac:dyDescent="0.2">
      <c r="A164" s="13">
        <v>1167.2</v>
      </c>
    </row>
    <row r="165" spans="1:1" x14ac:dyDescent="0.2">
      <c r="A165" s="13">
        <v>1017</v>
      </c>
    </row>
    <row r="166" spans="1:1" x14ac:dyDescent="0.2">
      <c r="A166" s="13">
        <v>820.9</v>
      </c>
    </row>
    <row r="167" spans="1:1" x14ac:dyDescent="0.2">
      <c r="A167" s="13">
        <v>1271.4000000000001</v>
      </c>
    </row>
    <row r="168" spans="1:1" x14ac:dyDescent="0.2">
      <c r="A168" s="13">
        <v>1462.3</v>
      </c>
    </row>
    <row r="169" spans="1:1" x14ac:dyDescent="0.2">
      <c r="A169" s="13">
        <v>1233.4000000000001</v>
      </c>
    </row>
    <row r="170" spans="1:1" x14ac:dyDescent="0.2">
      <c r="A170" s="13">
        <v>1288.7</v>
      </c>
    </row>
    <row r="171" spans="1:1" x14ac:dyDescent="0.2">
      <c r="A171" s="13">
        <v>1191.8</v>
      </c>
    </row>
    <row r="172" spans="1:1" x14ac:dyDescent="0.2">
      <c r="A172" s="13">
        <v>791.2</v>
      </c>
    </row>
    <row r="173" spans="1:1" x14ac:dyDescent="0.2">
      <c r="A173" s="13">
        <v>1196.5</v>
      </c>
    </row>
    <row r="174" spans="1:1" x14ac:dyDescent="0.2">
      <c r="A174" s="13">
        <v>1255.9000000000001</v>
      </c>
    </row>
    <row r="175" spans="1:1" x14ac:dyDescent="0.2">
      <c r="A175" s="13">
        <v>1217.7</v>
      </c>
    </row>
    <row r="176" spans="1:1" x14ac:dyDescent="0.2">
      <c r="A176" s="13">
        <v>1184.0999999999999</v>
      </c>
    </row>
  </sheetData>
  <mergeCells count="4">
    <mergeCell ref="A21:I21"/>
    <mergeCell ref="A39:H39"/>
    <mergeCell ref="A57:B57"/>
    <mergeCell ref="A63:F63"/>
  </mergeCells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18391-3241-4359-8D72-993F1F81CE60}">
  <dimension ref="A1:P50"/>
  <sheetViews>
    <sheetView workbookViewId="0">
      <selection activeCell="N14" sqref="N14"/>
    </sheetView>
  </sheetViews>
  <sheetFormatPr defaultRowHeight="14.25" x14ac:dyDescent="0.2"/>
  <cols>
    <col min="3" max="3" width="18.125" bestFit="1" customWidth="1"/>
    <col min="4" max="4" width="12.625" customWidth="1"/>
    <col min="5" max="5" width="13.125" customWidth="1"/>
    <col min="6" max="6" width="11.625" bestFit="1" customWidth="1"/>
    <col min="7" max="7" width="18.125" bestFit="1" customWidth="1"/>
    <col min="8" max="8" width="12.75" bestFit="1" customWidth="1"/>
  </cols>
  <sheetData>
    <row r="1" spans="1:8" x14ac:dyDescent="0.2">
      <c r="A1" s="18" t="s">
        <v>184</v>
      </c>
      <c r="B1" s="13"/>
      <c r="C1" s="13"/>
    </row>
    <row r="2" spans="1:8" x14ac:dyDescent="0.2">
      <c r="A2" s="27" t="s">
        <v>185</v>
      </c>
      <c r="B2" s="13"/>
      <c r="C2" s="13"/>
      <c r="D2" s="2" t="s">
        <v>200</v>
      </c>
    </row>
    <row r="3" spans="1:8" x14ac:dyDescent="0.2">
      <c r="A3" s="28" t="s">
        <v>186</v>
      </c>
      <c r="B3" s="28" t="s">
        <v>187</v>
      </c>
      <c r="C3" s="28" t="s">
        <v>188</v>
      </c>
      <c r="D3" t="s">
        <v>201</v>
      </c>
      <c r="E3" t="s">
        <v>202</v>
      </c>
      <c r="F3" t="s">
        <v>203</v>
      </c>
    </row>
    <row r="4" spans="1:8" x14ac:dyDescent="0.2">
      <c r="A4" s="29">
        <v>337.93381759483452</v>
      </c>
      <c r="B4" s="29">
        <v>169.1686844229217</v>
      </c>
      <c r="C4" s="29">
        <v>6.4568200161420499</v>
      </c>
      <c r="D4">
        <f>RANK(B4,$B$4:$B$33)</f>
        <v>30</v>
      </c>
      <c r="E4">
        <f>RANK(C4,$C$4:$C$33)</f>
        <v>30</v>
      </c>
      <c r="F4">
        <f>ABS(D4-E4)</f>
        <v>0</v>
      </c>
    </row>
    <row r="5" spans="1:8" x14ac:dyDescent="0.2">
      <c r="A5" s="29">
        <v>349.542875157629</v>
      </c>
      <c r="B5" s="29">
        <v>175.61475409836063</v>
      </c>
      <c r="C5" s="29">
        <v>6.557377049180328</v>
      </c>
      <c r="D5">
        <f t="shared" ref="D5:D33" si="0">RANK(B5,$B$4:$B$33)</f>
        <v>29</v>
      </c>
      <c r="E5">
        <f t="shared" ref="E5:E33" si="1">RANK(C5,$C$4:$C$33)</f>
        <v>25</v>
      </c>
      <c r="F5">
        <f t="shared" ref="F5:F33" si="2">ABS(D5-E5)</f>
        <v>4</v>
      </c>
    </row>
    <row r="6" spans="1:8" x14ac:dyDescent="0.2">
      <c r="A6" s="29">
        <v>373.13180911462331</v>
      </c>
      <c r="B6" s="29">
        <v>179.607181218352</v>
      </c>
      <c r="C6" s="29">
        <v>6.521405554703084</v>
      </c>
      <c r="D6">
        <f t="shared" si="0"/>
        <v>28</v>
      </c>
      <c r="E6">
        <f t="shared" si="1"/>
        <v>28</v>
      </c>
      <c r="F6">
        <f t="shared" si="2"/>
        <v>0</v>
      </c>
    </row>
    <row r="7" spans="1:8" x14ac:dyDescent="0.2">
      <c r="A7" s="29">
        <v>385.76801564615619</v>
      </c>
      <c r="B7" s="29">
        <v>180.41221603731006</v>
      </c>
      <c r="C7" s="29">
        <v>6.5443057018203703</v>
      </c>
      <c r="D7">
        <f t="shared" si="0"/>
        <v>27</v>
      </c>
      <c r="E7">
        <f t="shared" si="1"/>
        <v>26</v>
      </c>
      <c r="F7">
        <f t="shared" si="2"/>
        <v>1</v>
      </c>
      <c r="H7" t="s">
        <v>204</v>
      </c>
    </row>
    <row r="8" spans="1:8" x14ac:dyDescent="0.2">
      <c r="A8" s="29">
        <v>412.42971293282045</v>
      </c>
      <c r="B8" s="29">
        <v>189.06481207457827</v>
      </c>
      <c r="C8" s="29">
        <v>6.4960047351287367</v>
      </c>
      <c r="D8">
        <f t="shared" si="0"/>
        <v>25</v>
      </c>
      <c r="E8">
        <f t="shared" si="1"/>
        <v>29</v>
      </c>
      <c r="F8">
        <f t="shared" si="2"/>
        <v>4</v>
      </c>
      <c r="H8">
        <f>SUMSQ(F4:F33)</f>
        <v>34</v>
      </c>
    </row>
    <row r="9" spans="1:8" x14ac:dyDescent="0.2">
      <c r="A9" s="29">
        <v>377.78750729713954</v>
      </c>
      <c r="B9" s="29">
        <v>183.1873905429072</v>
      </c>
      <c r="C9" s="29">
        <v>6.5382370110916517</v>
      </c>
      <c r="D9">
        <f t="shared" si="0"/>
        <v>26</v>
      </c>
      <c r="E9">
        <f t="shared" si="1"/>
        <v>27</v>
      </c>
      <c r="F9">
        <f t="shared" si="2"/>
        <v>1</v>
      </c>
    </row>
    <row r="10" spans="1:8" x14ac:dyDescent="0.2">
      <c r="A10" s="29">
        <v>455.90053183843611</v>
      </c>
      <c r="B10" s="29">
        <v>207.14388385798478</v>
      </c>
      <c r="C10" s="29">
        <v>6.6264194336639353</v>
      </c>
      <c r="D10">
        <f t="shared" si="0"/>
        <v>24</v>
      </c>
      <c r="E10">
        <f t="shared" si="1"/>
        <v>24</v>
      </c>
      <c r="F10">
        <f t="shared" si="2"/>
        <v>0</v>
      </c>
      <c r="H10" t="s">
        <v>205</v>
      </c>
    </row>
    <row r="11" spans="1:8" x14ac:dyDescent="0.2">
      <c r="A11" s="29">
        <v>494.19838686854393</v>
      </c>
      <c r="B11" s="29">
        <v>230.53629545776141</v>
      </c>
      <c r="C11" s="29">
        <v>6.8062827225130889</v>
      </c>
      <c r="D11">
        <f t="shared" si="0"/>
        <v>23</v>
      </c>
      <c r="E11">
        <f t="shared" si="1"/>
        <v>23</v>
      </c>
      <c r="F11">
        <f t="shared" si="2"/>
        <v>0</v>
      </c>
      <c r="H11">
        <f>1-(6*H8/(B40*(B40^2-1)))</f>
        <v>0.99243604004449393</v>
      </c>
    </row>
    <row r="12" spans="1:8" x14ac:dyDescent="0.2">
      <c r="A12" s="29">
        <v>552.73334260676029</v>
      </c>
      <c r="B12" s="29">
        <v>264.41786062039228</v>
      </c>
      <c r="C12" s="29">
        <v>7.3028237585199607</v>
      </c>
      <c r="D12">
        <f t="shared" si="0"/>
        <v>22</v>
      </c>
      <c r="E12">
        <f t="shared" si="1"/>
        <v>22</v>
      </c>
      <c r="F12">
        <f t="shared" si="2"/>
        <v>0</v>
      </c>
    </row>
    <row r="13" spans="1:8" x14ac:dyDescent="0.2">
      <c r="A13" s="29">
        <v>617.54289636238843</v>
      </c>
      <c r="B13" s="29">
        <v>314.5641729581331</v>
      </c>
      <c r="C13" s="29">
        <v>7.6733013040494162</v>
      </c>
      <c r="D13">
        <f t="shared" si="0"/>
        <v>21</v>
      </c>
      <c r="E13">
        <f t="shared" si="1"/>
        <v>21</v>
      </c>
      <c r="F13">
        <f t="shared" si="2"/>
        <v>0</v>
      </c>
    </row>
    <row r="14" spans="1:8" x14ac:dyDescent="0.2">
      <c r="A14" s="29">
        <v>672.48884682979588</v>
      </c>
      <c r="B14" s="29">
        <v>337.55576585102068</v>
      </c>
      <c r="C14" s="29">
        <v>7.8545356225496823</v>
      </c>
      <c r="D14">
        <f t="shared" si="0"/>
        <v>20</v>
      </c>
      <c r="E14">
        <f t="shared" si="1"/>
        <v>20</v>
      </c>
      <c r="F14">
        <f t="shared" si="2"/>
        <v>0</v>
      </c>
    </row>
    <row r="15" spans="1:8" x14ac:dyDescent="0.2">
      <c r="A15" s="29">
        <v>706.15773374118896</v>
      </c>
      <c r="B15" s="29">
        <v>350.17954515228092</v>
      </c>
      <c r="C15" s="29">
        <v>8.1127809549142178</v>
      </c>
      <c r="D15">
        <f t="shared" si="0"/>
        <v>19</v>
      </c>
      <c r="E15">
        <f t="shared" si="1"/>
        <v>19</v>
      </c>
      <c r="F15">
        <f t="shared" si="2"/>
        <v>0</v>
      </c>
    </row>
    <row r="16" spans="1:8" x14ac:dyDescent="0.2">
      <c r="A16" s="29">
        <v>803.7211740041929</v>
      </c>
      <c r="B16" s="29">
        <v>429.70387840670855</v>
      </c>
      <c r="C16" s="29">
        <v>8.3595387840670856</v>
      </c>
      <c r="D16">
        <f t="shared" si="0"/>
        <v>18</v>
      </c>
      <c r="E16">
        <f t="shared" si="1"/>
        <v>18</v>
      </c>
      <c r="F16">
        <f t="shared" si="2"/>
        <v>0</v>
      </c>
    </row>
    <row r="17" spans="1:16" x14ac:dyDescent="0.2">
      <c r="A17" s="29">
        <v>908.90526043686179</v>
      </c>
      <c r="B17" s="29">
        <v>478.27323251906427</v>
      </c>
      <c r="C17" s="29">
        <v>8.7113868424453926</v>
      </c>
      <c r="D17">
        <f t="shared" si="0"/>
        <v>17</v>
      </c>
      <c r="E17">
        <f t="shared" si="1"/>
        <v>17</v>
      </c>
      <c r="F17">
        <f t="shared" si="2"/>
        <v>0</v>
      </c>
    </row>
    <row r="18" spans="1:16" ht="15" thickBot="1" x14ac:dyDescent="0.25">
      <c r="A18" s="29">
        <v>1161.6796227857781</v>
      </c>
      <c r="B18" s="29">
        <v>575.68497514973876</v>
      </c>
      <c r="C18" s="29">
        <v>9.3029183127309807</v>
      </c>
      <c r="D18">
        <f t="shared" si="0"/>
        <v>16</v>
      </c>
      <c r="E18">
        <f t="shared" si="1"/>
        <v>16</v>
      </c>
      <c r="F18">
        <f t="shared" si="2"/>
        <v>0</v>
      </c>
      <c r="L18" t="s">
        <v>319</v>
      </c>
      <c r="M18" t="s">
        <v>320</v>
      </c>
      <c r="N18" t="s">
        <v>321</v>
      </c>
      <c r="O18" t="s">
        <v>322</v>
      </c>
      <c r="P18" t="s">
        <v>236</v>
      </c>
    </row>
    <row r="19" spans="1:16" ht="19.5" thickBot="1" x14ac:dyDescent="0.25">
      <c r="A19" s="29">
        <v>1300.8766437069505</v>
      </c>
      <c r="B19" s="29">
        <v>629.81840951784591</v>
      </c>
      <c r="C19" s="29">
        <v>9.5428929242329374</v>
      </c>
      <c r="D19">
        <f t="shared" si="0"/>
        <v>15</v>
      </c>
      <c r="E19">
        <f t="shared" si="1"/>
        <v>15</v>
      </c>
      <c r="F19">
        <f t="shared" si="2"/>
        <v>0</v>
      </c>
      <c r="L19" s="40">
        <v>7</v>
      </c>
      <c r="M19" s="41">
        <v>26</v>
      </c>
      <c r="N19" s="41">
        <v>6</v>
      </c>
      <c r="O19" s="41">
        <v>60</v>
      </c>
      <c r="P19" s="42">
        <v>78.5</v>
      </c>
    </row>
    <row r="20" spans="1:16" ht="19.5" thickBot="1" x14ac:dyDescent="0.25">
      <c r="A20" s="29">
        <v>1582.2164948453608</v>
      </c>
      <c r="B20" s="29">
        <v>748.15905743740791</v>
      </c>
      <c r="C20" s="29">
        <v>9.9165439371624942</v>
      </c>
      <c r="D20">
        <f t="shared" si="0"/>
        <v>14</v>
      </c>
      <c r="E20">
        <f t="shared" si="1"/>
        <v>14</v>
      </c>
      <c r="F20">
        <f t="shared" si="2"/>
        <v>0</v>
      </c>
      <c r="L20" s="40">
        <v>1</v>
      </c>
      <c r="M20" s="41">
        <v>29</v>
      </c>
      <c r="N20" s="41">
        <v>15</v>
      </c>
      <c r="O20" s="41">
        <v>52</v>
      </c>
      <c r="P20" s="42">
        <v>74.3</v>
      </c>
    </row>
    <row r="21" spans="1:16" ht="19.5" thickBot="1" x14ac:dyDescent="0.25">
      <c r="A21" s="29">
        <v>1961.7650595166526</v>
      </c>
      <c r="B21" s="29">
        <v>900.67331970662508</v>
      </c>
      <c r="C21" s="29">
        <v>10.52062041601539</v>
      </c>
      <c r="D21">
        <f t="shared" si="0"/>
        <v>13</v>
      </c>
      <c r="E21">
        <f t="shared" si="1"/>
        <v>13</v>
      </c>
      <c r="F21">
        <f t="shared" si="2"/>
        <v>0</v>
      </c>
      <c r="L21" s="40">
        <v>11</v>
      </c>
      <c r="M21" s="41">
        <v>56</v>
      </c>
      <c r="N21" s="41">
        <v>8</v>
      </c>
      <c r="O21" s="41">
        <v>20</v>
      </c>
      <c r="P21" s="42">
        <v>104.3</v>
      </c>
    </row>
    <row r="22" spans="1:16" ht="19.5" thickBot="1" x14ac:dyDescent="0.25">
      <c r="A22" s="29">
        <v>2277.3878224001883</v>
      </c>
      <c r="B22" s="29">
        <v>1001.8961253091509</v>
      </c>
      <c r="C22" s="29">
        <v>10.882110469909316</v>
      </c>
      <c r="D22">
        <f t="shared" si="0"/>
        <v>12</v>
      </c>
      <c r="E22">
        <f t="shared" si="1"/>
        <v>12</v>
      </c>
      <c r="F22">
        <f t="shared" si="2"/>
        <v>0</v>
      </c>
      <c r="L22" s="40">
        <v>11</v>
      </c>
      <c r="M22" s="41">
        <v>31</v>
      </c>
      <c r="N22" s="41">
        <v>8</v>
      </c>
      <c r="O22" s="41">
        <v>47</v>
      </c>
      <c r="P22" s="42">
        <v>87.6</v>
      </c>
    </row>
    <row r="23" spans="1:16" ht="19.5" thickBot="1" x14ac:dyDescent="0.25">
      <c r="A23" s="29">
        <v>2501.919297028558</v>
      </c>
      <c r="B23" s="29">
        <v>1080.6451612903227</v>
      </c>
      <c r="C23" s="29">
        <v>11.226731414036305</v>
      </c>
      <c r="D23">
        <f t="shared" si="0"/>
        <v>11</v>
      </c>
      <c r="E23">
        <f t="shared" si="1"/>
        <v>11</v>
      </c>
      <c r="F23">
        <f t="shared" si="2"/>
        <v>0</v>
      </c>
      <c r="L23" s="40">
        <v>7</v>
      </c>
      <c r="M23" s="41">
        <v>52</v>
      </c>
      <c r="N23" s="41">
        <v>6</v>
      </c>
      <c r="O23" s="41">
        <v>33</v>
      </c>
      <c r="P23" s="42">
        <v>95.9</v>
      </c>
    </row>
    <row r="24" spans="1:16" ht="19.5" thickBot="1" x14ac:dyDescent="0.25">
      <c r="A24" s="29">
        <v>2830.206550268173</v>
      </c>
      <c r="B24" s="29">
        <v>1193.3470272737648</v>
      </c>
      <c r="C24" s="29">
        <v>11.525733196393929</v>
      </c>
      <c r="D24">
        <f t="shared" si="0"/>
        <v>10</v>
      </c>
      <c r="E24">
        <f t="shared" si="1"/>
        <v>10</v>
      </c>
      <c r="F24">
        <f t="shared" si="2"/>
        <v>0</v>
      </c>
      <c r="L24" s="40">
        <v>11</v>
      </c>
      <c r="M24" s="41">
        <v>55</v>
      </c>
      <c r="N24" s="41">
        <v>9</v>
      </c>
      <c r="O24" s="41">
        <v>22</v>
      </c>
      <c r="P24" s="42">
        <v>109.2</v>
      </c>
    </row>
    <row r="25" spans="1:16" ht="19.5" thickBot="1" x14ac:dyDescent="0.25">
      <c r="A25" s="29">
        <v>3478.8285746529737</v>
      </c>
      <c r="B25" s="29">
        <v>1444.2500846405599</v>
      </c>
      <c r="C25" s="29">
        <v>12.018959485385396</v>
      </c>
      <c r="D25">
        <f t="shared" si="0"/>
        <v>9</v>
      </c>
      <c r="E25">
        <f t="shared" si="1"/>
        <v>9</v>
      </c>
      <c r="F25">
        <f t="shared" si="2"/>
        <v>0</v>
      </c>
      <c r="L25" s="40">
        <v>3</v>
      </c>
      <c r="M25" s="41">
        <v>71</v>
      </c>
      <c r="N25" s="41">
        <v>17</v>
      </c>
      <c r="O25" s="41">
        <v>6</v>
      </c>
      <c r="P25" s="42">
        <v>102.7</v>
      </c>
    </row>
    <row r="26" spans="1:16" ht="19.5" thickBot="1" x14ac:dyDescent="0.25">
      <c r="A26" s="29">
        <v>4760.6192711826516</v>
      </c>
      <c r="B26" s="29">
        <v>1858.6630896490051</v>
      </c>
      <c r="C26" s="29">
        <v>12.810194500335346</v>
      </c>
      <c r="D26">
        <f t="shared" si="0"/>
        <v>8</v>
      </c>
      <c r="E26">
        <f t="shared" si="1"/>
        <v>8</v>
      </c>
      <c r="F26">
        <f t="shared" si="2"/>
        <v>0</v>
      </c>
      <c r="L26" s="40">
        <v>1</v>
      </c>
      <c r="M26" s="41">
        <v>31</v>
      </c>
      <c r="N26" s="41">
        <v>22</v>
      </c>
      <c r="O26" s="41">
        <v>44</v>
      </c>
      <c r="P26" s="42">
        <v>72.5</v>
      </c>
    </row>
    <row r="27" spans="1:16" ht="19.5" thickBot="1" x14ac:dyDescent="0.25">
      <c r="A27" s="29">
        <v>6369.2699678741556</v>
      </c>
      <c r="B27" s="29">
        <v>2464.196299988922</v>
      </c>
      <c r="C27" s="29">
        <v>15.697352387282598</v>
      </c>
      <c r="D27">
        <f t="shared" si="0"/>
        <v>7</v>
      </c>
      <c r="E27">
        <f t="shared" si="1"/>
        <v>7</v>
      </c>
      <c r="F27">
        <f t="shared" si="2"/>
        <v>0</v>
      </c>
      <c r="L27" s="40">
        <v>2</v>
      </c>
      <c r="M27" s="41">
        <v>54</v>
      </c>
      <c r="N27" s="41">
        <v>18</v>
      </c>
      <c r="O27" s="41">
        <v>22</v>
      </c>
      <c r="P27" s="42">
        <v>93.1</v>
      </c>
    </row>
    <row r="28" spans="1:16" ht="19.5" thickBot="1" x14ac:dyDescent="0.25">
      <c r="A28" s="29">
        <v>8733.7692307692305</v>
      </c>
      <c r="B28" s="29">
        <v>3299.7142857142853</v>
      </c>
      <c r="C28" s="29">
        <v>16.208791208791208</v>
      </c>
      <c r="D28">
        <f t="shared" si="0"/>
        <v>6</v>
      </c>
      <c r="E28">
        <f t="shared" si="1"/>
        <v>6</v>
      </c>
      <c r="F28">
        <f t="shared" si="2"/>
        <v>0</v>
      </c>
      <c r="L28" s="40">
        <v>21</v>
      </c>
      <c r="M28" s="41">
        <v>47</v>
      </c>
      <c r="N28" s="41">
        <v>4</v>
      </c>
      <c r="O28" s="41">
        <v>26</v>
      </c>
      <c r="P28" s="42">
        <v>115.9</v>
      </c>
    </row>
    <row r="29" spans="1:16" ht="19.5" thickBot="1" x14ac:dyDescent="0.25">
      <c r="A29" s="29">
        <v>10360.782817269952</v>
      </c>
      <c r="B29" s="29">
        <v>3991.6921064108151</v>
      </c>
      <c r="C29" s="29">
        <v>17.215438290449192</v>
      </c>
      <c r="D29">
        <f t="shared" si="0"/>
        <v>5</v>
      </c>
      <c r="E29">
        <f t="shared" si="1"/>
        <v>5</v>
      </c>
      <c r="F29">
        <f t="shared" si="2"/>
        <v>0</v>
      </c>
      <c r="L29" s="40">
        <v>1</v>
      </c>
      <c r="M29" s="41">
        <v>40</v>
      </c>
      <c r="N29" s="41">
        <v>23</v>
      </c>
      <c r="O29" s="41">
        <v>34</v>
      </c>
      <c r="P29" s="42">
        <v>83.8</v>
      </c>
    </row>
    <row r="30" spans="1:16" ht="19.5" thickBot="1" x14ac:dyDescent="0.25">
      <c r="A30" s="29">
        <v>11328.951639078221</v>
      </c>
      <c r="B30" s="29">
        <v>4413.3506437303913</v>
      </c>
      <c r="C30" s="29">
        <v>17.937898950557177</v>
      </c>
      <c r="D30">
        <f t="shared" si="0"/>
        <v>4</v>
      </c>
      <c r="E30">
        <f t="shared" si="1"/>
        <v>4</v>
      </c>
      <c r="F30">
        <f t="shared" si="2"/>
        <v>0</v>
      </c>
      <c r="L30" s="40">
        <v>11</v>
      </c>
      <c r="M30" s="41">
        <v>66</v>
      </c>
      <c r="N30" s="41">
        <v>9</v>
      </c>
      <c r="O30" s="41">
        <v>12</v>
      </c>
      <c r="P30" s="42">
        <v>113.3</v>
      </c>
    </row>
    <row r="31" spans="1:16" ht="19.5" thickBot="1" x14ac:dyDescent="0.25">
      <c r="A31" s="29">
        <v>11769.404186795491</v>
      </c>
      <c r="B31" s="29">
        <v>4676.9726247987119</v>
      </c>
      <c r="C31" s="29">
        <v>18.497047772410092</v>
      </c>
      <c r="D31">
        <f t="shared" si="0"/>
        <v>3</v>
      </c>
      <c r="E31">
        <f t="shared" si="1"/>
        <v>3</v>
      </c>
      <c r="F31">
        <f t="shared" si="2"/>
        <v>0</v>
      </c>
      <c r="L31" s="43">
        <v>10</v>
      </c>
      <c r="M31" s="44">
        <v>68</v>
      </c>
      <c r="N31" s="44">
        <v>8</v>
      </c>
      <c r="O31" s="44">
        <v>12</v>
      </c>
      <c r="P31" s="45">
        <v>109.4</v>
      </c>
    </row>
    <row r="32" spans="1:16" ht="15" thickTop="1" x14ac:dyDescent="0.2">
      <c r="A32" s="29">
        <v>12124.555235964632</v>
      </c>
      <c r="B32" s="29">
        <v>4874.9334185575799</v>
      </c>
      <c r="C32" s="29">
        <v>18.813252370299349</v>
      </c>
      <c r="D32">
        <f t="shared" si="0"/>
        <v>2</v>
      </c>
      <c r="E32">
        <f t="shared" si="1"/>
        <v>2</v>
      </c>
      <c r="F32">
        <f t="shared" si="2"/>
        <v>0</v>
      </c>
    </row>
    <row r="33" spans="1:6" x14ac:dyDescent="0.2">
      <c r="A33" s="29">
        <v>13530.385750421583</v>
      </c>
      <c r="B33" s="29">
        <v>5414.9030354131537</v>
      </c>
      <c r="C33" s="29">
        <v>19.340219224283306</v>
      </c>
      <c r="D33">
        <f t="shared" si="0"/>
        <v>1</v>
      </c>
      <c r="E33">
        <f t="shared" si="1"/>
        <v>1</v>
      </c>
      <c r="F33">
        <f t="shared" si="2"/>
        <v>0</v>
      </c>
    </row>
    <row r="35" spans="1:6" x14ac:dyDescent="0.2">
      <c r="A35" s="2" t="s">
        <v>189</v>
      </c>
    </row>
    <row r="36" spans="1:6" x14ac:dyDescent="0.2">
      <c r="B36" t="s">
        <v>192</v>
      </c>
      <c r="C36" t="s">
        <v>193</v>
      </c>
      <c r="D36" t="s">
        <v>194</v>
      </c>
    </row>
    <row r="37" spans="1:6" x14ac:dyDescent="0.2">
      <c r="A37" s="6" t="s">
        <v>190</v>
      </c>
      <c r="B37" s="30">
        <f>SUM(B4:B33)</f>
        <v>42258.329337806055</v>
      </c>
      <c r="C37" s="31">
        <f>B37^2</f>
        <v>1785766398.4224799</v>
      </c>
      <c r="D37">
        <f>SUMSQ(B4:B33)</f>
        <v>139675516.07915214</v>
      </c>
    </row>
    <row r="38" spans="1:6" x14ac:dyDescent="0.2">
      <c r="A38" s="6" t="s">
        <v>191</v>
      </c>
      <c r="B38" s="30">
        <f>SUM(C4:C33)</f>
        <v>322.01792435106398</v>
      </c>
      <c r="C38" s="32">
        <f>B38^2</f>
        <v>103695.54360336757</v>
      </c>
      <c r="D38">
        <f>SUMSQ(C4:C33)</f>
        <v>4000.6056615523266</v>
      </c>
    </row>
    <row r="40" spans="1:6" x14ac:dyDescent="0.2">
      <c r="A40" t="s">
        <v>4</v>
      </c>
      <c r="B40">
        <f>COUNT(B4:B33)</f>
        <v>30</v>
      </c>
    </row>
    <row r="42" spans="1:6" x14ac:dyDescent="0.2">
      <c r="A42" t="s">
        <v>195</v>
      </c>
    </row>
    <row r="43" spans="1:6" x14ac:dyDescent="0.2">
      <c r="A43">
        <f>SUMPRODUCT(B4:B33,C4:C33)</f>
        <v>656776.56469407596</v>
      </c>
    </row>
    <row r="45" spans="1:6" x14ac:dyDescent="0.2">
      <c r="A45" t="s">
        <v>196</v>
      </c>
      <c r="B45">
        <f>A43-B37*B38/B40</f>
        <v>203178.58136394335</v>
      </c>
    </row>
    <row r="46" spans="1:6" x14ac:dyDescent="0.2">
      <c r="A46" t="s">
        <v>197</v>
      </c>
      <c r="B46">
        <f>D37-C37/$B$40</f>
        <v>80149969.465069473</v>
      </c>
    </row>
    <row r="47" spans="1:6" x14ac:dyDescent="0.2">
      <c r="A47" t="s">
        <v>198</v>
      </c>
      <c r="B47">
        <f>D38-C38/$B$40</f>
        <v>544.08754144007435</v>
      </c>
    </row>
    <row r="49" spans="1:1" x14ac:dyDescent="0.2">
      <c r="A49" t="s">
        <v>199</v>
      </c>
    </row>
    <row r="50" spans="1:1" x14ac:dyDescent="0.2">
      <c r="A50">
        <f>B45/SQRT(B46*B47)</f>
        <v>0.97295297934713854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2F4683-68FF-41A6-957A-B57754E31BFE}">
  <dimension ref="A1"/>
  <sheetViews>
    <sheetView workbookViewId="0"/>
  </sheetViews>
  <sheetFormatPr defaultRowHeight="14.25" x14ac:dyDescent="0.2"/>
  <sheetData/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B0A05-8B69-409F-9C91-520176481C34}">
  <dimension ref="A1:G21"/>
  <sheetViews>
    <sheetView workbookViewId="0">
      <selection activeCell="F25" sqref="F25"/>
    </sheetView>
  </sheetViews>
  <sheetFormatPr defaultRowHeight="14.25" x14ac:dyDescent="0.2"/>
  <sheetData>
    <row r="1" spans="1:7" ht="28.5" x14ac:dyDescent="0.2">
      <c r="A1" s="33"/>
      <c r="B1" s="34" t="s">
        <v>206</v>
      </c>
      <c r="C1" s="34" t="s">
        <v>207</v>
      </c>
      <c r="D1" s="34" t="s">
        <v>208</v>
      </c>
      <c r="E1" s="34" t="s">
        <v>209</v>
      </c>
      <c r="F1" s="34" t="s">
        <v>210</v>
      </c>
      <c r="G1" s="34" t="s">
        <v>93</v>
      </c>
    </row>
    <row r="2" spans="1:7" ht="30" x14ac:dyDescent="0.2">
      <c r="A2" s="35" t="s">
        <v>211</v>
      </c>
      <c r="B2" s="36">
        <v>44.637</v>
      </c>
      <c r="C2" s="36">
        <v>32.691960000000002</v>
      </c>
      <c r="D2" s="36">
        <v>54.07206</v>
      </c>
      <c r="E2" s="36">
        <v>1419.0029999999999</v>
      </c>
      <c r="F2" s="36">
        <v>652300</v>
      </c>
      <c r="G2" s="36">
        <v>22000</v>
      </c>
    </row>
    <row r="3" spans="1:7" ht="30" x14ac:dyDescent="0.2">
      <c r="A3" s="35" t="s">
        <v>212</v>
      </c>
      <c r="B3" s="36">
        <v>62.167999999999999</v>
      </c>
      <c r="C3" s="36">
        <v>78.287899999999993</v>
      </c>
      <c r="D3" s="36">
        <v>58.07544</v>
      </c>
      <c r="E3" s="36">
        <v>1952.26</v>
      </c>
      <c r="F3" s="36">
        <v>181035</v>
      </c>
      <c r="G3" s="36">
        <v>11430</v>
      </c>
    </row>
    <row r="4" spans="1:7" ht="15" x14ac:dyDescent="0.2">
      <c r="A4" s="35" t="s">
        <v>213</v>
      </c>
      <c r="B4" s="36">
        <v>73.474000000000004</v>
      </c>
      <c r="C4" s="36">
        <v>94.230099999999993</v>
      </c>
      <c r="D4" s="36">
        <v>68.004999999999995</v>
      </c>
      <c r="E4" s="36">
        <v>7206.1180000000004</v>
      </c>
      <c r="F4" s="36">
        <v>9600000</v>
      </c>
      <c r="G4" s="36">
        <v>1295330</v>
      </c>
    </row>
    <row r="5" spans="1:7" ht="15" x14ac:dyDescent="0.2">
      <c r="A5" s="35" t="s">
        <v>214</v>
      </c>
      <c r="B5" s="36">
        <v>64.352000000000004</v>
      </c>
      <c r="C5" s="36">
        <v>68.292599999999993</v>
      </c>
      <c r="D5" s="36">
        <v>62.60772</v>
      </c>
      <c r="E5" s="36">
        <v>3354.3939999999998</v>
      </c>
      <c r="F5" s="36">
        <v>2974700</v>
      </c>
      <c r="G5" s="36">
        <v>1020000</v>
      </c>
    </row>
    <row r="6" spans="1:7" ht="30" x14ac:dyDescent="0.2">
      <c r="A6" s="35" t="s">
        <v>215</v>
      </c>
      <c r="B6" s="36">
        <v>71.492999999999995</v>
      </c>
      <c r="C6" s="36">
        <v>93.782229999999998</v>
      </c>
      <c r="D6" s="36">
        <v>74.515479999999997</v>
      </c>
      <c r="E6" s="36">
        <v>4394.326</v>
      </c>
      <c r="F6" s="36">
        <v>1904443</v>
      </c>
      <c r="G6" s="36">
        <v>210000</v>
      </c>
    </row>
    <row r="7" spans="1:7" ht="15" x14ac:dyDescent="0.2">
      <c r="A7" s="35" t="s">
        <v>216</v>
      </c>
      <c r="B7" s="36">
        <v>71.91</v>
      </c>
      <c r="C7" s="36">
        <v>85.232849999999999</v>
      </c>
      <c r="D7" s="36">
        <v>74.035889999999995</v>
      </c>
      <c r="E7" s="36">
        <v>11891.32</v>
      </c>
      <c r="F7" s="36">
        <v>1645000</v>
      </c>
      <c r="G7" s="36">
        <v>63900</v>
      </c>
    </row>
    <row r="8" spans="1:7" ht="15" x14ac:dyDescent="0.2">
      <c r="A8" s="35" t="s">
        <v>217</v>
      </c>
      <c r="B8" s="36">
        <v>79.8</v>
      </c>
      <c r="C8" s="36">
        <v>99</v>
      </c>
      <c r="D8" s="36">
        <v>99.845309999999998</v>
      </c>
      <c r="E8" s="36">
        <v>29325.77</v>
      </c>
      <c r="F8" s="36">
        <v>99600</v>
      </c>
      <c r="G8" s="36">
        <v>48022</v>
      </c>
    </row>
    <row r="9" spans="1:7" ht="15" x14ac:dyDescent="0.2">
      <c r="A9" s="35" t="s">
        <v>218</v>
      </c>
      <c r="B9" s="36">
        <v>83.165999999999997</v>
      </c>
      <c r="C9" s="36">
        <v>99</v>
      </c>
      <c r="D9" s="36">
        <v>87.298320000000004</v>
      </c>
      <c r="E9" s="36">
        <v>33648.660000000003</v>
      </c>
      <c r="F9" s="36">
        <v>377800</v>
      </c>
      <c r="G9" s="36">
        <v>127310</v>
      </c>
    </row>
    <row r="10" spans="1:7" ht="15" x14ac:dyDescent="0.2">
      <c r="A10" s="35" t="s">
        <v>219</v>
      </c>
      <c r="B10" s="36">
        <v>73.106999999999999</v>
      </c>
      <c r="C10" s="36">
        <v>93.103279999999998</v>
      </c>
      <c r="D10" s="36">
        <v>78.267150000000001</v>
      </c>
      <c r="E10" s="36">
        <v>5700.3990000000003</v>
      </c>
      <c r="F10" s="36">
        <v>89340</v>
      </c>
      <c r="G10" s="36">
        <v>5040</v>
      </c>
    </row>
    <row r="11" spans="1:7" ht="30" x14ac:dyDescent="0.2">
      <c r="A11" s="35" t="s">
        <v>220</v>
      </c>
      <c r="B11" s="36">
        <v>65.364000000000004</v>
      </c>
      <c r="C11" s="36">
        <v>99</v>
      </c>
      <c r="D11" s="36">
        <v>90.930779999999999</v>
      </c>
      <c r="E11" s="36">
        <v>11927.25</v>
      </c>
      <c r="F11" s="36">
        <v>2717300</v>
      </c>
      <c r="G11" s="36">
        <v>14821</v>
      </c>
    </row>
    <row r="12" spans="1:7" ht="15" x14ac:dyDescent="0.2">
      <c r="A12" s="35" t="s">
        <v>221</v>
      </c>
      <c r="B12" s="36">
        <v>67.459000000000003</v>
      </c>
      <c r="C12" s="36">
        <v>60.303899999999999</v>
      </c>
      <c r="D12" s="36">
        <v>57.478619999999999</v>
      </c>
      <c r="E12" s="36">
        <v>1189.24</v>
      </c>
      <c r="F12" s="36">
        <v>147181</v>
      </c>
      <c r="G12" s="36">
        <v>23000</v>
      </c>
    </row>
    <row r="13" spans="1:7" ht="15" x14ac:dyDescent="0.2">
      <c r="A13" s="35" t="s">
        <v>222</v>
      </c>
      <c r="B13" s="36">
        <v>76.141999999999996</v>
      </c>
      <c r="C13" s="36">
        <v>86.273399999999995</v>
      </c>
      <c r="D13" s="36">
        <v>66.160269999999997</v>
      </c>
      <c r="E13" s="36">
        <v>26258.11</v>
      </c>
      <c r="F13" s="36">
        <v>30950</v>
      </c>
      <c r="G13" s="36">
        <v>2325</v>
      </c>
    </row>
    <row r="14" spans="1:7" ht="15" x14ac:dyDescent="0.2">
      <c r="A14" s="35" t="s">
        <v>223</v>
      </c>
      <c r="B14" s="36">
        <v>67.164000000000001</v>
      </c>
      <c r="C14" s="36">
        <v>57.83466</v>
      </c>
      <c r="D14" s="36">
        <v>41.533250000000002</v>
      </c>
      <c r="E14" s="36">
        <v>2624.7150000000001</v>
      </c>
      <c r="F14" s="36">
        <v>11500</v>
      </c>
      <c r="G14" s="36">
        <v>8797</v>
      </c>
    </row>
    <row r="15" spans="1:7" ht="15" x14ac:dyDescent="0.2">
      <c r="A15" s="35" t="s">
        <v>224</v>
      </c>
      <c r="B15" s="36">
        <v>74.908000000000001</v>
      </c>
      <c r="C15" s="36">
        <v>92.136690000000002</v>
      </c>
      <c r="D15" s="36">
        <v>63.711979999999997</v>
      </c>
      <c r="E15" s="36">
        <v>3096.9569999999999</v>
      </c>
      <c r="F15" s="36">
        <v>329556</v>
      </c>
      <c r="G15" s="36">
        <v>77680</v>
      </c>
    </row>
    <row r="16" spans="1:7" ht="30" x14ac:dyDescent="0.2">
      <c r="A16" s="35" t="s">
        <v>225</v>
      </c>
      <c r="B16" s="36">
        <v>72.338999999999999</v>
      </c>
      <c r="C16" s="36">
        <v>93.673199999999994</v>
      </c>
      <c r="D16" s="36">
        <v>78.028840000000002</v>
      </c>
      <c r="E16" s="36">
        <v>3600.9</v>
      </c>
      <c r="F16" s="36">
        <v>300000</v>
      </c>
      <c r="G16" s="36">
        <v>80080</v>
      </c>
    </row>
    <row r="17" spans="1:7" ht="15" x14ac:dyDescent="0.2">
      <c r="A17" s="35" t="s">
        <v>226</v>
      </c>
      <c r="B17" s="36">
        <v>74.731999999999999</v>
      </c>
      <c r="C17" s="36">
        <v>92.897999999999996</v>
      </c>
      <c r="D17" s="36">
        <v>69.767169999999993</v>
      </c>
      <c r="E17" s="36">
        <v>14410.43</v>
      </c>
      <c r="F17" s="36">
        <v>329735</v>
      </c>
      <c r="G17" s="36">
        <v>23275</v>
      </c>
    </row>
    <row r="18" spans="1:7" ht="30" x14ac:dyDescent="0.2">
      <c r="A18" s="35" t="s">
        <v>227</v>
      </c>
      <c r="B18" s="36">
        <v>73.305000000000007</v>
      </c>
      <c r="C18" s="36">
        <v>86.745999999999995</v>
      </c>
      <c r="D18" s="36">
        <v>80.163560000000004</v>
      </c>
      <c r="E18" s="36">
        <v>24208.17</v>
      </c>
      <c r="F18" s="36">
        <v>2250000</v>
      </c>
      <c r="G18" s="36">
        <v>22760</v>
      </c>
    </row>
    <row r="19" spans="1:7" ht="15" x14ac:dyDescent="0.2">
      <c r="A19" s="35" t="s">
        <v>228</v>
      </c>
      <c r="B19" s="36">
        <v>81.153000000000006</v>
      </c>
      <c r="C19" s="36">
        <v>98.425120000000007</v>
      </c>
      <c r="D19" s="36">
        <v>90.867050000000006</v>
      </c>
      <c r="E19" s="36">
        <v>28291.88</v>
      </c>
      <c r="F19" s="36">
        <v>14900</v>
      </c>
      <c r="G19" s="36">
        <v>6458</v>
      </c>
    </row>
    <row r="20" spans="1:7" ht="15" x14ac:dyDescent="0.2">
      <c r="A20" s="35" t="s">
        <v>229</v>
      </c>
      <c r="B20" s="36">
        <v>72.23</v>
      </c>
      <c r="C20" s="36">
        <v>90.039580000000001</v>
      </c>
      <c r="D20" s="36">
        <v>74.261629999999997</v>
      </c>
      <c r="E20" s="36">
        <v>13359.24</v>
      </c>
      <c r="F20" s="36">
        <v>779450</v>
      </c>
      <c r="G20" s="36">
        <v>66500</v>
      </c>
    </row>
    <row r="21" spans="1:7" ht="15" x14ac:dyDescent="0.2">
      <c r="A21" s="35" t="s">
        <v>230</v>
      </c>
      <c r="B21" s="36">
        <v>75.965999999999994</v>
      </c>
      <c r="C21" s="36">
        <v>94.342110000000005</v>
      </c>
      <c r="D21" s="36">
        <v>60.971649999999997</v>
      </c>
      <c r="E21" s="36">
        <v>77177.679999999993</v>
      </c>
      <c r="F21" s="36">
        <v>11437</v>
      </c>
      <c r="G21" s="36">
        <v>580</v>
      </c>
    </row>
  </sheetData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052FD-64F3-492D-A12E-59C94F9E57F9}">
  <dimension ref="A1:J233"/>
  <sheetViews>
    <sheetView workbookViewId="0">
      <selection activeCell="F82" sqref="A70:F82"/>
    </sheetView>
  </sheetViews>
  <sheetFormatPr defaultRowHeight="14.25" x14ac:dyDescent="0.2"/>
  <sheetData>
    <row r="1" spans="1:7" x14ac:dyDescent="0.2">
      <c r="A1" s="37" t="s">
        <v>231</v>
      </c>
      <c r="B1" s="37" t="s">
        <v>232</v>
      </c>
      <c r="C1" s="37" t="s">
        <v>233</v>
      </c>
      <c r="E1" s="2" t="s">
        <v>234</v>
      </c>
    </row>
    <row r="2" spans="1:7" x14ac:dyDescent="0.2">
      <c r="A2" s="37">
        <v>0</v>
      </c>
      <c r="B2" s="37">
        <v>1</v>
      </c>
      <c r="C2" s="37">
        <v>27.6</v>
      </c>
      <c r="E2" t="s">
        <v>235</v>
      </c>
      <c r="F2" t="s">
        <v>236</v>
      </c>
      <c r="G2" s="37" t="s">
        <v>233</v>
      </c>
    </row>
    <row r="3" spans="1:7" x14ac:dyDescent="0.2">
      <c r="A3" s="37">
        <v>1.1000000000000001</v>
      </c>
      <c r="B3" s="37">
        <v>0.6</v>
      </c>
      <c r="C3" s="37">
        <v>38.4</v>
      </c>
      <c r="E3">
        <f>A2</f>
        <v>0</v>
      </c>
      <c r="F3">
        <f>B2</f>
        <v>1</v>
      </c>
      <c r="G3" s="37">
        <v>27.6</v>
      </c>
    </row>
    <row r="4" spans="1:7" x14ac:dyDescent="0.2">
      <c r="A4" s="37">
        <v>1.8</v>
      </c>
      <c r="B4" s="37">
        <v>0</v>
      </c>
      <c r="C4" s="37">
        <v>24</v>
      </c>
      <c r="E4">
        <f t="shared" ref="E4:F14" si="0">A3</f>
        <v>1.1000000000000001</v>
      </c>
      <c r="F4">
        <f t="shared" si="0"/>
        <v>0.6</v>
      </c>
      <c r="G4" s="37">
        <v>38.4</v>
      </c>
    </row>
    <row r="5" spans="1:7" x14ac:dyDescent="0.2">
      <c r="A5" s="37">
        <v>2.95</v>
      </c>
      <c r="B5" s="37">
        <v>0</v>
      </c>
      <c r="C5" s="37">
        <v>24.7</v>
      </c>
      <c r="E5">
        <f t="shared" si="0"/>
        <v>1.8</v>
      </c>
      <c r="F5">
        <f t="shared" si="0"/>
        <v>0</v>
      </c>
      <c r="G5" s="37">
        <v>24</v>
      </c>
    </row>
    <row r="6" spans="1:7" x14ac:dyDescent="0.2">
      <c r="A6" s="37">
        <v>3.4</v>
      </c>
      <c r="B6" s="37">
        <v>0.2</v>
      </c>
      <c r="C6" s="37">
        <v>32</v>
      </c>
      <c r="E6">
        <f t="shared" si="0"/>
        <v>2.95</v>
      </c>
      <c r="F6">
        <f t="shared" si="0"/>
        <v>0</v>
      </c>
      <c r="G6" s="37">
        <v>24.7</v>
      </c>
    </row>
    <row r="7" spans="1:7" x14ac:dyDescent="0.2">
      <c r="A7" s="37">
        <v>1.8</v>
      </c>
      <c r="B7" s="37">
        <v>1.7</v>
      </c>
      <c r="C7" s="37">
        <v>55.5</v>
      </c>
      <c r="E7">
        <f t="shared" si="0"/>
        <v>3.4</v>
      </c>
      <c r="F7">
        <f t="shared" si="0"/>
        <v>0.2</v>
      </c>
      <c r="G7" s="37">
        <v>32</v>
      </c>
    </row>
    <row r="8" spans="1:7" x14ac:dyDescent="0.2">
      <c r="A8" s="37">
        <v>0.7</v>
      </c>
      <c r="B8" s="37">
        <v>1.3</v>
      </c>
      <c r="C8" s="37">
        <v>40.4</v>
      </c>
      <c r="E8">
        <f t="shared" si="0"/>
        <v>1.8</v>
      </c>
      <c r="F8">
        <f t="shared" si="0"/>
        <v>1.7</v>
      </c>
      <c r="G8" s="37">
        <v>55.5</v>
      </c>
    </row>
    <row r="9" spans="1:7" x14ac:dyDescent="0.2">
      <c r="A9" s="37">
        <v>0.2</v>
      </c>
      <c r="B9" s="37">
        <v>2</v>
      </c>
      <c r="C9" s="37">
        <v>37.5</v>
      </c>
      <c r="E9">
        <f t="shared" si="0"/>
        <v>0.7</v>
      </c>
      <c r="F9">
        <f t="shared" si="0"/>
        <v>1.3</v>
      </c>
      <c r="G9" s="37">
        <v>40.4</v>
      </c>
    </row>
    <row r="10" spans="1:7" x14ac:dyDescent="0.2">
      <c r="A10" s="37">
        <v>0.85</v>
      </c>
      <c r="B10" s="37">
        <v>3.35</v>
      </c>
      <c r="C10" s="37">
        <v>31</v>
      </c>
      <c r="E10">
        <f t="shared" si="0"/>
        <v>0.2</v>
      </c>
      <c r="F10">
        <f t="shared" si="0"/>
        <v>2</v>
      </c>
      <c r="G10" s="37">
        <v>37.5</v>
      </c>
    </row>
    <row r="11" spans="1:7" x14ac:dyDescent="0.2">
      <c r="A11" s="37">
        <v>1.65</v>
      </c>
      <c r="B11" s="37">
        <v>3.15</v>
      </c>
      <c r="C11" s="37">
        <v>31.7</v>
      </c>
      <c r="E11">
        <f t="shared" si="0"/>
        <v>0.85</v>
      </c>
      <c r="F11">
        <f t="shared" si="0"/>
        <v>3.35</v>
      </c>
      <c r="G11" s="37">
        <v>31</v>
      </c>
    </row>
    <row r="12" spans="1:7" x14ac:dyDescent="0.2">
      <c r="A12" s="37">
        <v>2.65</v>
      </c>
      <c r="B12" s="37">
        <v>3.1</v>
      </c>
      <c r="C12" s="37">
        <v>53</v>
      </c>
      <c r="E12">
        <f t="shared" si="0"/>
        <v>1.65</v>
      </c>
      <c r="F12">
        <f t="shared" si="0"/>
        <v>3.15</v>
      </c>
      <c r="G12" s="37">
        <v>31.7</v>
      </c>
    </row>
    <row r="13" spans="1:7" x14ac:dyDescent="0.2">
      <c r="A13" s="37">
        <v>3.65</v>
      </c>
      <c r="B13" s="37">
        <v>2.5499999999999998</v>
      </c>
      <c r="C13" s="37">
        <v>44.9</v>
      </c>
      <c r="E13">
        <f t="shared" si="0"/>
        <v>2.65</v>
      </c>
      <c r="F13">
        <f t="shared" si="0"/>
        <v>3.1</v>
      </c>
      <c r="G13" s="37">
        <v>53</v>
      </c>
    </row>
    <row r="14" spans="1:7" x14ac:dyDescent="0.2">
      <c r="A14" s="38" t="s">
        <v>182</v>
      </c>
      <c r="B14" s="38">
        <v>0.05</v>
      </c>
      <c r="E14">
        <f t="shared" si="0"/>
        <v>3.65</v>
      </c>
      <c r="F14">
        <f t="shared" si="0"/>
        <v>2.5499999999999998</v>
      </c>
      <c r="G14" s="37">
        <v>44.9</v>
      </c>
    </row>
    <row r="15" spans="1:7" x14ac:dyDescent="0.2">
      <c r="A15" s="38" t="s">
        <v>247</v>
      </c>
      <c r="B15" s="38">
        <v>2</v>
      </c>
    </row>
    <row r="16" spans="1:7" x14ac:dyDescent="0.2">
      <c r="A16" s="38" t="s">
        <v>248</v>
      </c>
      <c r="B16" s="38">
        <v>9</v>
      </c>
    </row>
    <row r="17" spans="1:2" x14ac:dyDescent="0.2">
      <c r="A17" s="38" t="s">
        <v>249</v>
      </c>
      <c r="B17" s="38">
        <f>FINV(B14,B15,B16)</f>
        <v>4.2564947290937507</v>
      </c>
    </row>
    <row r="18" spans="1:2" x14ac:dyDescent="0.2">
      <c r="A18" s="38" t="s">
        <v>250</v>
      </c>
      <c r="B18" s="38">
        <v>1.554</v>
      </c>
    </row>
    <row r="19" spans="1:2" x14ac:dyDescent="0.2">
      <c r="A19" s="38" t="s">
        <v>251</v>
      </c>
      <c r="B19" s="38"/>
    </row>
    <row r="69" spans="1:6" x14ac:dyDescent="0.2">
      <c r="A69" s="2" t="s">
        <v>237</v>
      </c>
    </row>
    <row r="70" spans="1:6" x14ac:dyDescent="0.2">
      <c r="A70" t="s">
        <v>235</v>
      </c>
      <c r="B70" t="s">
        <v>236</v>
      </c>
      <c r="C70" t="s">
        <v>238</v>
      </c>
      <c r="D70" t="s">
        <v>239</v>
      </c>
      <c r="E70" t="s">
        <v>240</v>
      </c>
      <c r="F70" s="37" t="s">
        <v>233</v>
      </c>
    </row>
    <row r="71" spans="1:6" x14ac:dyDescent="0.2">
      <c r="A71">
        <f t="shared" ref="A71:A82" si="1">E3</f>
        <v>0</v>
      </c>
      <c r="B71">
        <f t="shared" ref="B71:B82" si="2">F3</f>
        <v>1</v>
      </c>
      <c r="C71">
        <f>A71^2</f>
        <v>0</v>
      </c>
      <c r="D71">
        <f>B71^2</f>
        <v>1</v>
      </c>
      <c r="E71">
        <f>A71*B71</f>
        <v>0</v>
      </c>
      <c r="F71" s="37">
        <v>27.6</v>
      </c>
    </row>
    <row r="72" spans="1:6" x14ac:dyDescent="0.2">
      <c r="A72">
        <f t="shared" si="1"/>
        <v>1.1000000000000001</v>
      </c>
      <c r="B72">
        <f t="shared" si="2"/>
        <v>0.6</v>
      </c>
      <c r="C72">
        <f t="shared" ref="C72:D82" si="3">A72^2</f>
        <v>1.2100000000000002</v>
      </c>
      <c r="D72">
        <f t="shared" si="3"/>
        <v>0.36</v>
      </c>
      <c r="E72">
        <f t="shared" ref="E72:E82" si="4">A72*B72</f>
        <v>0.66</v>
      </c>
      <c r="F72" s="37">
        <v>38.4</v>
      </c>
    </row>
    <row r="73" spans="1:6" x14ac:dyDescent="0.2">
      <c r="A73">
        <f t="shared" si="1"/>
        <v>1.8</v>
      </c>
      <c r="B73">
        <f t="shared" si="2"/>
        <v>0</v>
      </c>
      <c r="C73">
        <f t="shared" si="3"/>
        <v>3.24</v>
      </c>
      <c r="D73">
        <f t="shared" si="3"/>
        <v>0</v>
      </c>
      <c r="E73">
        <f t="shared" si="4"/>
        <v>0</v>
      </c>
      <c r="F73" s="37">
        <v>24</v>
      </c>
    </row>
    <row r="74" spans="1:6" x14ac:dyDescent="0.2">
      <c r="A74">
        <f t="shared" si="1"/>
        <v>2.95</v>
      </c>
      <c r="B74">
        <f t="shared" si="2"/>
        <v>0</v>
      </c>
      <c r="C74">
        <f t="shared" si="3"/>
        <v>8.7025000000000006</v>
      </c>
      <c r="D74">
        <f t="shared" si="3"/>
        <v>0</v>
      </c>
      <c r="E74">
        <f t="shared" si="4"/>
        <v>0</v>
      </c>
      <c r="F74" s="37">
        <v>24.7</v>
      </c>
    </row>
    <row r="75" spans="1:6" x14ac:dyDescent="0.2">
      <c r="A75">
        <f t="shared" si="1"/>
        <v>3.4</v>
      </c>
      <c r="B75">
        <f t="shared" si="2"/>
        <v>0.2</v>
      </c>
      <c r="C75">
        <f t="shared" si="3"/>
        <v>11.559999999999999</v>
      </c>
      <c r="D75">
        <f t="shared" si="3"/>
        <v>4.0000000000000008E-2</v>
      </c>
      <c r="E75">
        <f t="shared" si="4"/>
        <v>0.68</v>
      </c>
      <c r="F75" s="37">
        <v>32</v>
      </c>
    </row>
    <row r="76" spans="1:6" x14ac:dyDescent="0.2">
      <c r="A76">
        <f t="shared" si="1"/>
        <v>1.8</v>
      </c>
      <c r="B76">
        <f t="shared" si="2"/>
        <v>1.7</v>
      </c>
      <c r="C76">
        <f t="shared" si="3"/>
        <v>3.24</v>
      </c>
      <c r="D76">
        <f t="shared" si="3"/>
        <v>2.8899999999999997</v>
      </c>
      <c r="E76">
        <f t="shared" si="4"/>
        <v>3.06</v>
      </c>
      <c r="F76" s="37">
        <v>55.5</v>
      </c>
    </row>
    <row r="77" spans="1:6" x14ac:dyDescent="0.2">
      <c r="A77">
        <f t="shared" si="1"/>
        <v>0.7</v>
      </c>
      <c r="B77">
        <f t="shared" si="2"/>
        <v>1.3</v>
      </c>
      <c r="C77">
        <f t="shared" si="3"/>
        <v>0.48999999999999994</v>
      </c>
      <c r="D77">
        <f t="shared" si="3"/>
        <v>1.6900000000000002</v>
      </c>
      <c r="E77">
        <f t="shared" si="4"/>
        <v>0.90999999999999992</v>
      </c>
      <c r="F77" s="37">
        <v>40.4</v>
      </c>
    </row>
    <row r="78" spans="1:6" x14ac:dyDescent="0.2">
      <c r="A78">
        <f t="shared" si="1"/>
        <v>0.2</v>
      </c>
      <c r="B78">
        <f t="shared" si="2"/>
        <v>2</v>
      </c>
      <c r="C78">
        <f t="shared" si="3"/>
        <v>4.0000000000000008E-2</v>
      </c>
      <c r="D78">
        <f t="shared" si="3"/>
        <v>4</v>
      </c>
      <c r="E78">
        <f t="shared" si="4"/>
        <v>0.4</v>
      </c>
      <c r="F78" s="37">
        <v>37.5</v>
      </c>
    </row>
    <row r="79" spans="1:6" x14ac:dyDescent="0.2">
      <c r="A79">
        <f t="shared" si="1"/>
        <v>0.85</v>
      </c>
      <c r="B79">
        <f t="shared" si="2"/>
        <v>3.35</v>
      </c>
      <c r="C79">
        <f t="shared" si="3"/>
        <v>0.72249999999999992</v>
      </c>
      <c r="D79">
        <f t="shared" si="3"/>
        <v>11.2225</v>
      </c>
      <c r="E79">
        <f t="shared" si="4"/>
        <v>2.8475000000000001</v>
      </c>
      <c r="F79" s="37">
        <v>31</v>
      </c>
    </row>
    <row r="80" spans="1:6" x14ac:dyDescent="0.2">
      <c r="A80">
        <f t="shared" si="1"/>
        <v>1.65</v>
      </c>
      <c r="B80">
        <f t="shared" si="2"/>
        <v>3.15</v>
      </c>
      <c r="C80">
        <f t="shared" si="3"/>
        <v>2.7224999999999997</v>
      </c>
      <c r="D80">
        <f t="shared" si="3"/>
        <v>9.9224999999999994</v>
      </c>
      <c r="E80">
        <f t="shared" si="4"/>
        <v>5.1974999999999998</v>
      </c>
      <c r="F80" s="37">
        <v>31.7</v>
      </c>
    </row>
    <row r="81" spans="1:6" x14ac:dyDescent="0.2">
      <c r="A81">
        <f t="shared" si="1"/>
        <v>2.65</v>
      </c>
      <c r="B81">
        <f t="shared" si="2"/>
        <v>3.1</v>
      </c>
      <c r="C81">
        <f t="shared" si="3"/>
        <v>7.0225</v>
      </c>
      <c r="D81">
        <f>B81^2</f>
        <v>9.6100000000000012</v>
      </c>
      <c r="E81">
        <f t="shared" si="4"/>
        <v>8.2149999999999999</v>
      </c>
      <c r="F81" s="37">
        <v>53</v>
      </c>
    </row>
    <row r="82" spans="1:6" x14ac:dyDescent="0.2">
      <c r="A82">
        <f t="shared" si="1"/>
        <v>3.65</v>
      </c>
      <c r="B82">
        <f t="shared" si="2"/>
        <v>2.5499999999999998</v>
      </c>
      <c r="C82">
        <f t="shared" si="3"/>
        <v>13.3225</v>
      </c>
      <c r="D82">
        <f t="shared" si="3"/>
        <v>6.5024999999999995</v>
      </c>
      <c r="E82">
        <f t="shared" si="4"/>
        <v>9.3074999999999992</v>
      </c>
      <c r="F82" s="37">
        <v>44.9</v>
      </c>
    </row>
    <row r="83" spans="1:6" x14ac:dyDescent="0.2">
      <c r="A83" t="s">
        <v>104</v>
      </c>
      <c r="B83">
        <v>0.05</v>
      </c>
    </row>
    <row r="84" spans="1:6" x14ac:dyDescent="0.2">
      <c r="A84" t="s">
        <v>106</v>
      </c>
      <c r="B84">
        <v>5</v>
      </c>
    </row>
    <row r="85" spans="1:6" x14ac:dyDescent="0.2">
      <c r="A85" t="s">
        <v>107</v>
      </c>
      <c r="B85">
        <v>6</v>
      </c>
    </row>
    <row r="86" spans="1:6" x14ac:dyDescent="0.2">
      <c r="A86" t="s">
        <v>105</v>
      </c>
      <c r="B86">
        <f>FINV(B83,B84,B85)</f>
        <v>4.3873741874061292</v>
      </c>
    </row>
    <row r="87" spans="1:6" x14ac:dyDescent="0.2">
      <c r="A87" t="s">
        <v>101</v>
      </c>
      <c r="B87">
        <v>6.2359999999999998</v>
      </c>
    </row>
    <row r="88" spans="1:6" x14ac:dyDescent="0.2">
      <c r="A88" t="s">
        <v>252</v>
      </c>
    </row>
    <row r="136" spans="1:10" x14ac:dyDescent="0.2">
      <c r="A136" s="2" t="s">
        <v>241</v>
      </c>
    </row>
    <row r="137" spans="1:10" x14ac:dyDescent="0.2">
      <c r="A137" t="s">
        <v>235</v>
      </c>
      <c r="B137" t="s">
        <v>236</v>
      </c>
      <c r="C137" t="s">
        <v>238</v>
      </c>
      <c r="D137" t="s">
        <v>239</v>
      </c>
      <c r="E137" t="s">
        <v>240</v>
      </c>
      <c r="F137" t="s">
        <v>242</v>
      </c>
      <c r="G137" t="s">
        <v>243</v>
      </c>
      <c r="H137" t="s">
        <v>244</v>
      </c>
      <c r="I137" t="s">
        <v>245</v>
      </c>
      <c r="J137" s="37" t="s">
        <v>233</v>
      </c>
    </row>
    <row r="138" spans="1:10" x14ac:dyDescent="0.2">
      <c r="A138">
        <f t="shared" ref="A138:E149" si="5">A71</f>
        <v>0</v>
      </c>
      <c r="B138">
        <f t="shared" si="5"/>
        <v>1</v>
      </c>
      <c r="C138">
        <f t="shared" si="5"/>
        <v>0</v>
      </c>
      <c r="D138">
        <f t="shared" si="5"/>
        <v>1</v>
      </c>
      <c r="E138">
        <f t="shared" si="5"/>
        <v>0</v>
      </c>
      <c r="F138">
        <f>C138*B138</f>
        <v>0</v>
      </c>
      <c r="G138">
        <f>A138*D138</f>
        <v>0</v>
      </c>
      <c r="H138">
        <f>A138^3</f>
        <v>0</v>
      </c>
      <c r="I138">
        <f>B138^3</f>
        <v>1</v>
      </c>
      <c r="J138" s="37">
        <v>27.6</v>
      </c>
    </row>
    <row r="139" spans="1:10" x14ac:dyDescent="0.2">
      <c r="A139">
        <f t="shared" si="5"/>
        <v>1.1000000000000001</v>
      </c>
      <c r="B139">
        <f t="shared" si="5"/>
        <v>0.6</v>
      </c>
      <c r="C139">
        <f t="shared" si="5"/>
        <v>1.2100000000000002</v>
      </c>
      <c r="D139">
        <f t="shared" si="5"/>
        <v>0.36</v>
      </c>
      <c r="E139">
        <f t="shared" si="5"/>
        <v>0.66</v>
      </c>
      <c r="F139">
        <f t="shared" ref="F139:F149" si="6">C139*B139</f>
        <v>0.72600000000000009</v>
      </c>
      <c r="G139">
        <f t="shared" ref="G139:G149" si="7">A139*D139</f>
        <v>0.39600000000000002</v>
      </c>
      <c r="H139">
        <f t="shared" ref="H139:I149" si="8">A139^3</f>
        <v>1.3310000000000004</v>
      </c>
      <c r="I139">
        <f t="shared" si="8"/>
        <v>0.216</v>
      </c>
      <c r="J139" s="37">
        <v>38.4</v>
      </c>
    </row>
    <row r="140" spans="1:10" x14ac:dyDescent="0.2">
      <c r="A140">
        <f t="shared" si="5"/>
        <v>1.8</v>
      </c>
      <c r="B140">
        <f t="shared" si="5"/>
        <v>0</v>
      </c>
      <c r="C140">
        <f t="shared" si="5"/>
        <v>3.24</v>
      </c>
      <c r="D140">
        <f t="shared" si="5"/>
        <v>0</v>
      </c>
      <c r="E140">
        <f t="shared" si="5"/>
        <v>0</v>
      </c>
      <c r="F140">
        <f t="shared" si="6"/>
        <v>0</v>
      </c>
      <c r="G140">
        <f t="shared" si="7"/>
        <v>0</v>
      </c>
      <c r="H140">
        <f t="shared" si="8"/>
        <v>5.8320000000000007</v>
      </c>
      <c r="I140">
        <f t="shared" si="8"/>
        <v>0</v>
      </c>
      <c r="J140" s="37">
        <v>24</v>
      </c>
    </row>
    <row r="141" spans="1:10" x14ac:dyDescent="0.2">
      <c r="A141">
        <f t="shared" si="5"/>
        <v>2.95</v>
      </c>
      <c r="B141">
        <f t="shared" si="5"/>
        <v>0</v>
      </c>
      <c r="C141">
        <f t="shared" si="5"/>
        <v>8.7025000000000006</v>
      </c>
      <c r="D141">
        <f t="shared" si="5"/>
        <v>0</v>
      </c>
      <c r="E141">
        <f t="shared" si="5"/>
        <v>0</v>
      </c>
      <c r="F141">
        <f t="shared" si="6"/>
        <v>0</v>
      </c>
      <c r="G141">
        <f t="shared" si="7"/>
        <v>0</v>
      </c>
      <c r="H141">
        <f t="shared" si="8"/>
        <v>25.672375000000002</v>
      </c>
      <c r="I141">
        <f t="shared" si="8"/>
        <v>0</v>
      </c>
      <c r="J141" s="37">
        <v>24.7</v>
      </c>
    </row>
    <row r="142" spans="1:10" x14ac:dyDescent="0.2">
      <c r="A142">
        <f t="shared" si="5"/>
        <v>3.4</v>
      </c>
      <c r="B142">
        <f t="shared" si="5"/>
        <v>0.2</v>
      </c>
      <c r="C142">
        <f t="shared" si="5"/>
        <v>11.559999999999999</v>
      </c>
      <c r="D142">
        <f t="shared" si="5"/>
        <v>4.0000000000000008E-2</v>
      </c>
      <c r="E142">
        <f t="shared" si="5"/>
        <v>0.68</v>
      </c>
      <c r="F142">
        <f t="shared" si="6"/>
        <v>2.3119999999999998</v>
      </c>
      <c r="G142">
        <f t="shared" si="7"/>
        <v>0.13600000000000001</v>
      </c>
      <c r="H142">
        <f t="shared" si="8"/>
        <v>39.303999999999995</v>
      </c>
      <c r="I142">
        <f t="shared" si="8"/>
        <v>8.0000000000000019E-3</v>
      </c>
      <c r="J142" s="37">
        <v>32</v>
      </c>
    </row>
    <row r="143" spans="1:10" x14ac:dyDescent="0.2">
      <c r="A143">
        <f t="shared" si="5"/>
        <v>1.8</v>
      </c>
      <c r="B143">
        <f t="shared" si="5"/>
        <v>1.7</v>
      </c>
      <c r="C143">
        <f t="shared" si="5"/>
        <v>3.24</v>
      </c>
      <c r="D143">
        <f t="shared" si="5"/>
        <v>2.8899999999999997</v>
      </c>
      <c r="E143">
        <f t="shared" si="5"/>
        <v>3.06</v>
      </c>
      <c r="F143">
        <f t="shared" si="6"/>
        <v>5.508</v>
      </c>
      <c r="G143">
        <f t="shared" si="7"/>
        <v>5.202</v>
      </c>
      <c r="H143">
        <f t="shared" si="8"/>
        <v>5.8320000000000007</v>
      </c>
      <c r="I143">
        <f t="shared" si="8"/>
        <v>4.9129999999999994</v>
      </c>
      <c r="J143" s="37">
        <v>55.5</v>
      </c>
    </row>
    <row r="144" spans="1:10" x14ac:dyDescent="0.2">
      <c r="A144">
        <f t="shared" si="5"/>
        <v>0.7</v>
      </c>
      <c r="B144">
        <f t="shared" si="5"/>
        <v>1.3</v>
      </c>
      <c r="C144">
        <f t="shared" si="5"/>
        <v>0.48999999999999994</v>
      </c>
      <c r="D144">
        <f t="shared" si="5"/>
        <v>1.6900000000000002</v>
      </c>
      <c r="E144">
        <f t="shared" si="5"/>
        <v>0.90999999999999992</v>
      </c>
      <c r="F144">
        <f t="shared" si="6"/>
        <v>0.6369999999999999</v>
      </c>
      <c r="G144">
        <f t="shared" si="7"/>
        <v>1.1830000000000001</v>
      </c>
      <c r="H144">
        <f t="shared" si="8"/>
        <v>0.34299999999999992</v>
      </c>
      <c r="I144">
        <f t="shared" si="8"/>
        <v>2.1970000000000005</v>
      </c>
      <c r="J144" s="37">
        <v>40.4</v>
      </c>
    </row>
    <row r="145" spans="1:10" x14ac:dyDescent="0.2">
      <c r="A145">
        <f t="shared" si="5"/>
        <v>0.2</v>
      </c>
      <c r="B145">
        <f t="shared" si="5"/>
        <v>2</v>
      </c>
      <c r="C145">
        <f t="shared" si="5"/>
        <v>4.0000000000000008E-2</v>
      </c>
      <c r="D145">
        <f t="shared" si="5"/>
        <v>4</v>
      </c>
      <c r="E145">
        <f t="shared" si="5"/>
        <v>0.4</v>
      </c>
      <c r="F145">
        <f t="shared" si="6"/>
        <v>8.0000000000000016E-2</v>
      </c>
      <c r="G145">
        <f t="shared" si="7"/>
        <v>0.8</v>
      </c>
      <c r="H145">
        <f t="shared" si="8"/>
        <v>8.0000000000000019E-3</v>
      </c>
      <c r="I145">
        <f t="shared" si="8"/>
        <v>8</v>
      </c>
      <c r="J145" s="37">
        <v>37.5</v>
      </c>
    </row>
    <row r="146" spans="1:10" x14ac:dyDescent="0.2">
      <c r="A146">
        <f t="shared" si="5"/>
        <v>0.85</v>
      </c>
      <c r="B146">
        <f t="shared" si="5"/>
        <v>3.35</v>
      </c>
      <c r="C146">
        <f t="shared" si="5"/>
        <v>0.72249999999999992</v>
      </c>
      <c r="D146">
        <f t="shared" si="5"/>
        <v>11.2225</v>
      </c>
      <c r="E146">
        <f t="shared" si="5"/>
        <v>2.8475000000000001</v>
      </c>
      <c r="F146">
        <f t="shared" si="6"/>
        <v>2.4203749999999999</v>
      </c>
      <c r="G146">
        <f t="shared" si="7"/>
        <v>9.5391250000000003</v>
      </c>
      <c r="H146">
        <f t="shared" si="8"/>
        <v>0.61412499999999992</v>
      </c>
      <c r="I146">
        <f t="shared" si="8"/>
        <v>37.595375000000004</v>
      </c>
      <c r="J146" s="37">
        <v>31</v>
      </c>
    </row>
    <row r="147" spans="1:10" x14ac:dyDescent="0.2">
      <c r="A147">
        <f t="shared" si="5"/>
        <v>1.65</v>
      </c>
      <c r="B147">
        <f t="shared" si="5"/>
        <v>3.15</v>
      </c>
      <c r="C147">
        <f t="shared" si="5"/>
        <v>2.7224999999999997</v>
      </c>
      <c r="D147">
        <f t="shared" si="5"/>
        <v>9.9224999999999994</v>
      </c>
      <c r="E147">
        <f t="shared" si="5"/>
        <v>5.1974999999999998</v>
      </c>
      <c r="F147">
        <f t="shared" si="6"/>
        <v>8.5758749999999981</v>
      </c>
      <c r="G147">
        <f t="shared" si="7"/>
        <v>16.372124999999997</v>
      </c>
      <c r="H147">
        <f t="shared" si="8"/>
        <v>4.4921249999999997</v>
      </c>
      <c r="I147">
        <f t="shared" si="8"/>
        <v>31.255874999999996</v>
      </c>
      <c r="J147" s="37">
        <v>31.7</v>
      </c>
    </row>
    <row r="148" spans="1:10" x14ac:dyDescent="0.2">
      <c r="A148">
        <f t="shared" si="5"/>
        <v>2.65</v>
      </c>
      <c r="B148">
        <f t="shared" si="5"/>
        <v>3.1</v>
      </c>
      <c r="C148">
        <f t="shared" si="5"/>
        <v>7.0225</v>
      </c>
      <c r="D148">
        <f t="shared" si="5"/>
        <v>9.6100000000000012</v>
      </c>
      <c r="E148">
        <f t="shared" si="5"/>
        <v>8.2149999999999999</v>
      </c>
      <c r="F148">
        <f t="shared" si="6"/>
        <v>21.769750000000002</v>
      </c>
      <c r="G148">
        <f t="shared" si="7"/>
        <v>25.466500000000003</v>
      </c>
      <c r="H148">
        <f t="shared" si="8"/>
        <v>18.609624999999998</v>
      </c>
      <c r="I148">
        <f t="shared" si="8"/>
        <v>29.791000000000004</v>
      </c>
      <c r="J148" s="37">
        <v>53</v>
      </c>
    </row>
    <row r="149" spans="1:10" x14ac:dyDescent="0.2">
      <c r="A149">
        <f t="shared" si="5"/>
        <v>3.65</v>
      </c>
      <c r="B149">
        <f t="shared" si="5"/>
        <v>2.5499999999999998</v>
      </c>
      <c r="C149">
        <f t="shared" si="5"/>
        <v>13.3225</v>
      </c>
      <c r="D149">
        <f t="shared" si="5"/>
        <v>6.5024999999999995</v>
      </c>
      <c r="E149">
        <f t="shared" si="5"/>
        <v>9.3074999999999992</v>
      </c>
      <c r="F149">
        <f t="shared" si="6"/>
        <v>33.972375</v>
      </c>
      <c r="G149">
        <f t="shared" si="7"/>
        <v>23.734124999999999</v>
      </c>
      <c r="H149">
        <f t="shared" si="8"/>
        <v>48.627124999999999</v>
      </c>
      <c r="I149">
        <f t="shared" si="8"/>
        <v>16.581374999999998</v>
      </c>
      <c r="J149" s="37">
        <v>44.9</v>
      </c>
    </row>
    <row r="150" spans="1:10" x14ac:dyDescent="0.2">
      <c r="A150" t="s">
        <v>104</v>
      </c>
      <c r="B150">
        <v>0.05</v>
      </c>
    </row>
    <row r="151" spans="1:10" x14ac:dyDescent="0.2">
      <c r="A151" t="s">
        <v>106</v>
      </c>
      <c r="B151">
        <v>9</v>
      </c>
    </row>
    <row r="152" spans="1:10" x14ac:dyDescent="0.2">
      <c r="A152" t="s">
        <v>107</v>
      </c>
      <c r="B152">
        <v>2</v>
      </c>
    </row>
    <row r="153" spans="1:10" x14ac:dyDescent="0.2">
      <c r="A153" t="s">
        <v>105</v>
      </c>
      <c r="B153">
        <f>FINV(B150,B151,B152)</f>
        <v>19.384825718171481</v>
      </c>
    </row>
    <row r="154" spans="1:10" x14ac:dyDescent="0.2">
      <c r="A154" t="s">
        <v>101</v>
      </c>
      <c r="B154">
        <v>6.0540000000000003</v>
      </c>
    </row>
    <row r="155" spans="1:10" x14ac:dyDescent="0.2">
      <c r="A155" t="s">
        <v>246</v>
      </c>
    </row>
    <row r="227" spans="1:5" x14ac:dyDescent="0.2">
      <c r="A227" s="2" t="s">
        <v>253</v>
      </c>
    </row>
    <row r="228" spans="1:5" x14ac:dyDescent="0.2">
      <c r="A228" t="s">
        <v>254</v>
      </c>
      <c r="B228" t="s">
        <v>194</v>
      </c>
      <c r="C228" t="s">
        <v>103</v>
      </c>
      <c r="D228" t="s">
        <v>255</v>
      </c>
      <c r="E228" t="s">
        <v>256</v>
      </c>
    </row>
    <row r="229" spans="1:5" x14ac:dyDescent="0.2">
      <c r="A229" t="s">
        <v>257</v>
      </c>
      <c r="B229">
        <v>1129.789</v>
      </c>
      <c r="C229">
        <v>9</v>
      </c>
      <c r="D229">
        <v>125.532</v>
      </c>
      <c r="E229">
        <v>6.0540000000000003</v>
      </c>
    </row>
    <row r="230" spans="1:5" x14ac:dyDescent="0.2">
      <c r="A230" t="s">
        <v>258</v>
      </c>
      <c r="B230">
        <v>41.473999999999997</v>
      </c>
      <c r="C230">
        <v>2</v>
      </c>
      <c r="D230">
        <v>20.736999999999998</v>
      </c>
    </row>
    <row r="231" spans="1:5" x14ac:dyDescent="0.2">
      <c r="A231" t="s">
        <v>259</v>
      </c>
      <c r="B231">
        <v>982.24400000000003</v>
      </c>
      <c r="C231">
        <v>5</v>
      </c>
      <c r="D231">
        <v>196.44900000000001</v>
      </c>
      <c r="E231">
        <v>6.2359999999999998</v>
      </c>
    </row>
    <row r="232" spans="1:5" x14ac:dyDescent="0.2">
      <c r="A232" t="s">
        <v>260</v>
      </c>
      <c r="B232">
        <v>189.018</v>
      </c>
      <c r="C232">
        <v>6</v>
      </c>
      <c r="D232">
        <v>31.503</v>
      </c>
    </row>
    <row r="233" spans="1:5" ht="42.75" x14ac:dyDescent="0.2">
      <c r="A233" s="39" t="s">
        <v>261</v>
      </c>
      <c r="B233">
        <f>B229-B231</f>
        <v>147.54499999999996</v>
      </c>
      <c r="C233">
        <f t="shared" ref="C233:D233" si="9">C229-C231</f>
        <v>4</v>
      </c>
      <c r="D233">
        <f>B233/C233</f>
        <v>36.88624999999999</v>
      </c>
      <c r="E233">
        <f>D233/D230</f>
        <v>1.7787650094034813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103EF-FF16-426F-8905-F2B6E1AA4CD5}">
  <dimension ref="A1:Y65"/>
  <sheetViews>
    <sheetView topLeftCell="B60" zoomScaleNormal="100" workbookViewId="0">
      <selection activeCell="L63" sqref="L63"/>
    </sheetView>
  </sheetViews>
  <sheetFormatPr defaultRowHeight="14.25" x14ac:dyDescent="0.2"/>
  <cols>
    <col min="12" max="12" width="15.125" bestFit="1" customWidth="1"/>
    <col min="13" max="13" width="12.75" bestFit="1" customWidth="1"/>
  </cols>
  <sheetData>
    <row r="1" spans="1:25" x14ac:dyDescent="0.2">
      <c r="A1" t="s">
        <v>293</v>
      </c>
      <c r="B1" t="s">
        <v>92</v>
      </c>
      <c r="C1" t="s">
        <v>294</v>
      </c>
      <c r="D1" t="s">
        <v>295</v>
      </c>
      <c r="E1" t="s">
        <v>296</v>
      </c>
      <c r="F1" t="s">
        <v>297</v>
      </c>
      <c r="G1" t="s">
        <v>298</v>
      </c>
      <c r="H1" t="s">
        <v>299</v>
      </c>
      <c r="I1" t="s">
        <v>300</v>
      </c>
      <c r="J1" t="s">
        <v>301</v>
      </c>
      <c r="K1" t="s">
        <v>302</v>
      </c>
      <c r="L1" t="s">
        <v>317</v>
      </c>
      <c r="M1" t="s">
        <v>92</v>
      </c>
      <c r="N1" t="s">
        <v>294</v>
      </c>
      <c r="O1" t="s">
        <v>295</v>
      </c>
      <c r="P1" t="s">
        <v>296</v>
      </c>
      <c r="Q1" t="s">
        <v>297</v>
      </c>
      <c r="R1" t="s">
        <v>298</v>
      </c>
      <c r="S1" t="s">
        <v>299</v>
      </c>
      <c r="T1" t="s">
        <v>300</v>
      </c>
      <c r="U1" t="s">
        <v>301</v>
      </c>
      <c r="V1" t="s">
        <v>302</v>
      </c>
      <c r="W1" t="s">
        <v>314</v>
      </c>
      <c r="X1" t="s">
        <v>315</v>
      </c>
      <c r="Y1" t="s">
        <v>316</v>
      </c>
    </row>
    <row r="2" spans="1:25" x14ac:dyDescent="0.2">
      <c r="A2" t="s">
        <v>262</v>
      </c>
      <c r="B2">
        <v>4283.3100000000004</v>
      </c>
      <c r="C2">
        <v>1259.5</v>
      </c>
      <c r="D2">
        <v>2528.21</v>
      </c>
      <c r="E2">
        <v>29674</v>
      </c>
      <c r="F2">
        <v>12200.4</v>
      </c>
      <c r="G2">
        <v>4616.9399999999996</v>
      </c>
      <c r="H2">
        <v>100.95</v>
      </c>
      <c r="I2">
        <v>99.25</v>
      </c>
      <c r="J2">
        <v>537.70000000000005</v>
      </c>
      <c r="K2">
        <v>232.1</v>
      </c>
      <c r="M2">
        <f>(MAX(B$2:B$32)-B2)/(MAX(B$2:B$32)-MIN(B$2:B$32))</f>
        <v>0.74274762571455999</v>
      </c>
      <c r="N2">
        <f t="shared" ref="N2:V17" si="0">(MAX(C$2:C$32)-C2)/(MAX(C$2:C$32)-MIN(C$2:C$32))</f>
        <v>0.82393947963800895</v>
      </c>
      <c r="O2">
        <f t="shared" si="0"/>
        <v>0.65250298901628312</v>
      </c>
      <c r="P2">
        <f t="shared" si="0"/>
        <v>6.3045535808181716E-2</v>
      </c>
      <c r="Q2">
        <f t="shared" si="0"/>
        <v>5.8694206225023436E-2</v>
      </c>
      <c r="R2">
        <f t="shared" si="0"/>
        <v>0.34017021327329716</v>
      </c>
      <c r="S2">
        <f t="shared" si="0"/>
        <v>1</v>
      </c>
      <c r="T2">
        <f t="shared" si="0"/>
        <v>1</v>
      </c>
      <c r="U2">
        <f t="shared" si="0"/>
        <v>0.95405439188585917</v>
      </c>
      <c r="V2">
        <f t="shared" si="0"/>
        <v>0.84117819032305219</v>
      </c>
      <c r="W2">
        <f>M2*$J$35+N2*$J$36+O2*$J$37+P2*$J$38+Q2*$J$39+R2*$J$40+S2*$J$41+T2*$J$42+U2*$J$43+V2*$J$44</f>
        <v>1.0830041993224475</v>
      </c>
      <c r="X2">
        <f>M2*$K$35+N2*$K$36+O2*$K$37+P2*$K$38+Q2*$K$39+R2*$K$40+S2*$K$41+T2*$K$42+U2*$K$43+V2*$K$44</f>
        <v>1.7234482494419383</v>
      </c>
      <c r="Y2">
        <f>0.4656*W2+0.33961*X2</f>
        <v>1.0895470151975082</v>
      </c>
    </row>
    <row r="3" spans="1:25" x14ac:dyDescent="0.2">
      <c r="A3" t="s">
        <v>263</v>
      </c>
      <c r="B3">
        <v>2931.88</v>
      </c>
      <c r="C3">
        <v>1395.6</v>
      </c>
      <c r="D3">
        <v>1245.6600000000001</v>
      </c>
      <c r="E3">
        <v>21754</v>
      </c>
      <c r="F3">
        <v>8802.44</v>
      </c>
      <c r="G3">
        <v>2642.11</v>
      </c>
      <c r="H3">
        <v>102.25</v>
      </c>
      <c r="I3">
        <v>100.83</v>
      </c>
      <c r="J3">
        <v>11223.3</v>
      </c>
      <c r="K3">
        <v>108.8</v>
      </c>
      <c r="M3">
        <f t="shared" ref="M3:M32" si="1">(MAX(B$2:B$32)-B3)/(MAX(B$2:B$32)-MIN(B$2:B$32))</f>
        <v>0.82813029128274596</v>
      </c>
      <c r="N3">
        <f t="shared" si="0"/>
        <v>0.80469457013574652</v>
      </c>
      <c r="O3">
        <f t="shared" si="0"/>
        <v>0.84088445505900189</v>
      </c>
      <c r="P3">
        <f t="shared" si="0"/>
        <v>0.47949311178883164</v>
      </c>
      <c r="Q3">
        <f t="shared" si="0"/>
        <v>0.52183092448520063</v>
      </c>
      <c r="R3">
        <f t="shared" si="0"/>
        <v>0.73258473405914748</v>
      </c>
      <c r="S3">
        <f t="shared" si="0"/>
        <v>0.74358974358974383</v>
      </c>
      <c r="T3">
        <f t="shared" si="0"/>
        <v>0.75351014040561637</v>
      </c>
      <c r="U3">
        <f t="shared" si="0"/>
        <v>0</v>
      </c>
      <c r="V3">
        <f t="shared" si="0"/>
        <v>0.93129659406519516</v>
      </c>
      <c r="W3">
        <f>M3*$J$35+N3*$J$36+O3*$J$37+P3*$J$38+Q3*$J$39+R3*$J$40+S3*$J$41+T3*$J$42+U3*$J$43+V3*$J$44</f>
        <v>1.4614952054670352</v>
      </c>
      <c r="X3">
        <f>M3*$K$35+N3*$K$36+O3*$K$37+P3*$K$38+Q3*$K$39+R3*$K$40+S3*$K$41+T3*$K$42+U3*$K$43+V3*$K$44</f>
        <v>1.3964033229509276</v>
      </c>
      <c r="Y3">
        <f t="shared" ref="Y3:Y32" si="2">0.4656*W3+0.33961*X3</f>
        <v>1.1547047001728161</v>
      </c>
    </row>
    <row r="4" spans="1:25" x14ac:dyDescent="0.2">
      <c r="A4" t="s">
        <v>264</v>
      </c>
      <c r="B4">
        <v>8768.7900000000009</v>
      </c>
      <c r="C4">
        <v>2459.1999999999998</v>
      </c>
      <c r="D4">
        <v>3218.76</v>
      </c>
      <c r="E4">
        <v>12925</v>
      </c>
      <c r="F4">
        <v>5819.18</v>
      </c>
      <c r="G4">
        <v>1834.92</v>
      </c>
      <c r="H4">
        <v>104.25</v>
      </c>
      <c r="I4">
        <v>103.17</v>
      </c>
      <c r="J4">
        <v>4029.2</v>
      </c>
      <c r="K4">
        <v>945.4</v>
      </c>
      <c r="M4">
        <f t="shared" si="1"/>
        <v>0.45935726235664565</v>
      </c>
      <c r="N4">
        <f t="shared" si="0"/>
        <v>0.65429864253393666</v>
      </c>
      <c r="O4">
        <f t="shared" si="0"/>
        <v>0.55107472393827495</v>
      </c>
      <c r="P4">
        <f t="shared" si="0"/>
        <v>0.94373751183089705</v>
      </c>
      <c r="Q4">
        <f t="shared" si="0"/>
        <v>0.92844467100277495</v>
      </c>
      <c r="R4">
        <f t="shared" si="0"/>
        <v>0.89297984504750116</v>
      </c>
      <c r="S4">
        <f t="shared" si="0"/>
        <v>0.34911242603550263</v>
      </c>
      <c r="T4">
        <f t="shared" si="0"/>
        <v>0.38845553822152828</v>
      </c>
      <c r="U4">
        <f t="shared" si="0"/>
        <v>0.64231888716272922</v>
      </c>
      <c r="V4">
        <f t="shared" si="0"/>
        <v>0.31983628124543195</v>
      </c>
      <c r="W4">
        <f>M4*$J$35+N4*$J$36+O4*$J$37+P4*$J$38+Q4*$J$39+R4*$J$40+S4*$J$41+T4*$J$42+U4*$J$43+V4*$J$44</f>
        <v>1.7327755981643012</v>
      </c>
      <c r="X4">
        <f>M4*$K$35+N4*$K$36+O4*$K$37+P4*$K$38+Q4*$K$39+R4*$K$40+S4*$K$41+T4*$K$42+U4*$K$43+V4*$K$44</f>
        <v>0.25047614262772161</v>
      </c>
      <c r="Y4">
        <f t="shared" si="2"/>
        <v>0.89184452130309921</v>
      </c>
    </row>
    <row r="5" spans="1:25" x14ac:dyDescent="0.2">
      <c r="A5" t="s">
        <v>265</v>
      </c>
      <c r="B5">
        <v>3042.41</v>
      </c>
      <c r="C5">
        <v>1242.8</v>
      </c>
      <c r="D5">
        <v>1443.88</v>
      </c>
      <c r="E5">
        <v>12943</v>
      </c>
      <c r="F5">
        <v>5654.15</v>
      </c>
      <c r="G5">
        <v>1636.46</v>
      </c>
      <c r="H5">
        <v>104.14</v>
      </c>
      <c r="I5">
        <v>103.06</v>
      </c>
      <c r="J5">
        <v>1417.7</v>
      </c>
      <c r="K5">
        <v>285.10000000000002</v>
      </c>
      <c r="M5">
        <f t="shared" si="1"/>
        <v>0.82114706164802453</v>
      </c>
      <c r="N5">
        <f t="shared" si="0"/>
        <v>0.82630090497737552</v>
      </c>
      <c r="O5">
        <f t="shared" si="0"/>
        <v>0.81176982077652726</v>
      </c>
      <c r="P5">
        <f t="shared" si="0"/>
        <v>0.94279104006730463</v>
      </c>
      <c r="Q5">
        <f t="shared" si="0"/>
        <v>0.95093800600803613</v>
      </c>
      <c r="R5">
        <f t="shared" si="0"/>
        <v>0.9324154348426531</v>
      </c>
      <c r="S5">
        <f t="shared" si="0"/>
        <v>0.37080867850098581</v>
      </c>
      <c r="T5">
        <f t="shared" si="0"/>
        <v>0.40561622464898528</v>
      </c>
      <c r="U5">
        <f t="shared" si="0"/>
        <v>0.87548436635060078</v>
      </c>
      <c r="V5">
        <f t="shared" si="0"/>
        <v>0.80244116357257711</v>
      </c>
      <c r="W5">
        <f>M5*$J$35+N5*$J$36+O5*$J$37+P5*$J$38+Q5*$J$39+R5*$J$40+S5*$J$41+T5*$J$42+U5*$J$43+V5*$J$44</f>
        <v>2.2083205562289772</v>
      </c>
      <c r="X5">
        <f>M5*$K$35+N5*$K$36+O5*$K$37+P5*$K$38+Q5*$K$39+R5*$K$40+S5*$K$41+T5*$K$42+U5*$K$43+V5*$K$44</f>
        <v>0.69408357883837013</v>
      </c>
      <c r="Y5">
        <f t="shared" si="2"/>
        <v>1.2639117751895108</v>
      </c>
    </row>
    <row r="6" spans="1:25" x14ac:dyDescent="0.2">
      <c r="A6" t="s">
        <v>266</v>
      </c>
      <c r="B6">
        <v>2712.08</v>
      </c>
      <c r="C6">
        <v>776.8</v>
      </c>
      <c r="D6">
        <v>1787.95</v>
      </c>
      <c r="E6">
        <v>13324</v>
      </c>
      <c r="F6">
        <v>6219.26</v>
      </c>
      <c r="G6">
        <v>2082.5700000000002</v>
      </c>
      <c r="H6">
        <v>102.94</v>
      </c>
      <c r="I6">
        <v>102.7</v>
      </c>
      <c r="J6">
        <v>1311.9</v>
      </c>
      <c r="K6">
        <v>256.39999999999998</v>
      </c>
      <c r="M6">
        <f t="shared" si="1"/>
        <v>0.84201714438789177</v>
      </c>
      <c r="N6">
        <f t="shared" si="0"/>
        <v>0.89219457013574655</v>
      </c>
      <c r="O6">
        <f t="shared" si="0"/>
        <v>0.76123267912800041</v>
      </c>
      <c r="P6">
        <f t="shared" si="0"/>
        <v>0.92275738773793248</v>
      </c>
      <c r="Q6">
        <f t="shared" si="0"/>
        <v>0.87391438275878985</v>
      </c>
      <c r="R6">
        <f t="shared" si="0"/>
        <v>0.84376980870380791</v>
      </c>
      <c r="S6">
        <f t="shared" si="0"/>
        <v>0.60749506903353101</v>
      </c>
      <c r="T6">
        <f t="shared" si="0"/>
        <v>0.46177847113884485</v>
      </c>
      <c r="U6">
        <f t="shared" si="0"/>
        <v>0.88493062623881724</v>
      </c>
      <c r="V6">
        <f t="shared" si="0"/>
        <v>0.82341762900160786</v>
      </c>
      <c r="W6">
        <f>M6*$J$35+N6*$J$36+O6*$J$37+P6*$J$38+Q6*$J$39+R6*$J$40+S6*$J$41+T6*$J$42+U6*$J$43+V6*$J$44</f>
        <v>2.1052783231670156</v>
      </c>
      <c r="X6">
        <f>M6*$K$35+N6*$K$36+O6*$K$37+P6*$K$38+Q6*$K$39+R6*$K$40+S6*$K$41+T6*$K$42+U6*$K$43+V6*$K$44</f>
        <v>0.87155004508876655</v>
      </c>
      <c r="Y6">
        <f t="shared" si="2"/>
        <v>1.2762046980791586</v>
      </c>
    </row>
    <row r="7" spans="1:25" x14ac:dyDescent="0.2">
      <c r="A7" t="s">
        <v>267</v>
      </c>
      <c r="B7">
        <v>6872.65</v>
      </c>
      <c r="C7">
        <v>2255.6999999999998</v>
      </c>
      <c r="D7">
        <v>2979.59</v>
      </c>
      <c r="E7">
        <v>14921</v>
      </c>
      <c r="F7">
        <v>6543.28</v>
      </c>
      <c r="G7">
        <v>2072.9499999999998</v>
      </c>
      <c r="H7">
        <v>103.46</v>
      </c>
      <c r="I7">
        <v>101.88</v>
      </c>
      <c r="J7">
        <v>2948</v>
      </c>
      <c r="K7">
        <v>574.79999999999995</v>
      </c>
      <c r="M7">
        <f t="shared" si="1"/>
        <v>0.57915443090437657</v>
      </c>
      <c r="N7">
        <f t="shared" si="0"/>
        <v>0.68307409502262439</v>
      </c>
      <c r="O7">
        <f t="shared" si="0"/>
        <v>0.58620411088883206</v>
      </c>
      <c r="P7">
        <f t="shared" si="0"/>
        <v>0.83878430960143024</v>
      </c>
      <c r="Q7">
        <f t="shared" si="0"/>
        <v>0.829750955452211</v>
      </c>
      <c r="R7">
        <f t="shared" si="0"/>
        <v>0.84568137966938972</v>
      </c>
      <c r="S7">
        <f t="shared" si="0"/>
        <v>0.50493096646942914</v>
      </c>
      <c r="T7">
        <f t="shared" si="0"/>
        <v>0.58970358814352619</v>
      </c>
      <c r="U7">
        <f t="shared" si="0"/>
        <v>0.73885287762718521</v>
      </c>
      <c r="V7">
        <f t="shared" si="0"/>
        <v>0.59070311357988603</v>
      </c>
      <c r="W7">
        <f>M7*$J$35+N7*$J$36+O7*$J$37+P7*$J$38+Q7*$J$39+R7*$J$40+S7*$J$41+T7*$J$42+U7*$J$43+V7*$J$44</f>
        <v>1.7294007537456817</v>
      </c>
      <c r="X7">
        <f>M7*$K$35+N7*$K$36+O7*$K$37+P7*$K$38+Q7*$K$39+R7*$K$40+S7*$K$41+T7*$K$42+U7*$K$43+V7*$K$44</f>
        <v>0.63414176554805257</v>
      </c>
      <c r="Y7">
        <f t="shared" si="2"/>
        <v>1.0205698759417636</v>
      </c>
    </row>
    <row r="8" spans="1:25" x14ac:dyDescent="0.2">
      <c r="A8" t="s">
        <v>268</v>
      </c>
      <c r="B8">
        <v>2958.21</v>
      </c>
      <c r="C8">
        <v>994.3</v>
      </c>
      <c r="D8">
        <v>1169.0999999999999</v>
      </c>
      <c r="E8">
        <v>12431</v>
      </c>
      <c r="F8">
        <v>6068.99</v>
      </c>
      <c r="G8">
        <v>1971.21</v>
      </c>
      <c r="H8">
        <v>104.09</v>
      </c>
      <c r="I8">
        <v>103.51</v>
      </c>
      <c r="J8">
        <v>595.9</v>
      </c>
      <c r="K8">
        <v>236.9</v>
      </c>
      <c r="M8">
        <f t="shared" si="1"/>
        <v>0.82646677516692035</v>
      </c>
      <c r="N8">
        <f t="shared" si="0"/>
        <v>0.86143947963800893</v>
      </c>
      <c r="O8">
        <f t="shared" si="0"/>
        <v>0.85212961902160023</v>
      </c>
      <c r="P8">
        <f t="shared" si="0"/>
        <v>0.96971290356504369</v>
      </c>
      <c r="Q8">
        <f t="shared" si="0"/>
        <v>0.89439595248090453</v>
      </c>
      <c r="R8">
        <f t="shared" si="0"/>
        <v>0.86589793164842199</v>
      </c>
      <c r="S8">
        <f t="shared" si="0"/>
        <v>0.38067061143984127</v>
      </c>
      <c r="T8">
        <f t="shared" si="0"/>
        <v>0.33541341653666029</v>
      </c>
      <c r="U8">
        <f t="shared" si="0"/>
        <v>0.94885805610614105</v>
      </c>
      <c r="V8">
        <f t="shared" si="0"/>
        <v>0.83766993129659395</v>
      </c>
      <c r="W8">
        <f>M8*$J$35+N8*$J$36+O8*$J$37+P8*$J$38+Q8*$J$39+R8*$J$40+S8*$J$41+T8*$J$42+U8*$J$43+V8*$J$44</f>
        <v>2.2396862631318672</v>
      </c>
      <c r="X8">
        <f>M8*$K$35+N8*$K$36+O8*$K$37+P8*$K$38+Q8*$K$39+R8*$K$40+S8*$K$41+T8*$K$42+U8*$K$43+V8*$K$44</f>
        <v>0.71531383204822085</v>
      </c>
      <c r="Y8">
        <f>0.4656*W8+0.33961*X8</f>
        <v>1.2857256546160936</v>
      </c>
    </row>
    <row r="9" spans="1:25" x14ac:dyDescent="0.2">
      <c r="A9" t="s">
        <v>269</v>
      </c>
      <c r="B9">
        <v>5303</v>
      </c>
      <c r="C9">
        <v>1619.6</v>
      </c>
      <c r="D9">
        <v>1430.82</v>
      </c>
      <c r="E9">
        <v>12557</v>
      </c>
      <c r="F9">
        <v>5567.53</v>
      </c>
      <c r="G9">
        <v>1837.37</v>
      </c>
      <c r="H9">
        <v>103.84</v>
      </c>
      <c r="I9">
        <v>102.83</v>
      </c>
      <c r="J9">
        <v>1097.0999999999999</v>
      </c>
      <c r="K9">
        <v>399.4</v>
      </c>
      <c r="M9">
        <f t="shared" si="1"/>
        <v>0.67832412597485958</v>
      </c>
      <c r="N9">
        <f t="shared" si="0"/>
        <v>0.77302036199095014</v>
      </c>
      <c r="O9">
        <f t="shared" si="0"/>
        <v>0.81368807889240424</v>
      </c>
      <c r="P9">
        <f t="shared" si="0"/>
        <v>0.96308760121989689</v>
      </c>
      <c r="Q9">
        <f t="shared" si="0"/>
        <v>0.96274417869273421</v>
      </c>
      <c r="R9">
        <f t="shared" si="0"/>
        <v>0.89249301044607965</v>
      </c>
      <c r="S9">
        <f t="shared" si="0"/>
        <v>0.42998027613412143</v>
      </c>
      <c r="T9">
        <f t="shared" si="0"/>
        <v>0.44149765990639622</v>
      </c>
      <c r="U9">
        <f t="shared" si="0"/>
        <v>0.90410885519901429</v>
      </c>
      <c r="V9">
        <f t="shared" si="0"/>
        <v>0.71890074550504313</v>
      </c>
      <c r="W9">
        <f>M9*$J$35+N9*$J$36+O9*$J$37+P9*$J$38+Q9*$J$39+R9*$J$40+S9*$J$41+T9*$J$42+U9*$J$43+V9*$J$44</f>
        <v>2.1070313256660911</v>
      </c>
      <c r="X9">
        <f>M9*$K$35+N9*$K$36+O9*$K$37+P9*$K$38+Q9*$K$39+R9*$K$40+S9*$K$41+T9*$K$42+U9*$K$43+V9*$K$44</f>
        <v>0.63063343599068578</v>
      </c>
      <c r="Y9">
        <f>0.4656*W9+0.33961*X9</f>
        <v>1.1952032064269289</v>
      </c>
    </row>
    <row r="10" spans="1:25" x14ac:dyDescent="0.2">
      <c r="A10" t="s">
        <v>270</v>
      </c>
      <c r="B10">
        <v>7450.27</v>
      </c>
      <c r="C10">
        <v>3427</v>
      </c>
      <c r="D10">
        <v>3050.26</v>
      </c>
      <c r="E10">
        <v>30085</v>
      </c>
      <c r="F10">
        <v>12631.03</v>
      </c>
      <c r="G10">
        <v>6328.85</v>
      </c>
      <c r="H10">
        <v>102.15</v>
      </c>
      <c r="I10">
        <v>100.91</v>
      </c>
      <c r="J10">
        <v>10011.700000000001</v>
      </c>
      <c r="K10">
        <v>122.9</v>
      </c>
      <c r="M10">
        <f t="shared" si="1"/>
        <v>0.54266069072878809</v>
      </c>
      <c r="N10">
        <f t="shared" si="0"/>
        <v>0.51744909502262437</v>
      </c>
      <c r="O10">
        <f t="shared" si="0"/>
        <v>0.57582407252366974</v>
      </c>
      <c r="P10">
        <f t="shared" si="0"/>
        <v>4.1434430539488906E-2</v>
      </c>
      <c r="Q10">
        <f t="shared" si="0"/>
        <v>0</v>
      </c>
      <c r="R10">
        <f t="shared" si="0"/>
        <v>0</v>
      </c>
      <c r="S10">
        <f t="shared" si="0"/>
        <v>0.76331360946745475</v>
      </c>
      <c r="T10">
        <f t="shared" si="0"/>
        <v>0.74102964118564785</v>
      </c>
      <c r="U10">
        <f t="shared" si="0"/>
        <v>0.10817663970286233</v>
      </c>
      <c r="V10">
        <f t="shared" si="0"/>
        <v>0.92099108317497436</v>
      </c>
      <c r="W10">
        <f>M10*$J$35+N10*$J$36+O10*$J$37+P10*$J$38+Q10*$J$39+R10*$J$40+S10*$J$41+T10*$J$42+U10*$J$43+V10*$J$44</f>
        <v>0.56147855788040679</v>
      </c>
      <c r="X10">
        <f>M10*$K$35+N10*$K$36+O10*$K$37+P10*$K$38+Q10*$K$39+R10*$K$40+S10*$K$41+T10*$K$42+U10*$K$43+V10*$K$44</f>
        <v>1.5045802148893741</v>
      </c>
      <c r="Y10">
        <f t="shared" si="2"/>
        <v>0.77239490332769778</v>
      </c>
    </row>
    <row r="11" spans="1:25" x14ac:dyDescent="0.2">
      <c r="A11" t="s">
        <v>271</v>
      </c>
      <c r="B11">
        <v>15403.16</v>
      </c>
      <c r="C11">
        <v>6447.5</v>
      </c>
      <c r="D11">
        <v>6557.05</v>
      </c>
      <c r="E11">
        <v>18202</v>
      </c>
      <c r="F11">
        <v>7332.26</v>
      </c>
      <c r="G11">
        <v>2992.55</v>
      </c>
      <c r="H11">
        <v>104.06</v>
      </c>
      <c r="I11">
        <v>102.25</v>
      </c>
      <c r="J11">
        <v>2348.3000000000002</v>
      </c>
      <c r="K11">
        <v>1083.5999999999999</v>
      </c>
      <c r="M11">
        <f t="shared" si="1"/>
        <v>4.0201112969992223E-2</v>
      </c>
      <c r="N11">
        <f t="shared" si="0"/>
        <v>9.0342194570135689E-2</v>
      </c>
      <c r="O11">
        <f t="shared" si="0"/>
        <v>6.0745329937458278E-2</v>
      </c>
      <c r="P11">
        <f t="shared" si="0"/>
        <v>0.66626353980439579</v>
      </c>
      <c r="Q11">
        <f t="shared" si="0"/>
        <v>0.7222141957573015</v>
      </c>
      <c r="R11">
        <f t="shared" si="0"/>
        <v>0.66294950233581251</v>
      </c>
      <c r="S11">
        <f t="shared" si="0"/>
        <v>0.38658777120315513</v>
      </c>
      <c r="T11">
        <f t="shared" si="0"/>
        <v>0.53198127925116978</v>
      </c>
      <c r="U11">
        <f t="shared" si="0"/>
        <v>0.79239656434706529</v>
      </c>
      <c r="V11">
        <f t="shared" si="0"/>
        <v>0.21882765677532531</v>
      </c>
      <c r="W11">
        <f>M11*$J$35+N11*$J$36+O11*$J$37+P11*$J$38+Q11*$J$39+R11*$J$40+S11*$J$41+T11*$J$42+U11*$J$43+V11*$J$44</f>
        <v>0.92295146422779129</v>
      </c>
      <c r="X11">
        <f>M11*$K$35+N11*$K$36+O11*$K$37+P11*$K$38+Q11*$K$39+R11*$K$40+S11*$K$41+T11*$K$42+U11*$K$43+V11*$K$44</f>
        <v>6.8946951570553056E-3</v>
      </c>
      <c r="Y11">
        <f t="shared" si="2"/>
        <v>0.43206770916674719</v>
      </c>
    </row>
    <row r="12" spans="1:25" x14ac:dyDescent="0.2">
      <c r="A12" t="s">
        <v>272</v>
      </c>
      <c r="B12">
        <v>11243</v>
      </c>
      <c r="C12">
        <v>4173.3999999999996</v>
      </c>
      <c r="D12">
        <v>5781.35</v>
      </c>
      <c r="E12">
        <v>23506</v>
      </c>
      <c r="F12">
        <v>10636.14</v>
      </c>
      <c r="G12">
        <v>4659.1099999999997</v>
      </c>
      <c r="H12">
        <v>103.86</v>
      </c>
      <c r="I12">
        <v>102.68</v>
      </c>
      <c r="J12">
        <v>2701.6</v>
      </c>
      <c r="K12">
        <v>795.3</v>
      </c>
      <c r="M12">
        <f t="shared" si="1"/>
        <v>0.30303792286036318</v>
      </c>
      <c r="N12">
        <f t="shared" si="0"/>
        <v>0.41190610859728505</v>
      </c>
      <c r="O12">
        <f t="shared" si="0"/>
        <v>0.17468046167449533</v>
      </c>
      <c r="P12">
        <f t="shared" si="0"/>
        <v>0.38736986013250607</v>
      </c>
      <c r="Q12">
        <f t="shared" si="0"/>
        <v>0.27190043670026892</v>
      </c>
      <c r="R12">
        <f t="shared" si="0"/>
        <v>0.33179069688882895</v>
      </c>
      <c r="S12">
        <f t="shared" si="0"/>
        <v>0.42603550295857978</v>
      </c>
      <c r="T12">
        <f t="shared" si="0"/>
        <v>0.46489859594383642</v>
      </c>
      <c r="U12">
        <f t="shared" si="0"/>
        <v>0.76085248477705758</v>
      </c>
      <c r="V12">
        <f t="shared" si="0"/>
        <v>0.4295424645519661</v>
      </c>
      <c r="W12">
        <f>M12*$J$35+N12*$J$36+O12*$J$37+P12*$J$38+Q12*$J$39+R12*$J$40+S12*$J$41+T12*$J$42+U12*$J$43+V12*$J$44</f>
        <v>0.83362232493903565</v>
      </c>
      <c r="X12">
        <f>M12*$K$35+N12*$K$36+O12*$K$37+P12*$K$38+Q12*$K$39+R12*$K$40+S12*$K$41+T12*$K$42+U12*$K$43+V12*$K$44</f>
        <v>0.53839146889207756</v>
      </c>
      <c r="Y12">
        <f>0.4656*W12+0.33961*X12</f>
        <v>0.5709776812420535</v>
      </c>
    </row>
    <row r="13" spans="1:25" x14ac:dyDescent="0.2">
      <c r="A13" t="s">
        <v>273</v>
      </c>
      <c r="B13">
        <v>4812.68</v>
      </c>
      <c r="C13">
        <v>1082.2</v>
      </c>
      <c r="D13">
        <v>1935.25</v>
      </c>
      <c r="E13">
        <v>12928</v>
      </c>
      <c r="F13">
        <v>5711.33</v>
      </c>
      <c r="G13">
        <v>1813.71</v>
      </c>
      <c r="H13">
        <v>104.5</v>
      </c>
      <c r="I13">
        <v>102.75</v>
      </c>
      <c r="J13">
        <v>1455.9</v>
      </c>
      <c r="K13">
        <v>709</v>
      </c>
      <c r="M13">
        <f t="shared" si="1"/>
        <v>0.70930229619558349</v>
      </c>
      <c r="N13">
        <f t="shared" si="0"/>
        <v>0.84901018099547509</v>
      </c>
      <c r="O13">
        <f t="shared" si="0"/>
        <v>0.73959719517174727</v>
      </c>
      <c r="P13">
        <f t="shared" si="0"/>
        <v>0.94357976653696496</v>
      </c>
      <c r="Q13">
        <f t="shared" si="0"/>
        <v>0.94314446001275754</v>
      </c>
      <c r="R13">
        <f t="shared" si="0"/>
        <v>0.89719444173980778</v>
      </c>
      <c r="S13">
        <f t="shared" si="0"/>
        <v>0.29980276134122252</v>
      </c>
      <c r="T13">
        <f t="shared" si="0"/>
        <v>0.45397815912636474</v>
      </c>
      <c r="U13">
        <f t="shared" si="0"/>
        <v>0.87207371296941127</v>
      </c>
      <c r="V13">
        <f t="shared" si="0"/>
        <v>0.49261803829849438</v>
      </c>
      <c r="W13">
        <f>M13*$J$35+N13*$J$36+O13*$J$37+P13*$J$38+Q13*$J$39+R13*$J$40+S13*$J$41+T13*$J$42+U13*$J$43+V13*$J$44</f>
        <v>2.0741778622897811</v>
      </c>
      <c r="X13">
        <f>M13*$K$35+N13*$K$36+O13*$K$37+P13*$K$38+Q13*$K$39+R13*$K$40+S13*$K$41+T13*$K$42+U13*$K$43+V13*$K$44</f>
        <v>0.50564776403433032</v>
      </c>
      <c r="Y13">
        <f t="shared" si="2"/>
        <v>1.1374602498258211</v>
      </c>
    </row>
    <row r="14" spans="1:25" x14ac:dyDescent="0.2">
      <c r="A14" t="s">
        <v>274</v>
      </c>
      <c r="B14">
        <v>6053.14</v>
      </c>
      <c r="C14">
        <v>1845.8</v>
      </c>
      <c r="D14">
        <v>1892.92</v>
      </c>
      <c r="E14">
        <v>15603</v>
      </c>
      <c r="F14">
        <v>8161.15</v>
      </c>
      <c r="G14">
        <v>3015.58</v>
      </c>
      <c r="H14">
        <v>104.05</v>
      </c>
      <c r="I14">
        <v>102.73</v>
      </c>
      <c r="J14">
        <v>1398.9</v>
      </c>
      <c r="K14">
        <v>371.9</v>
      </c>
      <c r="M14">
        <f t="shared" si="1"/>
        <v>0.63093065924012759</v>
      </c>
      <c r="N14">
        <f t="shared" si="0"/>
        <v>0.74103506787330309</v>
      </c>
      <c r="O14">
        <f t="shared" si="0"/>
        <v>0.74581464280153809</v>
      </c>
      <c r="P14">
        <f t="shared" si="0"/>
        <v>0.80292354611420758</v>
      </c>
      <c r="Q14">
        <f t="shared" si="0"/>
        <v>0.60923776448716349</v>
      </c>
      <c r="R14">
        <f t="shared" si="0"/>
        <v>0.65837325708244998</v>
      </c>
      <c r="S14">
        <f t="shared" si="0"/>
        <v>0.38856015779092734</v>
      </c>
      <c r="T14">
        <f t="shared" si="0"/>
        <v>0.45709828393135632</v>
      </c>
      <c r="U14">
        <f t="shared" si="0"/>
        <v>0.87716290780521777</v>
      </c>
      <c r="V14">
        <f t="shared" si="0"/>
        <v>0.73900014617745946</v>
      </c>
      <c r="W14">
        <f>M14*$J$35+N14*$J$36+O14*$J$37+P14*$J$38+Q14*$J$39+R14*$J$40+S14*$J$41+T14*$J$42+U14*$J$43+V14*$J$44</f>
        <v>1.7786727391302066</v>
      </c>
      <c r="X14">
        <f>M14*$K$35+N14*$K$36+O14*$K$37+P14*$K$38+Q14*$K$39+R14*$K$40+S14*$K$41+T14*$K$42+U14*$K$43+V14*$K$44</f>
        <v>0.75338353693530724</v>
      </c>
      <c r="Y14">
        <f t="shared" si="2"/>
        <v>1.084006610317624</v>
      </c>
    </row>
    <row r="15" spans="1:25" x14ac:dyDescent="0.2">
      <c r="A15" t="s">
        <v>275</v>
      </c>
      <c r="B15">
        <v>3495.94</v>
      </c>
      <c r="C15">
        <v>617.79999999999995</v>
      </c>
      <c r="D15">
        <v>1713.2</v>
      </c>
      <c r="E15">
        <v>11860</v>
      </c>
      <c r="F15">
        <v>5337.84</v>
      </c>
      <c r="G15">
        <v>2095.48</v>
      </c>
      <c r="H15">
        <v>103.52</v>
      </c>
      <c r="I15">
        <v>102.99</v>
      </c>
      <c r="J15">
        <v>870.1</v>
      </c>
      <c r="K15">
        <v>554.6</v>
      </c>
      <c r="M15">
        <f t="shared" si="1"/>
        <v>0.79249326506578244</v>
      </c>
      <c r="N15">
        <f t="shared" si="0"/>
        <v>0.91467760180995472</v>
      </c>
      <c r="O15">
        <f t="shared" si="0"/>
        <v>0.77221198955386539</v>
      </c>
      <c r="P15">
        <f t="shared" si="0"/>
        <v>0.99973709117677989</v>
      </c>
      <c r="Q15">
        <f t="shared" si="0"/>
        <v>0.99405057218093884</v>
      </c>
      <c r="R15">
        <f t="shared" si="0"/>
        <v>0.84120448841631723</v>
      </c>
      <c r="S15">
        <f t="shared" si="0"/>
        <v>0.49309664694280148</v>
      </c>
      <c r="T15">
        <f t="shared" si="0"/>
        <v>0.41653666146645912</v>
      </c>
      <c r="U15">
        <f t="shared" si="0"/>
        <v>0.92437635042231392</v>
      </c>
      <c r="V15">
        <f t="shared" si="0"/>
        <v>0.60546703698289717</v>
      </c>
      <c r="W15">
        <f>M15*$J$35+N15*$J$36+O15*$J$37+P15*$J$38+Q15*$J$39+R15*$J$40+S15*$J$41+T15*$J$42+U15*$J$43+V15*$J$44</f>
        <v>2.1657314864931672</v>
      </c>
      <c r="X15">
        <f>M15*$K$35+N15*$K$36+O15*$K$37+P15*$K$38+Q15*$K$39+R15*$K$40+S15*$K$41+T15*$K$42+U15*$K$43+V15*$K$44</f>
        <v>0.64837537558987957</v>
      </c>
      <c r="Y15">
        <f t="shared" si="2"/>
        <v>1.2285593414152975</v>
      </c>
    </row>
    <row r="16" spans="1:25" x14ac:dyDescent="0.2">
      <c r="A16" t="s">
        <v>276</v>
      </c>
      <c r="B16">
        <v>15490.73</v>
      </c>
      <c r="C16">
        <v>6498.3</v>
      </c>
      <c r="D16">
        <v>6970.62</v>
      </c>
      <c r="E16">
        <v>14332</v>
      </c>
      <c r="F16">
        <v>6673.75</v>
      </c>
      <c r="G16">
        <v>2389.27</v>
      </c>
      <c r="H16">
        <v>103.64</v>
      </c>
      <c r="I16">
        <v>102.85</v>
      </c>
      <c r="J16">
        <v>4752.5</v>
      </c>
      <c r="K16">
        <v>748</v>
      </c>
      <c r="M16">
        <f t="shared" si="1"/>
        <v>3.4668484551349743E-2</v>
      </c>
      <c r="N16">
        <f t="shared" si="0"/>
        <v>8.3158936651583637E-2</v>
      </c>
      <c r="O16">
        <f t="shared" si="0"/>
        <v>0</v>
      </c>
      <c r="P16">
        <f t="shared" si="0"/>
        <v>0.86975496897675886</v>
      </c>
      <c r="Q16">
        <f t="shared" si="0"/>
        <v>0.81196809525626834</v>
      </c>
      <c r="R16">
        <f t="shared" si="0"/>
        <v>0.78282606492585216</v>
      </c>
      <c r="S16">
        <f t="shared" si="0"/>
        <v>0.46942800788954608</v>
      </c>
      <c r="T16">
        <f t="shared" si="0"/>
        <v>0.43837753510140465</v>
      </c>
      <c r="U16">
        <f t="shared" si="0"/>
        <v>0.57773968321994251</v>
      </c>
      <c r="V16">
        <f t="shared" si="0"/>
        <v>0.46411343370852215</v>
      </c>
      <c r="W16">
        <f>M16*$J$35+N16*$J$36+O16*$J$37+P16*$J$38+Q16*$J$39+R16*$J$40+S16*$J$41+T16*$J$42+U16*$J$43+V16*$J$44</f>
        <v>1.0279302319859391</v>
      </c>
      <c r="X16">
        <f>M16*$K$35+N16*$K$36+O16*$K$37+P16*$K$38+Q16*$K$39+R16*$K$40+S16*$K$41+T16*$K$42+U16*$K$43+V16*$K$44</f>
        <v>-4.0140229085865176E-3</v>
      </c>
      <c r="Y16">
        <f t="shared" si="2"/>
        <v>0.47724111369266825</v>
      </c>
    </row>
    <row r="17" spans="1:25" x14ac:dyDescent="0.2">
      <c r="A17" t="s">
        <v>277</v>
      </c>
      <c r="B17">
        <v>8815.09</v>
      </c>
      <c r="C17">
        <v>2332.6999999999998</v>
      </c>
      <c r="D17">
        <v>3099.38</v>
      </c>
      <c r="E17">
        <v>12114</v>
      </c>
      <c r="F17">
        <v>5294.19</v>
      </c>
      <c r="G17">
        <v>1664.09</v>
      </c>
      <c r="H17">
        <v>105.4</v>
      </c>
      <c r="I17">
        <v>105.66</v>
      </c>
      <c r="J17">
        <v>2106.5</v>
      </c>
      <c r="K17">
        <v>937.5</v>
      </c>
      <c r="M17">
        <f t="shared" si="1"/>
        <v>0.45643205171620782</v>
      </c>
      <c r="N17">
        <f t="shared" si="0"/>
        <v>0.67218608597285068</v>
      </c>
      <c r="O17">
        <f t="shared" si="0"/>
        <v>0.56860930693011136</v>
      </c>
      <c r="P17">
        <f t="shared" si="0"/>
        <v>0.98638132295719849</v>
      </c>
      <c r="Q17">
        <f t="shared" si="0"/>
        <v>1</v>
      </c>
      <c r="R17">
        <f t="shared" si="0"/>
        <v>0.92692513278662136</v>
      </c>
      <c r="S17">
        <f t="shared" si="0"/>
        <v>0.12228796844181286</v>
      </c>
      <c r="T17">
        <f t="shared" si="0"/>
        <v>0</v>
      </c>
      <c r="U17">
        <f t="shared" si="0"/>
        <v>0.81398546454527598</v>
      </c>
      <c r="V17">
        <f t="shared" si="0"/>
        <v>0.32561029089314425</v>
      </c>
      <c r="W17">
        <f>M17*$J$35+N17*$J$36+O17*$J$37+P17*$J$38+Q17*$J$39+R17*$J$40+S17*$J$41+T17*$J$42+U17*$J$43+V17*$J$44</f>
        <v>1.9635019710267234</v>
      </c>
      <c r="X17">
        <f>M17*$K$35+N17*$K$36+O17*$K$37+P17*$K$38+Q17*$K$39+R17*$K$40+S17*$K$41+T17*$K$42+U17*$K$43+V17*$K$44</f>
        <v>-4.6122078838324809E-2</v>
      </c>
      <c r="Y17">
        <f t="shared" si="2"/>
        <v>0.89854299851575903</v>
      </c>
    </row>
    <row r="18" spans="1:25" x14ac:dyDescent="0.2">
      <c r="A18" t="s">
        <v>278</v>
      </c>
      <c r="B18">
        <v>6309.92</v>
      </c>
      <c r="C18">
        <v>1664.7</v>
      </c>
      <c r="D18">
        <v>2264.81</v>
      </c>
      <c r="E18">
        <v>11855</v>
      </c>
      <c r="F18">
        <v>6398.52</v>
      </c>
      <c r="G18">
        <v>2088.98</v>
      </c>
      <c r="H18">
        <v>104.92</v>
      </c>
      <c r="I18">
        <v>104.1</v>
      </c>
      <c r="J18">
        <v>1383.4</v>
      </c>
      <c r="K18">
        <v>623</v>
      </c>
      <c r="M18">
        <f t="shared" si="1"/>
        <v>0.61470742839235981</v>
      </c>
      <c r="N18">
        <f t="shared" ref="N18:N32" si="3">(MAX(C$2:C$32)-C18)/(MAX(C$2:C$32)-MIN(C$2:C$32))</f>
        <v>0.76664309954751131</v>
      </c>
      <c r="O18">
        <f t="shared" ref="O18:O32" si="4">(MAX(D$2:D$32)-D18)/(MAX(D$2:D$32)-MIN(D$2:D$32))</f>
        <v>0.69119128822929787</v>
      </c>
      <c r="P18">
        <f t="shared" ref="P18:P32" si="5">(MAX(E$2:E$32)-E18)/(MAX(E$2:E$32)-MIN(E$2:E$32))</f>
        <v>1</v>
      </c>
      <c r="Q18">
        <f t="shared" ref="Q18:Q32" si="6">(MAX(F$2:F$32)-F18)/(MAX(F$2:F$32)-MIN(F$2:F$32))</f>
        <v>0.84948152065466864</v>
      </c>
      <c r="R18">
        <f t="shared" ref="R18:R32" si="7">(MAX(G$2:G$32)-G18)/(MAX(G$2:G$32)-MIN(G$2:G$32))</f>
        <v>0.84249609042008866</v>
      </c>
      <c r="S18">
        <f t="shared" ref="S18:S32" si="8">(MAX(H$2:H$32)-H18)/(MAX(H$2:H$32)-MIN(H$2:H$32))</f>
        <v>0.21696252465483151</v>
      </c>
      <c r="T18">
        <f t="shared" ref="T18:T32" si="9">(MAX(I$2:I$32)-I18)/(MAX(I$2:I$32)-MIN(I$2:I$32))</f>
        <v>0.24336973478939206</v>
      </c>
      <c r="U18">
        <f t="shared" ref="U18:U32" si="10">(MAX(J$2:J$32)-J18)/(MAX(J$2:J$32)-MIN(J$2:J$32))</f>
        <v>0.87854681166407744</v>
      </c>
      <c r="V18">
        <f t="shared" ref="V18:V32" si="11">(MAX(K$2:K$32)-K18)/(MAX(K$2:K$32)-MIN(K$2:K$32))</f>
        <v>0.55547434585586897</v>
      </c>
      <c r="W18">
        <f>M18*$J$35+N18*$J$36+O18*$J$37+P18*$J$38+Q18*$J$39+R18*$J$40+S18*$J$41+T18*$J$42+U18*$J$43+V18*$J$44</f>
        <v>2.0203167111775793</v>
      </c>
      <c r="X18">
        <f>M18*$K$35+N18*$K$36+O18*$K$37+P18*$K$38+Q18*$K$39+R18*$K$40+S18*$K$41+T18*$K$42+U18*$K$43+V18*$K$44</f>
        <v>0.35034446352673276</v>
      </c>
      <c r="Y18">
        <f t="shared" si="2"/>
        <v>1.0596399439825948</v>
      </c>
    </row>
    <row r="19" spans="1:25" x14ac:dyDescent="0.2">
      <c r="A19" t="s">
        <v>279</v>
      </c>
      <c r="B19">
        <v>5612.26</v>
      </c>
      <c r="C19">
        <v>1198.0999999999999</v>
      </c>
      <c r="D19">
        <v>2072.56</v>
      </c>
      <c r="E19">
        <v>13928</v>
      </c>
      <c r="F19">
        <v>6884.61</v>
      </c>
      <c r="G19">
        <v>2472.29</v>
      </c>
      <c r="H19">
        <v>105.07</v>
      </c>
      <c r="I19">
        <v>103.93</v>
      </c>
      <c r="J19">
        <v>1552.4</v>
      </c>
      <c r="K19">
        <v>948.9</v>
      </c>
      <c r="M19">
        <f t="shared" si="1"/>
        <v>0.65878523520462573</v>
      </c>
      <c r="N19">
        <f t="shared" si="3"/>
        <v>0.8326216063348415</v>
      </c>
      <c r="O19">
        <f t="shared" si="4"/>
        <v>0.71942904648177353</v>
      </c>
      <c r="P19">
        <f t="shared" si="5"/>
        <v>0.89099800189294354</v>
      </c>
      <c r="Q19">
        <f t="shared" si="6"/>
        <v>0.78322820178714547</v>
      </c>
      <c r="R19">
        <f t="shared" si="7"/>
        <v>0.76632932671768172</v>
      </c>
      <c r="S19">
        <f t="shared" si="8"/>
        <v>0.18737672583826512</v>
      </c>
      <c r="T19">
        <f t="shared" si="9"/>
        <v>0.26989079563182383</v>
      </c>
      <c r="U19">
        <f t="shared" si="10"/>
        <v>0.8634577953965108</v>
      </c>
      <c r="V19">
        <f t="shared" si="11"/>
        <v>0.31727817570530625</v>
      </c>
      <c r="W19">
        <f>M19*$J$35+N19*$J$36+O19*$J$37+P19*$J$38+Q19*$J$39+R19*$J$40+S19*$J$41+T19*$J$42+U19*$J$43+V19*$J$44</f>
        <v>1.9304228208681171</v>
      </c>
      <c r="X19">
        <f>M19*$K$35+N19*$K$36+O19*$K$37+P19*$K$38+Q19*$K$39+R19*$K$40+S19*$K$41+T19*$K$42+U19*$K$43+V19*$K$44</f>
        <v>0.35004031420193232</v>
      </c>
      <c r="Y19">
        <f t="shared" si="2"/>
        <v>1.0176820565023135</v>
      </c>
    </row>
    <row r="20" spans="1:25" x14ac:dyDescent="0.2">
      <c r="A20" t="s">
        <v>280</v>
      </c>
      <c r="B20">
        <v>16039.46</v>
      </c>
      <c r="C20">
        <v>7086.4</v>
      </c>
      <c r="D20">
        <v>5870.02</v>
      </c>
      <c r="E20">
        <v>22116</v>
      </c>
      <c r="F20">
        <v>10694.79</v>
      </c>
      <c r="G20">
        <v>3240.78</v>
      </c>
      <c r="H20">
        <v>102.97</v>
      </c>
      <c r="I20">
        <v>102.92</v>
      </c>
      <c r="J20">
        <v>3847.7</v>
      </c>
      <c r="K20">
        <v>1383</v>
      </c>
      <c r="M20">
        <f t="shared" si="1"/>
        <v>0</v>
      </c>
      <c r="N20">
        <f t="shared" si="3"/>
        <v>0</v>
      </c>
      <c r="O20">
        <f t="shared" si="4"/>
        <v>0.16165657598270328</v>
      </c>
      <c r="P20">
        <f t="shared" si="5"/>
        <v>0.46045851298769586</v>
      </c>
      <c r="Q20">
        <f t="shared" si="6"/>
        <v>0.26390653196744096</v>
      </c>
      <c r="R20">
        <f t="shared" si="7"/>
        <v>0.61362421535178269</v>
      </c>
      <c r="S20">
        <f t="shared" si="8"/>
        <v>0.60157790927021726</v>
      </c>
      <c r="T20">
        <f t="shared" si="9"/>
        <v>0.4274570982839308</v>
      </c>
      <c r="U20">
        <f t="shared" si="10"/>
        <v>0.65852395492937632</v>
      </c>
      <c r="V20">
        <f t="shared" si="11"/>
        <v>0</v>
      </c>
      <c r="W20">
        <f>M20*$J$35+N20*$J$36+O20*$J$37+P20*$J$38+Q20*$J$39+R20*$J$40+S20*$J$41+T20*$J$42+U20*$J$43+V20*$J$44</f>
        <v>0.5479754004380244</v>
      </c>
      <c r="X20">
        <f>M20*$K$35+N20*$K$36+O20*$K$37+P20*$K$38+Q20*$K$39+R20*$K$40+S20*$K$41+T20*$K$42+U20*$K$43+V20*$K$44</f>
        <v>0.13562111039837213</v>
      </c>
      <c r="Y20">
        <f t="shared" si="2"/>
        <v>0.30119563174633529</v>
      </c>
    </row>
    <row r="21" spans="1:25" x14ac:dyDescent="0.2">
      <c r="A21" t="s">
        <v>281</v>
      </c>
      <c r="B21">
        <v>3320.1</v>
      </c>
      <c r="C21">
        <v>595.6</v>
      </c>
      <c r="D21">
        <v>1236.51</v>
      </c>
      <c r="E21">
        <v>13579</v>
      </c>
      <c r="F21">
        <v>6445.73</v>
      </c>
      <c r="G21">
        <v>1928.6</v>
      </c>
      <c r="H21">
        <v>104.39</v>
      </c>
      <c r="I21">
        <v>103.93</v>
      </c>
      <c r="J21">
        <v>998.4</v>
      </c>
      <c r="K21">
        <v>516.20000000000005</v>
      </c>
      <c r="M21">
        <f t="shared" si="1"/>
        <v>0.80360274754989913</v>
      </c>
      <c r="N21">
        <f t="shared" si="3"/>
        <v>0.91781674208144781</v>
      </c>
      <c r="O21">
        <f t="shared" si="4"/>
        <v>0.84222841078337185</v>
      </c>
      <c r="P21">
        <f t="shared" si="5"/>
        <v>0.90934903775370701</v>
      </c>
      <c r="Q21">
        <f t="shared" si="6"/>
        <v>0.84304687031474046</v>
      </c>
      <c r="R21">
        <f t="shared" si="7"/>
        <v>0.87436487955314546</v>
      </c>
      <c r="S21">
        <f t="shared" si="8"/>
        <v>0.32149901380670565</v>
      </c>
      <c r="T21">
        <f t="shared" si="9"/>
        <v>0.26989079563182383</v>
      </c>
      <c r="U21">
        <f t="shared" si="10"/>
        <v>0.91292119783575298</v>
      </c>
      <c r="V21">
        <f t="shared" si="11"/>
        <v>0.63353310919456218</v>
      </c>
      <c r="W21">
        <f>M21*$J$35+N21*$J$36+O21*$J$37+P21*$J$38+Q21*$J$39+R21*$J$40+S21*$J$41+T21*$J$42+U21*$J$43+V21*$J$44</f>
        <v>2.184709647620819</v>
      </c>
      <c r="X21">
        <f>M21*$K$35+N21*$K$36+O21*$K$37+P21*$K$38+Q21*$K$39+R21*$K$40+S21*$K$41+T21*$K$42+U21*$K$43+V21*$K$44</f>
        <v>0.61132272197729498</v>
      </c>
      <c r="Y21">
        <f t="shared" si="2"/>
        <v>1.2248121215429624</v>
      </c>
    </row>
    <row r="22" spans="1:25" x14ac:dyDescent="0.2">
      <c r="A22" t="s">
        <v>282</v>
      </c>
      <c r="B22">
        <v>769.36</v>
      </c>
      <c r="C22">
        <v>102.7</v>
      </c>
      <c r="D22">
        <v>317.05</v>
      </c>
      <c r="E22">
        <v>12652</v>
      </c>
      <c r="F22">
        <v>5802.4</v>
      </c>
      <c r="G22">
        <v>1745.35</v>
      </c>
      <c r="H22">
        <v>104.41</v>
      </c>
      <c r="I22">
        <v>103.37</v>
      </c>
      <c r="J22">
        <v>236.1</v>
      </c>
      <c r="K22">
        <v>85.4</v>
      </c>
      <c r="M22">
        <f t="shared" si="1"/>
        <v>0.96475721383479318</v>
      </c>
      <c r="N22">
        <f t="shared" si="3"/>
        <v>0.9875141402714932</v>
      </c>
      <c r="O22">
        <f t="shared" si="4"/>
        <v>0.9772790698357583</v>
      </c>
      <c r="P22">
        <f t="shared" si="5"/>
        <v>0.95809233357871493</v>
      </c>
      <c r="Q22">
        <f t="shared" si="6"/>
        <v>0.93073175917697537</v>
      </c>
      <c r="R22">
        <f t="shared" si="7"/>
        <v>0.91077812065947206</v>
      </c>
      <c r="S22">
        <f t="shared" si="8"/>
        <v>0.317554240631164</v>
      </c>
      <c r="T22">
        <f t="shared" si="9"/>
        <v>0.35725429017160582</v>
      </c>
      <c r="U22">
        <f t="shared" si="10"/>
        <v>0.98098248245567043</v>
      </c>
      <c r="V22">
        <f t="shared" si="11"/>
        <v>0.94839935681917842</v>
      </c>
      <c r="W22">
        <f>M22*$J$35+N22*$J$36+O22*$J$37+P22*$J$38+Q22*$J$39+R22*$J$40+S22*$J$41+T22*$J$42+U22*$J$43+V22*$J$44</f>
        <v>2.451002636322646</v>
      </c>
      <c r="X22">
        <f>M22*$K$35+N22*$K$36+O22*$K$37+P22*$K$38+Q22*$K$39+R22*$K$40+S22*$K$41+T22*$K$42+U22*$K$43+V22*$K$44</f>
        <v>0.85064686743577611</v>
      </c>
      <c r="Y22">
        <f t="shared" si="2"/>
        <v>1.4300750101216879</v>
      </c>
    </row>
    <row r="23" spans="1:25" x14ac:dyDescent="0.2">
      <c r="A23" t="s">
        <v>283</v>
      </c>
      <c r="B23">
        <v>2665.39</v>
      </c>
      <c r="C23">
        <v>579.70000000000005</v>
      </c>
      <c r="D23">
        <v>1537.05</v>
      </c>
      <c r="E23">
        <v>14357</v>
      </c>
      <c r="F23">
        <v>7973.05</v>
      </c>
      <c r="G23">
        <v>1853.94</v>
      </c>
      <c r="H23">
        <v>103.67</v>
      </c>
      <c r="I23">
        <v>101.37</v>
      </c>
      <c r="J23">
        <v>517.6</v>
      </c>
      <c r="K23">
        <v>275.7</v>
      </c>
      <c r="M23">
        <f t="shared" si="1"/>
        <v>0.84496699503156458</v>
      </c>
      <c r="N23">
        <f t="shared" si="3"/>
        <v>0.92006504524886878</v>
      </c>
      <c r="O23">
        <f t="shared" si="4"/>
        <v>0.79808497325307781</v>
      </c>
      <c r="P23">
        <f t="shared" si="5"/>
        <v>0.86844042486065831</v>
      </c>
      <c r="Q23">
        <f t="shared" si="6"/>
        <v>0.6348755049857977</v>
      </c>
      <c r="R23">
        <f t="shared" si="7"/>
        <v>0.88920041887646517</v>
      </c>
      <c r="S23">
        <f t="shared" si="8"/>
        <v>0.46351084812623222</v>
      </c>
      <c r="T23">
        <f t="shared" si="9"/>
        <v>0.66926677067082596</v>
      </c>
      <c r="U23">
        <f t="shared" si="10"/>
        <v>0.9558490026963804</v>
      </c>
      <c r="V23">
        <f t="shared" si="11"/>
        <v>0.80931150416605757</v>
      </c>
      <c r="W23">
        <f>M23*$J$35+N23*$J$36+O23*$J$37+P23*$J$38+Q23*$J$39+R23*$J$40+S23*$J$41+T23*$J$42+U23*$J$43+V23*$J$44</f>
        <v>2.0477155188227845</v>
      </c>
      <c r="X23">
        <f>M23*$K$35+N23*$K$36+O23*$K$37+P23*$K$38+Q23*$K$39+R23*$K$40+S23*$K$41+T23*$K$42+U23*$K$43+V23*$K$44</f>
        <v>0.97550256856014572</v>
      </c>
      <c r="Y23">
        <f t="shared" si="2"/>
        <v>1.2847067728725996</v>
      </c>
    </row>
    <row r="24" spans="1:25" x14ac:dyDescent="0.2">
      <c r="A24" t="s">
        <v>284</v>
      </c>
      <c r="B24">
        <v>6556.01</v>
      </c>
      <c r="C24">
        <v>1546.5</v>
      </c>
      <c r="D24">
        <v>2818.42</v>
      </c>
      <c r="E24">
        <v>14063</v>
      </c>
      <c r="F24">
        <v>6371.14</v>
      </c>
      <c r="G24">
        <v>2015.72</v>
      </c>
      <c r="H24">
        <v>104.89</v>
      </c>
      <c r="I24">
        <v>103.75</v>
      </c>
      <c r="J24">
        <v>837.3</v>
      </c>
      <c r="K24">
        <v>640.6</v>
      </c>
      <c r="M24">
        <f t="shared" si="1"/>
        <v>0.59915958635120725</v>
      </c>
      <c r="N24">
        <f t="shared" si="3"/>
        <v>0.78335690045248862</v>
      </c>
      <c r="O24">
        <f t="shared" si="4"/>
        <v>0.60987682609066041</v>
      </c>
      <c r="P24">
        <f t="shared" si="5"/>
        <v>0.88389946366600058</v>
      </c>
      <c r="Q24">
        <f t="shared" si="6"/>
        <v>0.8532133725145975</v>
      </c>
      <c r="R24">
        <f t="shared" si="7"/>
        <v>0.85705343854259608</v>
      </c>
      <c r="S24">
        <f t="shared" si="8"/>
        <v>0.22287968441814535</v>
      </c>
      <c r="T24">
        <f t="shared" si="9"/>
        <v>0.29797191887675467</v>
      </c>
      <c r="U24">
        <f t="shared" si="10"/>
        <v>0.92730486955590086</v>
      </c>
      <c r="V24">
        <f t="shared" si="11"/>
        <v>0.54261072942552258</v>
      </c>
      <c r="W24">
        <f>M24*$J$35+N24*$J$36+O24*$J$37+P24*$J$38+Q24*$J$39+R24*$J$40+S24*$J$41+T24*$J$42+U24*$J$43+V24*$J$44</f>
        <v>1.9625833154391996</v>
      </c>
      <c r="X24">
        <f>M24*$K$35+N24*$K$36+O24*$K$37+P24*$K$38+Q24*$K$39+R24*$K$40+S24*$K$41+T24*$K$42+U24*$K$43+V24*$K$44</f>
        <v>0.37724203810953838</v>
      </c>
      <c r="Y24">
        <f t="shared" si="2"/>
        <v>1.0418939602308717</v>
      </c>
    </row>
    <row r="25" spans="1:25" x14ac:dyDescent="0.2">
      <c r="A25" t="s">
        <v>285</v>
      </c>
      <c r="B25">
        <v>1591.9</v>
      </c>
      <c r="C25">
        <v>438.4</v>
      </c>
      <c r="D25">
        <v>865.23</v>
      </c>
      <c r="E25">
        <v>12431</v>
      </c>
      <c r="F25">
        <v>5494.45</v>
      </c>
      <c r="G25">
        <v>1296.3399999999999</v>
      </c>
      <c r="H25">
        <v>103.98</v>
      </c>
      <c r="I25">
        <v>103.19</v>
      </c>
      <c r="J25">
        <v>610.9</v>
      </c>
      <c r="K25">
        <v>278.2</v>
      </c>
      <c r="M25">
        <f t="shared" si="1"/>
        <v>0.91278955162775655</v>
      </c>
      <c r="N25">
        <f t="shared" si="3"/>
        <v>0.94004524886877827</v>
      </c>
      <c r="O25">
        <f t="shared" si="4"/>
        <v>0.8967621683073207</v>
      </c>
      <c r="P25">
        <f t="shared" si="5"/>
        <v>0.96971290356504369</v>
      </c>
      <c r="Q25">
        <f t="shared" si="6"/>
        <v>0.97270487021660546</v>
      </c>
      <c r="R25">
        <f t="shared" si="7"/>
        <v>1</v>
      </c>
      <c r="S25">
        <f t="shared" si="8"/>
        <v>0.40236686390532439</v>
      </c>
      <c r="T25">
        <f t="shared" si="9"/>
        <v>0.38533541341653671</v>
      </c>
      <c r="U25">
        <f t="shared" si="10"/>
        <v>0.94751879430724462</v>
      </c>
      <c r="V25">
        <f t="shared" si="11"/>
        <v>0.80748428592311061</v>
      </c>
      <c r="W25">
        <f>M25*$J$35+N25*$J$36+O25*$J$37+P25*$J$38+Q25*$J$39+R25*$J$40+S25*$J$41+T25*$J$42+U25*$J$43+V25*$J$44</f>
        <v>2.3790020936283272</v>
      </c>
      <c r="X25">
        <f>M25*$K$35+N25*$K$36+O25*$K$37+P25*$K$38+Q25*$K$39+R25*$K$40+S25*$K$41+T25*$K$42+U25*$K$43+V25*$K$44</f>
        <v>0.75854213559386008</v>
      </c>
      <c r="Y25">
        <f t="shared" si="2"/>
        <v>1.36527186946238</v>
      </c>
    </row>
    <row r="26" spans="1:25" x14ac:dyDescent="0.2">
      <c r="A26" t="s">
        <v>286</v>
      </c>
      <c r="B26">
        <v>2959.48</v>
      </c>
      <c r="C26">
        <v>881.2</v>
      </c>
      <c r="D26">
        <v>1291.54</v>
      </c>
      <c r="E26">
        <v>14581</v>
      </c>
      <c r="F26">
        <v>6837.01</v>
      </c>
      <c r="G26">
        <v>1571.04</v>
      </c>
      <c r="H26">
        <v>106.02</v>
      </c>
      <c r="I26">
        <v>104.73</v>
      </c>
      <c r="J26">
        <v>650.79999999999995</v>
      </c>
      <c r="K26">
        <v>277.60000000000002</v>
      </c>
      <c r="M26">
        <f t="shared" si="1"/>
        <v>0.82638653720766853</v>
      </c>
      <c r="N26">
        <f t="shared" si="3"/>
        <v>0.87743212669683257</v>
      </c>
      <c r="O26">
        <f t="shared" si="4"/>
        <v>0.83414558198423672</v>
      </c>
      <c r="P26">
        <f t="shared" si="5"/>
        <v>0.85666210958039757</v>
      </c>
      <c r="Q26">
        <f t="shared" si="6"/>
        <v>0.78971600852683166</v>
      </c>
      <c r="R26">
        <f t="shared" si="7"/>
        <v>0.94541491224061158</v>
      </c>
      <c r="S26">
        <f t="shared" si="8"/>
        <v>0</v>
      </c>
      <c r="T26">
        <f t="shared" si="9"/>
        <v>0.1450858034321362</v>
      </c>
      <c r="U26">
        <f t="shared" si="10"/>
        <v>0.94395635792218002</v>
      </c>
      <c r="V26">
        <f t="shared" si="11"/>
        <v>0.80792281830141799</v>
      </c>
      <c r="W26">
        <f>M26*$J$35+N26*$J$36+O26*$J$37+P26*$J$38+Q26*$J$39+R26*$J$40+S26*$J$41+T26*$J$42+U26*$J$43+V26*$J$44</f>
        <v>2.2924259554097342</v>
      </c>
      <c r="X26">
        <f>M26*$K$35+N26*$K$36+O26*$K$37+P26*$K$38+Q26*$K$39+R26*$K$40+S26*$K$41+T26*$K$42+U26*$K$43+V26*$K$44</f>
        <v>0.51123874296061433</v>
      </c>
      <c r="Y26">
        <f t="shared" si="2"/>
        <v>1.2409753143356266</v>
      </c>
    </row>
    <row r="27" spans="1:25" x14ac:dyDescent="0.2">
      <c r="A27" t="s">
        <v>287</v>
      </c>
      <c r="B27">
        <v>211.54</v>
      </c>
      <c r="C27">
        <v>14.4</v>
      </c>
      <c r="D27">
        <v>162.36000000000001</v>
      </c>
      <c r="E27">
        <v>30873</v>
      </c>
      <c r="F27">
        <v>8338.2099999999991</v>
      </c>
      <c r="G27">
        <v>1470.7</v>
      </c>
      <c r="H27">
        <v>102.68</v>
      </c>
      <c r="I27">
        <v>100.69</v>
      </c>
      <c r="J27">
        <v>23.1</v>
      </c>
      <c r="K27">
        <v>14.8</v>
      </c>
      <c r="M27">
        <f t="shared" si="1"/>
        <v>1</v>
      </c>
      <c r="N27">
        <f t="shared" si="3"/>
        <v>1</v>
      </c>
      <c r="O27">
        <f t="shared" si="4"/>
        <v>1</v>
      </c>
      <c r="P27">
        <f t="shared" si="5"/>
        <v>0</v>
      </c>
      <c r="Q27">
        <f t="shared" si="6"/>
        <v>0.58510475899706149</v>
      </c>
      <c r="R27">
        <f t="shared" si="7"/>
        <v>0.96535327301883167</v>
      </c>
      <c r="S27">
        <f t="shared" si="8"/>
        <v>0.65877712031558056</v>
      </c>
      <c r="T27">
        <f t="shared" si="9"/>
        <v>0.77535101404056184</v>
      </c>
      <c r="U27">
        <f t="shared" si="10"/>
        <v>1</v>
      </c>
      <c r="V27">
        <f t="shared" si="11"/>
        <v>1</v>
      </c>
      <c r="W27">
        <f>M27*$J$35+N27*$J$36+O27*$J$37+P27*$J$38+Q27*$J$39+R27*$J$40+S27*$J$41+T27*$J$42+U27*$J$43+V27*$J$44</f>
        <v>1.9429689375810313</v>
      </c>
      <c r="X27">
        <f>M27*$K$35+N27*$K$36+O27*$K$37+P27*$K$38+Q27*$K$39+R27*$K$40+S27*$K$41+T27*$K$42+U27*$K$43+V27*$K$44</f>
        <v>1.5955285017594534</v>
      </c>
      <c r="Y27">
        <f t="shared" si="2"/>
        <v>1.446503771820256</v>
      </c>
    </row>
    <row r="28" spans="1:25" x14ac:dyDescent="0.2">
      <c r="A28" t="s">
        <v>288</v>
      </c>
      <c r="B28">
        <v>2883.51</v>
      </c>
      <c r="C28">
        <v>870.7</v>
      </c>
      <c r="D28">
        <v>1508.89</v>
      </c>
      <c r="E28">
        <v>13024</v>
      </c>
      <c r="F28">
        <v>6233.07</v>
      </c>
      <c r="G28">
        <v>1618.05</v>
      </c>
      <c r="H28">
        <v>103.05</v>
      </c>
      <c r="I28">
        <v>102.48</v>
      </c>
      <c r="J28">
        <v>963.5</v>
      </c>
      <c r="K28">
        <v>450.3</v>
      </c>
      <c r="M28">
        <f t="shared" si="1"/>
        <v>0.83118628347881462</v>
      </c>
      <c r="N28">
        <f t="shared" si="3"/>
        <v>0.87891685520361984</v>
      </c>
      <c r="O28">
        <f t="shared" si="4"/>
        <v>0.80222112551518299</v>
      </c>
      <c r="P28">
        <f t="shared" si="5"/>
        <v>0.93853191713113893</v>
      </c>
      <c r="Q28">
        <f t="shared" si="6"/>
        <v>0.87203210101351536</v>
      </c>
      <c r="R28">
        <f t="shared" si="7"/>
        <v>0.93607364913333502</v>
      </c>
      <c r="S28">
        <f t="shared" si="8"/>
        <v>0.58579881656804789</v>
      </c>
      <c r="T28">
        <f t="shared" si="9"/>
        <v>0.49609984399375884</v>
      </c>
      <c r="U28">
        <f t="shared" si="10"/>
        <v>0.9160372136211854</v>
      </c>
      <c r="V28">
        <f t="shared" si="11"/>
        <v>0.68169858207864353</v>
      </c>
      <c r="W28">
        <f>M28*$J$35+N28*$J$36+O28*$J$37+P28*$J$38+Q28*$J$39+R28*$J$40+S28*$J$41+T28*$J$42+U28*$J$43+V28*$J$44</f>
        <v>2.1295145883932931</v>
      </c>
      <c r="X28">
        <f>M28*$K$35+N28*$K$36+O28*$K$37+P28*$K$38+Q28*$K$39+R28*$K$40+S28*$K$41+T28*$K$42+U28*$K$43+V28*$K$44</f>
        <v>0.80049119996801821</v>
      </c>
      <c r="Y28">
        <f t="shared" si="2"/>
        <v>1.2633568087770559</v>
      </c>
    </row>
    <row r="29" spans="1:25" x14ac:dyDescent="0.2">
      <c r="A29" t="s">
        <v>289</v>
      </c>
      <c r="B29">
        <v>1558.93</v>
      </c>
      <c r="C29">
        <v>505.1</v>
      </c>
      <c r="D29">
        <v>733.94</v>
      </c>
      <c r="E29">
        <v>13623</v>
      </c>
      <c r="F29">
        <v>5937.3</v>
      </c>
      <c r="G29">
        <v>1464.34</v>
      </c>
      <c r="H29">
        <v>102.33</v>
      </c>
      <c r="I29">
        <v>102.07</v>
      </c>
      <c r="J29">
        <v>878.3</v>
      </c>
      <c r="K29">
        <v>281.5</v>
      </c>
      <c r="M29">
        <f t="shared" si="1"/>
        <v>0.91487257959352841</v>
      </c>
      <c r="N29">
        <f t="shared" si="3"/>
        <v>0.93061368778280529</v>
      </c>
      <c r="O29">
        <f t="shared" si="4"/>
        <v>0.91604609694694383</v>
      </c>
      <c r="P29">
        <f t="shared" si="5"/>
        <v>0.90703544010937009</v>
      </c>
      <c r="Q29">
        <f t="shared" si="6"/>
        <v>0.91234509679916687</v>
      </c>
      <c r="R29">
        <f t="shared" si="7"/>
        <v>0.96661705590252178</v>
      </c>
      <c r="S29">
        <f t="shared" si="8"/>
        <v>0.72781065088757446</v>
      </c>
      <c r="T29">
        <f t="shared" si="9"/>
        <v>0.56006240249610062</v>
      </c>
      <c r="U29">
        <f t="shared" si="10"/>
        <v>0.92364422063891727</v>
      </c>
      <c r="V29">
        <f t="shared" si="11"/>
        <v>0.8050723578424207</v>
      </c>
      <c r="W29">
        <f>M29*$J$35+N29*$J$36+O29*$J$37+P29*$J$38+Q29*$J$39+R29*$J$40+S29*$J$41+T29*$J$42+U29*$J$43+V29*$J$44</f>
        <v>2.2279444129380037</v>
      </c>
      <c r="X29">
        <f>M29*$K$35+N29*$K$36+O29*$K$37+P29*$K$38+Q29*$K$39+R29*$K$40+S29*$K$41+T29*$K$42+U29*$K$43+V29*$K$44</f>
        <v>1.0117275688598291</v>
      </c>
      <c r="Y29">
        <f t="shared" si="2"/>
        <v>1.3809237183244212</v>
      </c>
    </row>
    <row r="30" spans="1:25" x14ac:dyDescent="0.2">
      <c r="A30" t="s">
        <v>290</v>
      </c>
      <c r="B30">
        <v>465.73</v>
      </c>
      <c r="C30">
        <v>132.4</v>
      </c>
      <c r="D30">
        <v>289.18</v>
      </c>
      <c r="E30">
        <v>17229</v>
      </c>
      <c r="F30">
        <v>5758.95</v>
      </c>
      <c r="G30">
        <v>1676.44</v>
      </c>
      <c r="H30">
        <v>103.15</v>
      </c>
      <c r="I30">
        <v>102.56</v>
      </c>
      <c r="J30">
        <v>137.19999999999999</v>
      </c>
      <c r="K30">
        <v>41.8</v>
      </c>
      <c r="M30">
        <f t="shared" si="1"/>
        <v>0.98394040404550953</v>
      </c>
      <c r="N30">
        <f t="shared" si="3"/>
        <v>0.983314479638009</v>
      </c>
      <c r="O30">
        <f t="shared" si="4"/>
        <v>0.98137262677982329</v>
      </c>
      <c r="P30">
        <f t="shared" si="5"/>
        <v>0.71742559680302875</v>
      </c>
      <c r="Q30">
        <f t="shared" si="6"/>
        <v>0.93665392730385288</v>
      </c>
      <c r="R30">
        <f t="shared" si="7"/>
        <v>0.92447108897945551</v>
      </c>
      <c r="S30">
        <f t="shared" si="8"/>
        <v>0.5660749506903342</v>
      </c>
      <c r="T30">
        <f t="shared" si="9"/>
        <v>0.48361934477379032</v>
      </c>
      <c r="U30">
        <f t="shared" si="10"/>
        <v>0.98981268191639427</v>
      </c>
      <c r="V30">
        <f t="shared" si="11"/>
        <v>0.98026604297617304</v>
      </c>
      <c r="W30">
        <f>M30*$J$35+N30*$J$36+O30*$J$37+P30*$J$38+Q30*$J$39+R30*$J$40+S30*$J$41+T30*$J$42+U30*$J$43+V30*$J$44</f>
        <v>2.3298058480264934</v>
      </c>
      <c r="X30">
        <f>M30*$K$35+N30*$K$36+O30*$K$37+P30*$K$38+Q30*$K$39+R30*$K$40+S30*$K$41+T30*$K$42+U30*$K$43+V30*$K$44</f>
        <v>1.101911329041279</v>
      </c>
      <c r="Y30">
        <f t="shared" si="2"/>
        <v>1.4589777092968443</v>
      </c>
    </row>
    <row r="31" spans="1:25" x14ac:dyDescent="0.2">
      <c r="A31" t="s">
        <v>291</v>
      </c>
      <c r="B31">
        <v>460.35</v>
      </c>
      <c r="C31">
        <v>147</v>
      </c>
      <c r="D31">
        <v>376.2</v>
      </c>
      <c r="E31">
        <v>14620</v>
      </c>
      <c r="F31">
        <v>5821.38</v>
      </c>
      <c r="G31">
        <v>1926.82</v>
      </c>
      <c r="H31">
        <v>103.69</v>
      </c>
      <c r="I31">
        <v>102.82</v>
      </c>
      <c r="J31">
        <v>242.5</v>
      </c>
      <c r="K31">
        <v>59.4</v>
      </c>
      <c r="M31">
        <f t="shared" si="1"/>
        <v>0.98428030973115865</v>
      </c>
      <c r="N31">
        <f t="shared" si="3"/>
        <v>0.98124999999999996</v>
      </c>
      <c r="O31">
        <f t="shared" si="4"/>
        <v>0.96859109375963903</v>
      </c>
      <c r="P31">
        <f t="shared" si="5"/>
        <v>0.85461142075928065</v>
      </c>
      <c r="Q31">
        <f t="shared" si="6"/>
        <v>0.92814481438875585</v>
      </c>
      <c r="R31">
        <f t="shared" si="7"/>
        <v>0.87471857979417833</v>
      </c>
      <c r="S31">
        <f t="shared" si="8"/>
        <v>0.45956607495069063</v>
      </c>
      <c r="T31">
        <f t="shared" si="9"/>
        <v>0.44305772230889312</v>
      </c>
      <c r="U31">
        <f t="shared" si="10"/>
        <v>0.98041106408814127</v>
      </c>
      <c r="V31">
        <f t="shared" si="11"/>
        <v>0.96740242654582653</v>
      </c>
      <c r="W31">
        <f>M31*$J$35+N31*$J$36+O31*$J$37+P31*$J$38+Q31*$J$39+R31*$J$40+S31*$J$41+T31*$J$42+U31*$J$43+V31*$J$44</f>
        <v>2.3667196653431439</v>
      </c>
      <c r="X31">
        <f>M31*$K$35+N31*$K$36+O31*$K$37+P31*$K$38+Q31*$K$39+R31*$K$40+S31*$K$41+T31*$K$42+U31*$K$43+V31*$K$44</f>
        <v>0.99623310100005202</v>
      </c>
      <c r="Y31">
        <f t="shared" si="2"/>
        <v>1.4402753996143955</v>
      </c>
    </row>
    <row r="32" spans="1:25" x14ac:dyDescent="0.2">
      <c r="A32" t="s">
        <v>292</v>
      </c>
      <c r="B32">
        <v>2200.15</v>
      </c>
      <c r="C32">
        <v>616.9</v>
      </c>
      <c r="D32">
        <v>1147.1500000000001</v>
      </c>
      <c r="E32">
        <v>14484</v>
      </c>
      <c r="F32">
        <v>5773.62</v>
      </c>
      <c r="G32">
        <v>1689.91</v>
      </c>
      <c r="H32">
        <v>102.71</v>
      </c>
      <c r="I32">
        <v>100.75</v>
      </c>
      <c r="J32">
        <v>727.8</v>
      </c>
      <c r="K32">
        <v>288.7</v>
      </c>
      <c r="M32">
        <f t="shared" si="1"/>
        <v>0.87436062350580501</v>
      </c>
      <c r="N32">
        <f t="shared" si="3"/>
        <v>0.91480486425339369</v>
      </c>
      <c r="O32">
        <f t="shared" si="4"/>
        <v>0.85535364395601798</v>
      </c>
      <c r="P32">
        <f t="shared" si="5"/>
        <v>0.86176254075086756</v>
      </c>
      <c r="Q32">
        <f t="shared" si="6"/>
        <v>0.93465442888218908</v>
      </c>
      <c r="R32">
        <f t="shared" si="7"/>
        <v>0.92179449221164</v>
      </c>
      <c r="S32">
        <f t="shared" si="8"/>
        <v>0.65285996055226958</v>
      </c>
      <c r="T32">
        <f t="shared" si="9"/>
        <v>0.76599063962558489</v>
      </c>
      <c r="U32">
        <f t="shared" si="10"/>
        <v>0.93708148068784491</v>
      </c>
      <c r="V32">
        <f t="shared" si="11"/>
        <v>0.7998099693027334</v>
      </c>
      <c r="W32">
        <f>M32*$J$35+N32*$J$36+O32*$J$37+P32*$J$38+Q32*$J$39+R32*$J$40+S32*$J$41+T32*$J$42+U32*$J$43+V32*$J$44</f>
        <v>2.1415382842935546</v>
      </c>
      <c r="X32">
        <f>M32*$K$35+N32*$K$36+O32*$K$37+P32*$K$38+Q32*$K$39+R32*$K$40+S32*$K$41+T32*$K$42+U32*$K$43+V32*$K$44</f>
        <v>1.0466962480732245</v>
      </c>
      <c r="Y32">
        <f t="shared" si="2"/>
        <v>1.3525687379752269</v>
      </c>
    </row>
    <row r="34" spans="1:25" x14ac:dyDescent="0.2">
      <c r="H34" t="s">
        <v>303</v>
      </c>
      <c r="I34" t="s">
        <v>304</v>
      </c>
      <c r="J34" t="s">
        <v>305</v>
      </c>
      <c r="K34" t="s">
        <v>306</v>
      </c>
      <c r="L34" t="s">
        <v>318</v>
      </c>
      <c r="M34" t="s">
        <v>92</v>
      </c>
      <c r="N34" t="s">
        <v>294</v>
      </c>
      <c r="O34" t="s">
        <v>295</v>
      </c>
      <c r="P34" t="s">
        <v>296</v>
      </c>
      <c r="Q34" t="s">
        <v>297</v>
      </c>
      <c r="R34" t="s">
        <v>298</v>
      </c>
      <c r="S34" t="s">
        <v>299</v>
      </c>
      <c r="T34" t="s">
        <v>300</v>
      </c>
      <c r="U34" t="s">
        <v>301</v>
      </c>
      <c r="V34" t="s">
        <v>302</v>
      </c>
      <c r="W34" t="s">
        <v>314</v>
      </c>
      <c r="X34" t="s">
        <v>315</v>
      </c>
      <c r="Y34" t="s">
        <v>316</v>
      </c>
    </row>
    <row r="35" spans="1:25" x14ac:dyDescent="0.2">
      <c r="H35">
        <v>0.77001923962756191</v>
      </c>
      <c r="I35">
        <v>0.61995323537954838</v>
      </c>
      <c r="J35">
        <f>H35/SQRT(4.656)</f>
        <v>0.35685771533500149</v>
      </c>
      <c r="K35">
        <f>I35/SQRT(3.396)</f>
        <v>0.33641479723731932</v>
      </c>
      <c r="M35">
        <f>(B2-AVERAGE(B$2:B$32))/_xlfn.STDEV.S(B$2:B$32)</f>
        <v>-0.22511758077718755</v>
      </c>
      <c r="N35">
        <f>(C2-AVERAGE(C$2:C$32))/_xlfn.STDEV.S(C$2:C$32)</f>
        <v>-0.2694934775141859</v>
      </c>
      <c r="O35">
        <f t="shared" ref="N35:V35" si="12">(D2-AVERAGE(D$2:D$32))/_xlfn.STDEV.S(D$2:D$32)</f>
        <v>0.16223322513190197</v>
      </c>
      <c r="P35">
        <f t="shared" si="12"/>
        <v>2.4399964247762105</v>
      </c>
      <c r="Q35">
        <f t="shared" si="12"/>
        <v>2.5804165979788358</v>
      </c>
      <c r="R35">
        <f t="shared" si="12"/>
        <v>2.1025866073231119</v>
      </c>
      <c r="S35">
        <f t="shared" si="12"/>
        <v>-2.608976552370462</v>
      </c>
      <c r="T35">
        <f t="shared" si="12"/>
        <v>-2.6376256902640827</v>
      </c>
      <c r="U35">
        <f t="shared" si="12"/>
        <v>-0.57155758002394552</v>
      </c>
      <c r="V35">
        <f t="shared" si="12"/>
        <v>-0.68843373739348546</v>
      </c>
      <c r="W35">
        <f>M35*$J$35+N35*$J$36+O35*$J$37+P35*$J$38+Q35*$J$39+R35*$J$40+S35*$J$41+T35*$J$42+U35*$J$43+V35*$J$44</f>
        <v>3.0884372419612096</v>
      </c>
      <c r="X35">
        <f>M35*$K$35+N35*$K$36+O35*$K$37+P35*$K$38+Q35*$K$39+R35*$K$40+S35*$K$41+T35*$K$42+U35*$K$43+V35*$K$44</f>
        <v>-4.263228421471613</v>
      </c>
      <c r="Y35">
        <f>0.4656*W35+0.33961*X35</f>
        <v>-9.8586243588354439E-3</v>
      </c>
    </row>
    <row r="36" spans="1:25" x14ac:dyDescent="0.2">
      <c r="H36">
        <v>0.82460560463428767</v>
      </c>
      <c r="I36">
        <v>0.49701216168859902</v>
      </c>
      <c r="J36">
        <f t="shared" ref="J36:J44" si="13">H36/SQRT(4.656)</f>
        <v>0.38215522025729975</v>
      </c>
      <c r="K36">
        <f t="shared" ref="K36:K44" si="14">I36/SQRT(3.396)</f>
        <v>0.26970138400291932</v>
      </c>
      <c r="M36">
        <f>(B3-AVERAGE(B$2:B$32))/_xlfn.STDEV.S(B$2:B$32)</f>
        <v>-0.53476384626438112</v>
      </c>
      <c r="N36">
        <f t="shared" ref="N36:V36" si="15">(C3-AVERAGE(C$2:C$32))/_xlfn.STDEV.S(C$2:C$32)</f>
        <v>-0.19736356150694753</v>
      </c>
      <c r="O36">
        <f t="shared" si="15"/>
        <v>-0.54817680501045496</v>
      </c>
      <c r="P36">
        <f t="shared" si="15"/>
        <v>1.0044842944899668</v>
      </c>
      <c r="Q36">
        <f t="shared" si="15"/>
        <v>0.8686983703787462</v>
      </c>
      <c r="R36">
        <f t="shared" si="15"/>
        <v>0.30010835798812774</v>
      </c>
      <c r="S36">
        <f t="shared" si="15"/>
        <v>-1.3803979702189171</v>
      </c>
      <c r="T36">
        <f t="shared" si="15"/>
        <v>-1.4183834638660597</v>
      </c>
      <c r="U36">
        <f t="shared" si="15"/>
        <v>3.567302656817561</v>
      </c>
      <c r="V36">
        <f t="shared" si="15"/>
        <v>-1.0473409859769134</v>
      </c>
      <c r="W36">
        <f>M36*$J$35+N36*$J$36+O36*$J$37+P36*$J$38+Q36*$J$39+R36*$J$40+S36*$J$41+T36*$J$42+U36*$J$43+V36*$J$44</f>
        <v>1.6518328227997778</v>
      </c>
      <c r="X36">
        <f>M36*$K$35+N36*$K$36+O36*$K$37+P36*$K$38+Q36*$K$39+R36*$K$40+S36*$K$41+T36*$K$42+U36*$K$43+V36*$K$44</f>
        <v>-2.842324729093765</v>
      </c>
      <c r="Y36">
        <f t="shared" ref="Y36:Y40" si="16">0.4656*W36+0.33961*X36</f>
        <v>-0.19618853895195698</v>
      </c>
    </row>
    <row r="37" spans="1:25" x14ac:dyDescent="0.2">
      <c r="H37">
        <v>0.79811443219821976</v>
      </c>
      <c r="I37">
        <v>0.54338198318933129</v>
      </c>
      <c r="J37">
        <f t="shared" si="13"/>
        <v>0.36987815134061502</v>
      </c>
      <c r="K37">
        <f t="shared" si="14"/>
        <v>0.2948637562720941</v>
      </c>
      <c r="M37">
        <f>(B4-AVERAGE(B$2:B$32))/_xlfn.STDEV.S(B$2:B$32)</f>
        <v>0.80261758191529142</v>
      </c>
      <c r="N37">
        <f t="shared" ref="N37:V37" si="17">(C4-AVERAGE(C$2:C$32))/_xlfn.STDEV.S(C$2:C$32)</f>
        <v>0.36632033757680538</v>
      </c>
      <c r="O37">
        <f t="shared" si="17"/>
        <v>0.54473187728176342</v>
      </c>
      <c r="P37">
        <f t="shared" si="17"/>
        <v>-0.59578547802231152</v>
      </c>
      <c r="Q37">
        <f t="shared" si="17"/>
        <v>-0.63411523533475389</v>
      </c>
      <c r="R37">
        <f t="shared" si="17"/>
        <v>-0.43663476323279071</v>
      </c>
      <c r="S37">
        <f t="shared" si="17"/>
        <v>0.50972292539884856</v>
      </c>
      <c r="T37">
        <f t="shared" si="17"/>
        <v>0.38732970687532031</v>
      </c>
      <c r="U37">
        <f t="shared" si="17"/>
        <v>0.78080733321743734</v>
      </c>
      <c r="V37">
        <f t="shared" si="17"/>
        <v>1.387872348693775</v>
      </c>
      <c r="W37">
        <f>M37*$J$35+N37*$J$36+O37*$J$37+P37*$J$38+Q37*$J$39+R37*$J$40+S37*$J$41+T37*$J$42+U37*$J$43+V37*$J$44</f>
        <v>0.3818607498032659</v>
      </c>
      <c r="X37">
        <f>M37*$K$35+N37*$K$36+O37*$K$37+P37*$K$38+Q37*$K$39+R37*$K$40+S37*$K$41+T37*$K$42+U37*$K$43+V37*$K$44</f>
        <v>1.8562515515000619</v>
      </c>
      <c r="Y37">
        <f t="shared" si="16"/>
        <v>0.8081959545133367</v>
      </c>
    </row>
    <row r="38" spans="1:25" x14ac:dyDescent="0.2">
      <c r="H38">
        <v>0.67671145837439273</v>
      </c>
      <c r="I38">
        <v>-0.59562269737682072</v>
      </c>
      <c r="J38">
        <f t="shared" si="13"/>
        <v>0.3136151573216599</v>
      </c>
      <c r="K38">
        <f t="shared" si="14"/>
        <v>-0.32321194169636647</v>
      </c>
      <c r="M38">
        <f>(B5-AVERAGE(B$2:B$32))/_xlfn.STDEV.S(B$2:B$32)</f>
        <v>-0.50943867091360495</v>
      </c>
      <c r="N38">
        <f t="shared" ref="N38:V38" si="18">(C5-AVERAGE(C$2:C$32))/_xlfn.STDEV.S(C$2:C$32)</f>
        <v>-0.2783440990962644</v>
      </c>
      <c r="O38">
        <f t="shared" si="18"/>
        <v>-0.43838188381844062</v>
      </c>
      <c r="P38">
        <f t="shared" si="18"/>
        <v>-0.59252295045347914</v>
      </c>
      <c r="Q38">
        <f t="shared" si="18"/>
        <v>-0.71724889762060895</v>
      </c>
      <c r="R38">
        <f t="shared" si="18"/>
        <v>-0.61777432125197262</v>
      </c>
      <c r="S38">
        <f t="shared" si="18"/>
        <v>0.40576627613987193</v>
      </c>
      <c r="T38">
        <f t="shared" si="18"/>
        <v>0.30244575440457222</v>
      </c>
      <c r="U38">
        <f t="shared" si="18"/>
        <v>-0.2307066209369007</v>
      </c>
      <c r="V38">
        <f t="shared" si="18"/>
        <v>-0.53415892656686992</v>
      </c>
      <c r="W38">
        <f>M38*$J$35+N38*$J$36+O38*$J$37+P38*$J$38+Q38*$J$39+R38*$J$40+S38*$J$41+T38*$J$42+U38*$J$43+V38*$J$44</f>
        <v>-1.4556570113175209</v>
      </c>
      <c r="X38">
        <f>M38*$K$35+N38*$K$36+O38*$K$37+P38*$K$38+Q38*$K$39+R38*$K$40+S38*$K$41+T38*$K$42+U38*$K$43+V38*$K$44</f>
        <v>0.15355409752408608</v>
      </c>
      <c r="Y38">
        <f t="shared" si="16"/>
        <v>-0.62560539740928289</v>
      </c>
    </row>
    <row r="39" spans="1:25" x14ac:dyDescent="0.2">
      <c r="H39">
        <v>0.8201608518591017</v>
      </c>
      <c r="I39">
        <v>-0.42173552120898106</v>
      </c>
      <c r="J39">
        <f t="shared" si="13"/>
        <v>0.38009534403739004</v>
      </c>
      <c r="K39">
        <f t="shared" si="14"/>
        <v>-0.22885285818120427</v>
      </c>
      <c r="M39">
        <f>(B6-AVERAGE(B$2:B$32))/_xlfn.STDEV.S(B$2:B$32)</f>
        <v>-0.58512549959018056</v>
      </c>
      <c r="N39">
        <f t="shared" ref="N39:V39" si="19">(C6-AVERAGE(C$2:C$32))/_xlfn.STDEV.S(C$2:C$32)</f>
        <v>-0.5253135396500711</v>
      </c>
      <c r="O39">
        <f t="shared" si="19"/>
        <v>-0.24780001249094408</v>
      </c>
      <c r="P39">
        <f t="shared" si="19"/>
        <v>-0.523466116913194</v>
      </c>
      <c r="Q39">
        <f t="shared" si="19"/>
        <v>-0.43257542071120214</v>
      </c>
      <c r="R39">
        <f t="shared" si="19"/>
        <v>-0.21059822416471441</v>
      </c>
      <c r="S39">
        <f t="shared" si="19"/>
        <v>-0.72830626123079001</v>
      </c>
      <c r="T39">
        <f t="shared" si="19"/>
        <v>2.4643728136668444E-2</v>
      </c>
      <c r="U39">
        <f t="shared" si="19"/>
        <v>-0.2716862021544113</v>
      </c>
      <c r="V39">
        <f t="shared" si="19"/>
        <v>-0.61770019205222593</v>
      </c>
      <c r="W39">
        <f>M39*$J$35+N39*$J$36+O39*$J$37+P39*$J$38+Q39*$J$39+R39*$J$40+S39*$J$41+T39*$J$42+U39*$J$43+V39*$J$44</f>
        <v>-0.98705043110463464</v>
      </c>
      <c r="X39">
        <f>M39*$K$35+N39*$K$36+O39*$K$37+P39*$K$38+Q39*$K$39+R39*$K$40+S39*$K$41+T39*$K$42+U39*$K$43+V39*$K$44</f>
        <v>-0.65134701611101875</v>
      </c>
      <c r="Y39">
        <f t="shared" si="16"/>
        <v>-0.68077464086378092</v>
      </c>
    </row>
    <row r="40" spans="1:25" x14ac:dyDescent="0.2">
      <c r="H40">
        <v>0.83421803441234599</v>
      </c>
      <c r="I40">
        <v>-0.27154765980005596</v>
      </c>
      <c r="J40">
        <f t="shared" si="13"/>
        <v>0.38661000470018608</v>
      </c>
      <c r="K40">
        <f t="shared" si="14"/>
        <v>-0.14735409979105341</v>
      </c>
      <c r="M40">
        <f>(B7-AVERAGE(B$2:B$32))/_xlfn.STDEV.S(B$2:B$32)</f>
        <v>0.36816469139126318</v>
      </c>
      <c r="N40">
        <f t="shared" ref="N40:V40" si="20">(C7-AVERAGE(C$2:C$32))/_xlfn.STDEV.S(C$2:C$32)</f>
        <v>0.2584699488371065</v>
      </c>
      <c r="O40">
        <f t="shared" si="20"/>
        <v>0.41225457276408567</v>
      </c>
      <c r="P40">
        <f t="shared" si="20"/>
        <v>-0.23400742094512189</v>
      </c>
      <c r="Q40">
        <f t="shared" si="20"/>
        <v>-0.26935073881177413</v>
      </c>
      <c r="R40">
        <f t="shared" si="20"/>
        <v>-0.21937864615476071</v>
      </c>
      <c r="S40">
        <f t="shared" si="20"/>
        <v>-0.23687482837017479</v>
      </c>
      <c r="T40">
        <f t="shared" si="20"/>
        <v>-0.60812755391800799</v>
      </c>
      <c r="U40">
        <f t="shared" si="20"/>
        <v>0.36202545030276367</v>
      </c>
      <c r="V40">
        <f t="shared" si="20"/>
        <v>0.30911301110238454</v>
      </c>
      <c r="W40">
        <f>M40*$J$35+N40*$J$36+O40*$J$37+P40*$J$38+Q40*$J$39+R40*$J$40+S40*$J$41+T40*$J$42+U40*$J$43+V40*$J$44</f>
        <v>0.44702424185929385</v>
      </c>
      <c r="X40">
        <f>M40*$K$35+N40*$K$36+O40*$K$37+P40*$K$38+Q40*$K$39+R40*$K$40+S40*$K$41+T40*$K$42+U40*$K$43+V40*$K$44</f>
        <v>0.23367732547685929</v>
      </c>
      <c r="Y40">
        <f t="shared" si="16"/>
        <v>0.28749364351488343</v>
      </c>
    </row>
    <row r="41" spans="1:25" x14ac:dyDescent="0.2">
      <c r="H41">
        <v>-0.40180890045975598</v>
      </c>
      <c r="I41">
        <v>0.76118528467527546</v>
      </c>
      <c r="J41">
        <f t="shared" si="13"/>
        <v>-0.1862143162665531</v>
      </c>
      <c r="K41">
        <f t="shared" si="14"/>
        <v>0.41305372500764531</v>
      </c>
      <c r="M41">
        <f>(B8-AVERAGE(B$2:B$32))/_xlfn.STDEV.S(B$2:B$32)</f>
        <v>-0.52873098761074921</v>
      </c>
      <c r="N41">
        <f t="shared" ref="N41:V41" si="21">(C8-AVERAGE(C$2:C$32))/_xlfn.STDEV.S(C$2:C$32)</f>
        <v>-0.41004346814695319</v>
      </c>
      <c r="O41">
        <f t="shared" si="21"/>
        <v>-0.59058372240759271</v>
      </c>
      <c r="P41">
        <f t="shared" si="21"/>
        <v>-0.68532373463359997</v>
      </c>
      <c r="Q41">
        <f t="shared" si="21"/>
        <v>-0.50827375090386662</v>
      </c>
      <c r="R41">
        <f t="shared" si="21"/>
        <v>-0.31223936686861503</v>
      </c>
      <c r="S41">
        <f t="shared" si="21"/>
        <v>0.35851325374943049</v>
      </c>
      <c r="T41">
        <f t="shared" si="21"/>
        <v>0.64969828723945477</v>
      </c>
      <c r="U41">
        <f t="shared" si="21"/>
        <v>-0.54901493704796145</v>
      </c>
      <c r="V41">
        <f t="shared" si="21"/>
        <v>-0.67446167905447119</v>
      </c>
      <c r="W41">
        <f>M41*$J$35+N41*$J$36+O41*$J$37+P41*$J$38+Q41*$J$39+R41*$J$40+S41*$J$41+T41*$J$42+U41*$J$43+V41*$J$44</f>
        <v>-1.5780422881971392</v>
      </c>
      <c r="X41">
        <f>M41*$K$35+N41*$K$36+O41*$K$37+P41*$K$38+Q41*$K$39+R41*$K$40+S41*$K$41+T41*$K$42+U41*$K$43+V41*$K$44</f>
        <v>9.5110233283060175E-2</v>
      </c>
      <c r="Y41">
        <f>0.4656*W41+0.33961*X41</f>
        <v>-0.70243610305932791</v>
      </c>
    </row>
    <row r="42" spans="1:25" x14ac:dyDescent="0.2">
      <c r="H42">
        <v>-0.39068146633488904</v>
      </c>
      <c r="I42">
        <v>0.79451572700726203</v>
      </c>
      <c r="J42">
        <f t="shared" si="13"/>
        <v>-0.18105741821130272</v>
      </c>
      <c r="K42">
        <f t="shared" si="14"/>
        <v>0.4311403376084823</v>
      </c>
      <c r="M42">
        <f>(B9-AVERAGE(B$2:B$32))/_xlfn.STDEV.S(B$2:B$32)</f>
        <v>8.5187899224685257E-3</v>
      </c>
      <c r="N42">
        <f t="shared" ref="N42:V42" si="22">(C9-AVERAGE(C$2:C$32))/_xlfn.STDEV.S(C$2:C$32)</f>
        <v>-7.8648637292242127E-2</v>
      </c>
      <c r="O42">
        <f t="shared" si="22"/>
        <v>-0.44561587469104547</v>
      </c>
      <c r="P42">
        <f t="shared" si="22"/>
        <v>-0.66248604165177338</v>
      </c>
      <c r="Q42">
        <f t="shared" si="22"/>
        <v>-0.76088361753335643</v>
      </c>
      <c r="R42">
        <f t="shared" si="22"/>
        <v>-0.43439858507524276</v>
      </c>
      <c r="S42">
        <f t="shared" si="22"/>
        <v>0.1222481417972098</v>
      </c>
      <c r="T42">
        <f t="shared" si="22"/>
        <v>0.1249611265111859</v>
      </c>
      <c r="U42">
        <f t="shared" si="22"/>
        <v>-0.35488482262247639</v>
      </c>
      <c r="V42">
        <f t="shared" si="22"/>
        <v>-0.20144928736909373</v>
      </c>
      <c r="W42">
        <f>M42*$J$35+N42*$J$36+O42*$J$37+P42*$J$38+Q42*$J$39+R42*$J$40+S42*$J$41+T42*$J$42+U42*$J$43+V42*$J$44</f>
        <v>-1.0487635960884554</v>
      </c>
      <c r="X42">
        <f>M42*$K$35+N42*$K$36+O42*$K$37+P42*$K$38+Q42*$K$39+R42*$K$40+S42*$K$41+T42*$K$42+U42*$K$43+V42*$K$44</f>
        <v>0.34403170722304099</v>
      </c>
      <c r="Y42">
        <f>0.4656*W42+0.33961*X42</f>
        <v>-0.3714677222487679</v>
      </c>
    </row>
    <row r="43" spans="1:25" x14ac:dyDescent="0.2">
      <c r="H43">
        <v>0.64108107955815652</v>
      </c>
      <c r="I43">
        <v>-0.12643817015913761</v>
      </c>
      <c r="J43">
        <f t="shared" si="13"/>
        <v>0.29710261461294446</v>
      </c>
      <c r="K43">
        <f t="shared" si="14"/>
        <v>-6.8611096691999232E-2</v>
      </c>
      <c r="M43">
        <f>(B10-AVERAGE(B$2:B$32))/_xlfn.STDEV.S(B$2:B$32)</f>
        <v>0.50051181693288427</v>
      </c>
      <c r="N43">
        <f t="shared" ref="N43:V43" si="23">(C10-AVERAGE(C$2:C$32))/_xlfn.STDEV.S(C$2:C$32)</f>
        <v>0.87923240746516207</v>
      </c>
      <c r="O43">
        <f t="shared" si="23"/>
        <v>0.45139899351193985</v>
      </c>
      <c r="P43">
        <f t="shared" si="23"/>
        <v>2.5144908042645495</v>
      </c>
      <c r="Q43">
        <f t="shared" si="23"/>
        <v>2.7973459380391743</v>
      </c>
      <c r="R43">
        <f t="shared" si="23"/>
        <v>3.6650909949509356</v>
      </c>
      <c r="S43">
        <f t="shared" si="23"/>
        <v>-1.4749040149997998</v>
      </c>
      <c r="T43">
        <f t="shared" si="23"/>
        <v>-1.3566496802509713</v>
      </c>
      <c r="U43">
        <f t="shared" si="23"/>
        <v>3.0980128590563534</v>
      </c>
      <c r="V43">
        <f t="shared" si="23"/>
        <v>-1.0062980646060593</v>
      </c>
      <c r="W43">
        <f>M43*$J$35+N43*$J$36+O43*$J$37+P43*$J$38+Q43*$J$39+R43*$J$40+S43*$J$41+T43*$J$42+U43*$J$43+V43*$J$44</f>
        <v>5.1853776278211496</v>
      </c>
      <c r="X43">
        <f>M43*$K$35+N43*$K$36+O43*$K$37+P43*$K$38+Q43*$K$39+R43*$K$40+S43*$K$41+T43*$K$42+U43*$K$43+V43*$K$44</f>
        <v>-3.2966707403366424</v>
      </c>
      <c r="Y43">
        <f t="shared" ref="Y43:Y44" si="24">0.4656*W43+0.33961*X43</f>
        <v>1.2947294733878001</v>
      </c>
    </row>
    <row r="44" spans="1:25" x14ac:dyDescent="0.2">
      <c r="H44">
        <v>0.44109527102957785</v>
      </c>
      <c r="I44">
        <v>0.79778773612683018</v>
      </c>
      <c r="J44">
        <f t="shared" si="13"/>
        <v>0.20442119178843202</v>
      </c>
      <c r="K44">
        <f t="shared" si="14"/>
        <v>0.43291587844237162</v>
      </c>
      <c r="M44">
        <f>(B11-AVERAGE(B$2:B$32))/_xlfn.STDEV.S(B$2:B$32)</f>
        <v>2.3227169539584391</v>
      </c>
      <c r="N44">
        <f t="shared" ref="N44:V44" si="25">(C11-AVERAGE(C$2:C$32))/_xlfn.STDEV.S(C$2:C$32)</f>
        <v>2.4800289636728299</v>
      </c>
      <c r="O44">
        <f t="shared" si="25"/>
        <v>2.3938252455901559</v>
      </c>
      <c r="P44">
        <f t="shared" si="25"/>
        <v>0.36067885424037877</v>
      </c>
      <c r="Q44">
        <f t="shared" si="25"/>
        <v>0.12809697899888867</v>
      </c>
      <c r="R44">
        <f t="shared" si="25"/>
        <v>0.61996397983757912</v>
      </c>
      <c r="S44">
        <f t="shared" si="25"/>
        <v>0.33016144031516292</v>
      </c>
      <c r="T44">
        <f t="shared" si="25"/>
        <v>-0.32260880469821407</v>
      </c>
      <c r="U44">
        <f t="shared" si="25"/>
        <v>0.12974326829764923</v>
      </c>
      <c r="V44">
        <f t="shared" si="25"/>
        <v>1.7901511950378928</v>
      </c>
      <c r="W44">
        <f>M44*$J$35+N44*$J$36+O44*$J$37+P44*$J$38+Q44*$J$39+R44*$J$40+S44*$J$41+T44*$J$42+U44*$J$43+V44*$J$44</f>
        <v>3.464968670380431</v>
      </c>
      <c r="X44">
        <f>M44*$K$35+N44*$K$36+O44*$K$37+P44*$K$38+Q44*$K$39+R44*$K$40+S44*$K$41+T44*$K$42+U44*$K$43+V44*$K$44</f>
        <v>2.6822383870424042</v>
      </c>
      <c r="Y44">
        <f t="shared" si="24"/>
        <v>2.5242043915525993</v>
      </c>
    </row>
    <row r="45" spans="1:25" x14ac:dyDescent="0.2">
      <c r="M45">
        <f>(B12-AVERAGE(B$2:B$32))/_xlfn.STDEV.S(B$2:B$32)</f>
        <v>1.369520704186566</v>
      </c>
      <c r="N45">
        <f t="shared" ref="N45:V45" si="26">(C12-AVERAGE(C$2:C$32))/_xlfn.STDEV.S(C$2:C$32)</f>
        <v>1.274807494223448</v>
      </c>
      <c r="O45">
        <f t="shared" si="26"/>
        <v>1.9641616376361377</v>
      </c>
      <c r="P45">
        <f t="shared" si="26"/>
        <v>1.3220369778563177</v>
      </c>
      <c r="Q45">
        <f t="shared" si="26"/>
        <v>1.7924225207366913</v>
      </c>
      <c r="R45">
        <f t="shared" si="26"/>
        <v>2.1410762534062968</v>
      </c>
      <c r="S45">
        <f t="shared" si="26"/>
        <v>0.1411493507533837</v>
      </c>
      <c r="T45">
        <f t="shared" si="26"/>
        <v>9.2102822328990561E-3</v>
      </c>
      <c r="U45">
        <f t="shared" si="26"/>
        <v>0.26658718175839108</v>
      </c>
      <c r="V45">
        <f t="shared" si="26"/>
        <v>0.9509544410508507</v>
      </c>
      <c r="W45">
        <f>M45*$J$35+N45*$J$36+O45*$J$37+P45*$J$38+Q45*$J$39+R45*$J$40+S45*$J$41+T45*$J$42+U45*$J$43+V45*$J$44</f>
        <v>3.8717100028064686</v>
      </c>
      <c r="X45">
        <f>M45*$K$35+N45*$K$36+O45*$K$37+P45*$K$38+Q45*$K$39+R45*$K$40+S45*$K$41+T45*$K$42+U45*$K$43+V45*$K$44</f>
        <v>0.68637456209274583</v>
      </c>
      <c r="Y45">
        <f>0.4656*W45+0.33961*X45</f>
        <v>2.0357678423390095</v>
      </c>
    </row>
    <row r="46" spans="1:25" x14ac:dyDescent="0.2">
      <c r="M46">
        <f>(B13-AVERAGE(B$2:B$32))/_xlfn.STDEV.S(B$2:B$32)</f>
        <v>-0.10382573172769509</v>
      </c>
      <c r="N46">
        <f t="shared" ref="N46:V46" si="27">(C13-AVERAGE(C$2:C$32))/_xlfn.STDEV.S(C$2:C$32)</f>
        <v>-0.36345845993948617</v>
      </c>
      <c r="O46">
        <f t="shared" si="27"/>
        <v>-0.16620990104112213</v>
      </c>
      <c r="P46">
        <f t="shared" si="27"/>
        <v>-0.59524172342750614</v>
      </c>
      <c r="Q46">
        <f t="shared" si="27"/>
        <v>-0.6884445419912979</v>
      </c>
      <c r="R46">
        <f t="shared" si="27"/>
        <v>-0.45599367699670712</v>
      </c>
      <c r="S46">
        <f t="shared" si="27"/>
        <v>0.74598803735106922</v>
      </c>
      <c r="T46">
        <f t="shared" si="27"/>
        <v>6.3227342896097397E-2</v>
      </c>
      <c r="U46">
        <f t="shared" si="27"/>
        <v>-0.21591059066744034</v>
      </c>
      <c r="V46">
        <f t="shared" si="27"/>
        <v>0.69974847549732411</v>
      </c>
      <c r="W46">
        <f>M46*$J$35+N46*$J$36+O46*$J$37+P46*$J$38+Q46*$J$39+R46*$J$40+S46*$J$41+T46*$J$42+U46*$J$43+V46*$J$44</f>
        <v>-0.93353469702451719</v>
      </c>
      <c r="X46">
        <f>M46*$K$35+N46*$K$36+O46*$K$37+P46*$K$38+Q46*$K$39+R46*$K$40+S46*$K$41+T46*$K$42+U46*$K$43+V46*$K$44</f>
        <v>0.88831031818793749</v>
      </c>
      <c r="Y46">
        <f t="shared" ref="Y46:Y65" si="28">0.4656*W46+0.33961*X46</f>
        <v>-0.13297468777480975</v>
      </c>
    </row>
    <row r="47" spans="1:25" x14ac:dyDescent="0.2">
      <c r="M47">
        <f>(B14-AVERAGE(B$2:B$32))/_xlfn.STDEV.S(B$2:B$32)</f>
        <v>0.18039454345211003</v>
      </c>
      <c r="N47">
        <f t="shared" ref="N47:V47" si="29">(C14-AVERAGE(C$2:C$32))/_xlfn.STDEV.S(C$2:C$32)</f>
        <v>4.1232237071000571E-2</v>
      </c>
      <c r="O47">
        <f t="shared" si="29"/>
        <v>-0.18965667237629494</v>
      </c>
      <c r="P47">
        <f t="shared" si="29"/>
        <v>-0.11039387639269535</v>
      </c>
      <c r="Q47">
        <f t="shared" si="29"/>
        <v>0.5456493108907996</v>
      </c>
      <c r="R47">
        <f t="shared" si="29"/>
        <v>0.64098405451853102</v>
      </c>
      <c r="S47">
        <f t="shared" si="29"/>
        <v>0.32071083583706927</v>
      </c>
      <c r="T47">
        <f t="shared" si="29"/>
        <v>4.7793896992328007E-2</v>
      </c>
      <c r="U47">
        <f t="shared" si="29"/>
        <v>-0.23798843688103302</v>
      </c>
      <c r="V47">
        <f t="shared" si="29"/>
        <v>-0.28149753826969609</v>
      </c>
      <c r="W47">
        <f>M47*$J$35+N47*$J$36+O47*$J$37+P47*$J$38+Q47*$J$39+R47*$J$40+S47*$J$41+T47*$J$42+U47*$J$43+V47*$J$44</f>
        <v>0.23394542015758113</v>
      </c>
      <c r="X47">
        <f>M47*$K$35+N47*$K$36+O47*$K$37+P47*$K$38+Q47*$K$39+R47*$K$40+S47*$K$41+T47*$K$42+U47*$K$43+V47*$K$44</f>
        <v>-0.12021893134013849</v>
      </c>
      <c r="Y47">
        <f t="shared" si="28"/>
        <v>6.8097436352945337E-2</v>
      </c>
    </row>
    <row r="48" spans="1:25" x14ac:dyDescent="0.2">
      <c r="A48" t="s">
        <v>307</v>
      </c>
      <c r="M48">
        <f>(B15-AVERAGE(B$2:B$32))/_xlfn.STDEV.S(B$2:B$32)</f>
        <v>-0.40552365438562576</v>
      </c>
      <c r="N48">
        <f t="shared" ref="N48:V48" si="30">(C15-AVERAGE(C$2:C$32))/_xlfn.STDEV.S(C$2:C$32)</f>
        <v>-0.60957993674890221</v>
      </c>
      <c r="O48">
        <f t="shared" si="30"/>
        <v>-0.28920436300604385</v>
      </c>
      <c r="P48">
        <f t="shared" si="30"/>
        <v>-0.78881835917822685</v>
      </c>
      <c r="Q48">
        <f t="shared" si="30"/>
        <v>-0.87658967637379714</v>
      </c>
      <c r="R48">
        <f t="shared" si="30"/>
        <v>-0.19881493436310393</v>
      </c>
      <c r="S48">
        <f t="shared" si="30"/>
        <v>-0.18017120150163968</v>
      </c>
      <c r="T48">
        <f t="shared" si="30"/>
        <v>0.24842869374136292</v>
      </c>
      <c r="U48">
        <f t="shared" si="30"/>
        <v>-0.44280887684152082</v>
      </c>
      <c r="V48">
        <f t="shared" si="30"/>
        <v>0.25031393225903315</v>
      </c>
      <c r="W48">
        <f>M48*$J$35+N48*$J$36+O48*$J$37+P48*$J$38+Q48*$J$39+R48*$J$40+S48*$J$41+T48*$J$42+U48*$J$43+V48*$J$44</f>
        <v>-1.2338952696304444</v>
      </c>
      <c r="X48">
        <f>M48*$K$35+N48*$K$36+O48*$K$37+P48*$K$38+Q48*$K$39+R48*$K$40+S48*$K$41+T48*$K$42+U48*$K$43+V48*$K$44</f>
        <v>0.27019089021846404</v>
      </c>
      <c r="Y48">
        <f t="shared" si="28"/>
        <v>-0.48274210931284234</v>
      </c>
    </row>
    <row r="49" spans="1:25" x14ac:dyDescent="0.2">
      <c r="A49">
        <v>0.71899999999999997</v>
      </c>
      <c r="B49" t="s">
        <v>308</v>
      </c>
      <c r="M49">
        <f>(B16-AVERAGE(B$2:B$32))/_xlfn.STDEV.S(B$2:B$32)</f>
        <v>2.3427814215732718</v>
      </c>
      <c r="N49">
        <f t="shared" ref="N49:V49" si="31">(C16-AVERAGE(C$2:C$32))/_xlfn.STDEV.S(C$2:C$32)</f>
        <v>2.506951812557237</v>
      </c>
      <c r="O49">
        <f t="shared" si="31"/>
        <v>2.6229034695704878</v>
      </c>
      <c r="P49">
        <f t="shared" si="31"/>
        <v>-0.34076457305858115</v>
      </c>
      <c r="Q49">
        <f t="shared" si="31"/>
        <v>-0.20362663459777983</v>
      </c>
      <c r="R49">
        <f t="shared" si="31"/>
        <v>6.933477212916378E-2</v>
      </c>
      <c r="S49">
        <f t="shared" si="31"/>
        <v>-6.676394776456944E-2</v>
      </c>
      <c r="T49">
        <f t="shared" si="31"/>
        <v>0.14039457241495529</v>
      </c>
      <c r="U49">
        <f t="shared" si="31"/>
        <v>1.0609635817488687</v>
      </c>
      <c r="V49">
        <f t="shared" si="31"/>
        <v>0.81327144950181474</v>
      </c>
      <c r="W49">
        <f>M49*$J$35+N49*$J$36+O49*$J$37+P49*$J$38+Q49*$J$39+R49*$J$40+S49*$J$41+T49*$J$42+U49*$J$43+V49*$J$44</f>
        <v>3.075255977033772</v>
      </c>
      <c r="X49">
        <f>M49*$K$35+N49*$K$36+O49*$K$37+P49*$K$38+Q49*$K$39+R49*$K$40+S49*$K$41+T49*$K$42+U49*$K$43+V49*$K$44</f>
        <v>2.6964337485878436</v>
      </c>
      <c r="Y49">
        <f t="shared" si="28"/>
        <v>2.3475750482648419</v>
      </c>
    </row>
    <row r="50" spans="1:25" ht="14.25" customHeight="1" x14ac:dyDescent="0.2">
      <c r="M50">
        <f>(B17-AVERAGE(B$2:B$32))/_xlfn.STDEV.S(B$2:B$32)</f>
        <v>0.81322606484970661</v>
      </c>
      <c r="N50">
        <f t="shared" ref="N50:V50" si="32">(C17-AVERAGE(C$2:C$32))/_xlfn.STDEV.S(C$2:C$32)</f>
        <v>0.29927820403591149</v>
      </c>
      <c r="O50">
        <f t="shared" si="32"/>
        <v>0.47860677541564145</v>
      </c>
      <c r="P50">
        <f t="shared" si="32"/>
        <v>-0.74278047015137005</v>
      </c>
      <c r="Q50">
        <f t="shared" si="32"/>
        <v>-0.89857831091768381</v>
      </c>
      <c r="R50">
        <f t="shared" si="32"/>
        <v>-0.59255570798950175</v>
      </c>
      <c r="S50">
        <f t="shared" si="32"/>
        <v>1.5965424403790691</v>
      </c>
      <c r="T50">
        <f t="shared" si="32"/>
        <v>2.3087937218949874</v>
      </c>
      <c r="U50">
        <f t="shared" si="32"/>
        <v>3.6086720675777083E-2</v>
      </c>
      <c r="V50">
        <f t="shared" si="32"/>
        <v>1.3648766693441474</v>
      </c>
      <c r="W50">
        <f>M50*$J$35+N50*$J$36+O50*$J$37+P50*$J$38+Q50*$J$39+R50*$J$40+S50*$J$41+T50*$J$42+U50*$J$43+V50*$J$44</f>
        <v>-0.64756981337854913</v>
      </c>
      <c r="X50">
        <f>M50*$K$35+N50*$K$36+O50*$K$37+P50*$K$38+Q50*$K$39+R50*$K$40+S50*$K$41+T50*$K$42+U50*$K$43+V50*$K$44</f>
        <v>3.2717268044635568</v>
      </c>
      <c r="Y50">
        <f t="shared" si="28"/>
        <v>0.80960263495481621</v>
      </c>
    </row>
    <row r="51" spans="1:25" x14ac:dyDescent="0.2">
      <c r="A51" t="s">
        <v>309</v>
      </c>
      <c r="M51">
        <f>(B18-AVERAGE(B$2:B$32))/_xlfn.STDEV.S(B$2:B$32)</f>
        <v>0.23922923563135828</v>
      </c>
      <c r="N51">
        <f t="shared" ref="N51:V51" si="33">(C18-AVERAGE(C$2:C$32))/_xlfn.STDEV.S(C$2:C$32)</f>
        <v>-5.4746659247227714E-2</v>
      </c>
      <c r="O51">
        <f t="shared" si="33"/>
        <v>1.6334818099430017E-2</v>
      </c>
      <c r="P51">
        <f t="shared" si="33"/>
        <v>-0.78972461683623585</v>
      </c>
      <c r="Q51">
        <f t="shared" si="33"/>
        <v>-0.34227341318916171</v>
      </c>
      <c r="R51">
        <f t="shared" si="33"/>
        <v>-0.20474765192394584</v>
      </c>
      <c r="S51">
        <f t="shared" si="33"/>
        <v>1.1429134254308015</v>
      </c>
      <c r="T51">
        <f t="shared" si="33"/>
        <v>1.1049849414007338</v>
      </c>
      <c r="U51">
        <f t="shared" si="33"/>
        <v>-0.24399206172858892</v>
      </c>
      <c r="V51">
        <f t="shared" si="33"/>
        <v>0.44941576358998586</v>
      </c>
      <c r="W51">
        <f>M51*$J$35+N51*$J$36+O51*$J$37+P51*$J$38+Q51*$J$39+R51*$J$40+S51*$J$41+T51*$J$42+U51*$J$43+V51*$J$44</f>
        <v>-0.77994579840030553</v>
      </c>
      <c r="X51">
        <f>M51*$K$35+N51*$K$36+O51*$K$37+P51*$K$38+Q51*$K$39+R51*$K$40+S51*$K$41+T51*$K$42+U51*$K$43+V51*$K$44</f>
        <v>1.5940686439298779</v>
      </c>
      <c r="Y51">
        <f t="shared" si="28"/>
        <v>0.17821888842984357</v>
      </c>
    </row>
    <row r="52" spans="1:25" x14ac:dyDescent="0.2">
      <c r="A52" t="s">
        <v>310</v>
      </c>
      <c r="B52">
        <v>379.13033013843847</v>
      </c>
      <c r="M52">
        <f>(B19-AVERAGE(B$2:B$32))/_xlfn.STDEV.S(B$2:B$32)</f>
        <v>7.9377956926730331E-2</v>
      </c>
      <c r="N52">
        <f t="shared" ref="N52:V52" si="34">(C19-AVERAGE(C$2:C$32))/_xlfn.STDEV.S(C$2:C$32)</f>
        <v>-0.30203408620518107</v>
      </c>
      <c r="O52">
        <f t="shared" si="34"/>
        <v>-9.0153294094923522E-2</v>
      </c>
      <c r="P52">
        <f t="shared" si="34"/>
        <v>-0.41399019182570773</v>
      </c>
      <c r="Q52">
        <f t="shared" si="34"/>
        <v>-9.7406165412811663E-2</v>
      </c>
      <c r="R52">
        <f t="shared" si="34"/>
        <v>0.14510926626779364</v>
      </c>
      <c r="S52">
        <f t="shared" si="34"/>
        <v>1.284672492602126</v>
      </c>
      <c r="T52">
        <f t="shared" si="34"/>
        <v>0.97380065121867765</v>
      </c>
      <c r="U52">
        <f t="shared" si="34"/>
        <v>-0.17853318435846327</v>
      </c>
      <c r="V52">
        <f t="shared" si="34"/>
        <v>1.3980603078993061</v>
      </c>
      <c r="W52">
        <f>M52*$J$35+N52*$J$36+O52*$J$37+P52*$J$38+Q52*$J$39+R52*$J$40+S52*$J$41+T52*$J$42+U52*$J$43+V52*$J$44</f>
        <v>-0.41398729825206243</v>
      </c>
      <c r="X52">
        <f>M52*$K$35+N52*$K$36+O52*$K$37+P52*$K$38+Q52*$K$39+R52*$K$40+S52*$K$41+T52*$K$42+U52*$K$43+V52*$K$44</f>
        <v>1.6213531409804278</v>
      </c>
      <c r="Y52">
        <f t="shared" si="28"/>
        <v>0.35787525414220289</v>
      </c>
    </row>
    <row r="53" spans="1:25" x14ac:dyDescent="0.2">
      <c r="A53" t="s">
        <v>311</v>
      </c>
      <c r="B53">
        <v>45</v>
      </c>
      <c r="M53">
        <f>(B20-AVERAGE(B$2:B$32))/_xlfn.STDEV.S(B$2:B$32)</f>
        <v>2.4685091287136993</v>
      </c>
      <c r="N53">
        <f t="shared" ref="N53:V53" si="35">(C20-AVERAGE(C$2:C$32))/_xlfn.STDEV.S(C$2:C$32)</f>
        <v>2.818631486354862</v>
      </c>
      <c r="O53">
        <f t="shared" si="35"/>
        <v>2.0132763367688988</v>
      </c>
      <c r="P53">
        <f t="shared" si="35"/>
        <v>1.0700973489298178</v>
      </c>
      <c r="Q53">
        <f t="shared" si="35"/>
        <v>1.8219673870826012</v>
      </c>
      <c r="R53">
        <f t="shared" si="35"/>
        <v>0.84652989985723814</v>
      </c>
      <c r="S53">
        <f t="shared" si="35"/>
        <v>-0.69995444779652249</v>
      </c>
      <c r="T53">
        <f t="shared" si="35"/>
        <v>0.19441163307816459</v>
      </c>
      <c r="U53">
        <f t="shared" si="35"/>
        <v>0.7105068229057343</v>
      </c>
      <c r="V53">
        <f t="shared" si="35"/>
        <v>2.6616583339339055</v>
      </c>
      <c r="W53">
        <f>M53*$J$35+N53*$J$36+O53*$J$37+P53*$J$38+Q53*$J$39+R53*$J$40+S53*$J$41+T53*$J$42+U53*$J$43+V53*$J$44</f>
        <v>4.9084598659459875</v>
      </c>
      <c r="X53">
        <f>M53*$K$35+N53*$K$36+O53*$K$37+P53*$K$38+Q53*$K$39+R53*$K$40+S53*$K$41+T53*$K$42+U53*$K$43+V53*$K$44</f>
        <v>2.1949291051580522</v>
      </c>
      <c r="Y53">
        <f t="shared" si="28"/>
        <v>3.030798786987178</v>
      </c>
    </row>
    <row r="54" spans="1:25" x14ac:dyDescent="0.2">
      <c r="A54" t="s">
        <v>312</v>
      </c>
      <c r="B54" s="30">
        <v>2.08722926462246E-54</v>
      </c>
      <c r="C54" t="s">
        <v>313</v>
      </c>
      <c r="M54">
        <f>(B21-AVERAGE(B$2:B$32))/_xlfn.STDEV.S(B$2:B$32)</f>
        <v>-0.44581297704626532</v>
      </c>
      <c r="N54">
        <f t="shared" ref="N54:V54" si="36">(C21-AVERAGE(C$2:C$32))/_xlfn.STDEV.S(C$2:C$32)</f>
        <v>-0.62134543370232398</v>
      </c>
      <c r="O54">
        <f t="shared" si="36"/>
        <v>-0.55324502985611612</v>
      </c>
      <c r="P54">
        <f t="shared" si="36"/>
        <v>-0.4772469763547354</v>
      </c>
      <c r="Q54">
        <f t="shared" si="36"/>
        <v>-0.31849143296426241</v>
      </c>
      <c r="R54">
        <f t="shared" si="36"/>
        <v>-0.35113061229438025</v>
      </c>
      <c r="S54">
        <f t="shared" si="36"/>
        <v>0.64203138809209259</v>
      </c>
      <c r="T54">
        <f t="shared" si="36"/>
        <v>0.97380065121867765</v>
      </c>
      <c r="U54">
        <f t="shared" si="36"/>
        <v>-0.39311435632917108</v>
      </c>
      <c r="V54">
        <f t="shared" si="36"/>
        <v>0.1385374655469194</v>
      </c>
      <c r="W54">
        <f>M54*$J$35+N54*$J$36+O54*$J$37+P54*$J$38+Q54*$J$39+R54*$J$40+S54*$J$41+T54*$J$42+U54*$J$43+V54*$J$44</f>
        <v>-1.3919996314453729</v>
      </c>
      <c r="X54">
        <f>M54*$K$35+N54*$K$36+O54*$K$37+P54*$K$38+Q54*$K$39+R54*$K$40+S54*$K$41+T54*$K$42+U54*$K$43+V54*$K$44</f>
        <v>0.5701776922463021</v>
      </c>
      <c r="Y54">
        <f t="shared" si="28"/>
        <v>-0.45447698233719891</v>
      </c>
    </row>
    <row r="55" spans="1:25" x14ac:dyDescent="0.2">
      <c r="M55">
        <f>(B22-AVERAGE(B$2:B$32))/_xlfn.STDEV.S(B$2:B$32)</f>
        <v>-1.0302510280210135</v>
      </c>
      <c r="N55">
        <f t="shared" ref="N55:V55" si="37">(C22-AVERAGE(C$2:C$32))/_xlfn.STDEV.S(C$2:C$32)</f>
        <v>-0.88257126470870018</v>
      </c>
      <c r="O55">
        <f t="shared" si="37"/>
        <v>-1.0625379278442582</v>
      </c>
      <c r="P55">
        <f t="shared" si="37"/>
        <v>-0.64526714614960257</v>
      </c>
      <c r="Q55">
        <f t="shared" si="37"/>
        <v>-0.64256813997728368</v>
      </c>
      <c r="R55">
        <f t="shared" si="37"/>
        <v>-0.51838761122119215</v>
      </c>
      <c r="S55">
        <f t="shared" si="37"/>
        <v>0.66093259704826657</v>
      </c>
      <c r="T55">
        <f t="shared" si="37"/>
        <v>0.54166416591304711</v>
      </c>
      <c r="U55">
        <f t="shared" si="37"/>
        <v>-0.6883764996383237</v>
      </c>
      <c r="V55">
        <f t="shared" si="37"/>
        <v>-1.1154547703796078</v>
      </c>
      <c r="W55">
        <f>M55*$J$35+N55*$J$36+O55*$J$37+P55*$J$38+Q55*$J$39+R55*$J$40+S55*$J$41+T55*$J$42+U55*$J$43+V55*$J$44</f>
        <v>-2.3986468397191945</v>
      </c>
      <c r="X55">
        <f>M55*$K$35+N55*$K$36+O55*$K$37+P55*$K$38+Q55*$K$39+R55*$K$40+S55*$K$41+T55*$K$42+U55*$K$43+V55*$K$44</f>
        <v>-0.39506203708240184</v>
      </c>
      <c r="Y55">
        <f t="shared" si="28"/>
        <v>-1.2509769869868115</v>
      </c>
    </row>
    <row r="56" spans="1:25" x14ac:dyDescent="0.2">
      <c r="M56">
        <f>(B23-AVERAGE(B$2:B$32))/_xlfn.STDEV.S(B$2:B$32)</f>
        <v>-0.59582334123613867</v>
      </c>
      <c r="N56">
        <f t="shared" ref="N56:V56" si="38">(C23-AVERAGE(C$2:C$32))/_xlfn.STDEV.S(C$2:C$32)</f>
        <v>-0.62977207341220698</v>
      </c>
      <c r="O56">
        <f t="shared" si="38"/>
        <v>-0.38677461508945288</v>
      </c>
      <c r="P56">
        <f t="shared" si="38"/>
        <v>-0.3362332847685362</v>
      </c>
      <c r="Q56">
        <f t="shared" si="38"/>
        <v>0.45089416409343408</v>
      </c>
      <c r="R56">
        <f t="shared" si="38"/>
        <v>-0.41927471892398871</v>
      </c>
      <c r="S56">
        <f t="shared" si="38"/>
        <v>-3.8412134330301884E-2</v>
      </c>
      <c r="T56">
        <f t="shared" si="38"/>
        <v>-1.0016804244641986</v>
      </c>
      <c r="U56">
        <f t="shared" si="38"/>
        <v>-0.57934292579400182</v>
      </c>
      <c r="V56">
        <f t="shared" si="38"/>
        <v>-0.56152087414743956</v>
      </c>
      <c r="W56">
        <f>M56*$J$35+N56*$J$36+O56*$J$37+P56*$J$38+Q56*$J$39+R56*$J$40+S56*$J$41+T56*$J$42+U56*$J$43+V56*$J$44</f>
        <v>-0.79091170792735566</v>
      </c>
      <c r="X56">
        <f>M56*$K$35+N56*$K$36+O56*$K$37+P56*$K$38+Q56*$K$39+R56*$K$40+S56*$K$41+T56*$K$42+U56*$K$43+V56*$K$44</f>
        <v>-1.0681450213033945</v>
      </c>
      <c r="Y56">
        <f t="shared" si="28"/>
        <v>-0.73100122189582262</v>
      </c>
    </row>
    <row r="57" spans="1:25" x14ac:dyDescent="0.2">
      <c r="M57">
        <f>(B24-AVERAGE(B$2:B$32))/_xlfn.STDEV.S(B$2:B$32)</f>
        <v>0.29561458261473406</v>
      </c>
      <c r="N57">
        <f t="shared" ref="N57:V57" si="39">(C24-AVERAGE(C$2:C$32))/_xlfn.STDEV.S(C$2:C$32)</f>
        <v>-0.11738998086409461</v>
      </c>
      <c r="O57">
        <f t="shared" si="39"/>
        <v>0.32298180791433811</v>
      </c>
      <c r="P57">
        <f t="shared" si="39"/>
        <v>-0.38952123505946495</v>
      </c>
      <c r="Q57">
        <f t="shared" si="39"/>
        <v>-0.35606605497178734</v>
      </c>
      <c r="R57">
        <f t="shared" si="39"/>
        <v>-0.27161394246352694</v>
      </c>
      <c r="S57">
        <f t="shared" si="39"/>
        <v>1.114561611996534</v>
      </c>
      <c r="T57">
        <f t="shared" si="39"/>
        <v>0.83489963808472023</v>
      </c>
      <c r="U57">
        <f t="shared" si="39"/>
        <v>-0.45551332168021985</v>
      </c>
      <c r="V57">
        <f t="shared" si="39"/>
        <v>0.5006466441663715</v>
      </c>
      <c r="W57">
        <f>M57*$J$35+N57*$J$36+O57*$J$37+P57*$J$38+Q57*$J$39+R57*$J$40+S57*$J$41+T57*$J$42+U57*$J$43+V57*$J$44</f>
        <v>-0.57411593269271266</v>
      </c>
      <c r="X57">
        <f>M57*$K$35+N57*$K$36+O57*$K$37+P57*$K$38+Q57*$K$39+R57*$K$40+S57*$K$41+T57*$K$42+U57*$K$43+V57*$K$44</f>
        <v>1.4787564734578753</v>
      </c>
      <c r="Y57">
        <f t="shared" si="28"/>
        <v>0.23489210768930202</v>
      </c>
    </row>
    <row r="58" spans="1:25" x14ac:dyDescent="0.2">
      <c r="M58">
        <f>(B25-AVERAGE(B$2:B$32))/_xlfn.STDEV.S(B$2:B$32)</f>
        <v>-0.8417866316306446</v>
      </c>
      <c r="N58">
        <f t="shared" ref="N58:V58" si="40">(C25-AVERAGE(C$2:C$32))/_xlfn.STDEV.S(C$2:C$32)</f>
        <v>-0.70465787158871529</v>
      </c>
      <c r="O58">
        <f t="shared" si="40"/>
        <v>-0.7588986386754637</v>
      </c>
      <c r="P58">
        <f t="shared" si="40"/>
        <v>-0.68532373463359997</v>
      </c>
      <c r="Q58">
        <f t="shared" si="40"/>
        <v>-0.79769757887281145</v>
      </c>
      <c r="R58">
        <f t="shared" si="40"/>
        <v>-0.92821061306636432</v>
      </c>
      <c r="S58">
        <f t="shared" si="40"/>
        <v>0.25455660449045392</v>
      </c>
      <c r="T58">
        <f t="shared" si="40"/>
        <v>0.40276315277908969</v>
      </c>
      <c r="U58">
        <f t="shared" si="40"/>
        <v>-0.54320497751806873</v>
      </c>
      <c r="V58">
        <f t="shared" si="40"/>
        <v>-0.55424376042920298</v>
      </c>
      <c r="W58">
        <f>M58*$J$35+N58*$J$36+O58*$J$37+P58*$J$38+Q58*$J$39+R58*$J$40+S58*$J$41+T58*$J$42+U58*$J$43+V58*$J$44</f>
        <v>-2.1223834496164375</v>
      </c>
      <c r="X58">
        <f>M58*$K$35+N58*$K$36+O58*$K$37+P58*$K$38+Q58*$K$39+R58*$K$40+S58*$K$41+T58*$K$42+U58*$K$43+V58*$K$44</f>
        <v>-8.0050600092897495E-2</v>
      </c>
      <c r="Y58">
        <f t="shared" si="28"/>
        <v>-1.0153677184389622</v>
      </c>
    </row>
    <row r="59" spans="1:25" x14ac:dyDescent="0.2">
      <c r="M59">
        <f>(B26-AVERAGE(B$2:B$32))/_xlfn.STDEV.S(B$2:B$32)</f>
        <v>-0.52843999898598226</v>
      </c>
      <c r="N59">
        <f t="shared" ref="N59:V59" si="41">(C26-AVERAGE(C$2:C$32))/_xlfn.STDEV.S(C$2:C$32)</f>
        <v>-0.46998390532857448</v>
      </c>
      <c r="O59">
        <f t="shared" si="41"/>
        <v>-0.52276367321603667</v>
      </c>
      <c r="P59">
        <f t="shared" si="41"/>
        <v>-0.29563294168973336</v>
      </c>
      <c r="Q59">
        <f t="shared" si="41"/>
        <v>-0.12138460766456369</v>
      </c>
      <c r="R59">
        <f t="shared" si="41"/>
        <v>-0.67748484168739986</v>
      </c>
      <c r="S59">
        <f t="shared" si="41"/>
        <v>2.1824799180205674</v>
      </c>
      <c r="T59">
        <f t="shared" si="41"/>
        <v>1.5911384873695738</v>
      </c>
      <c r="U59">
        <f t="shared" si="41"/>
        <v>-0.52775048516855372</v>
      </c>
      <c r="V59">
        <f t="shared" si="41"/>
        <v>-0.55599026772157967</v>
      </c>
      <c r="W59">
        <f>M59*$J$35+N59*$J$36+O59*$J$37+P59*$J$38+Q59*$J$39+R59*$J$40+S59*$J$41+T59*$J$42+U59*$J$43+V59*$J$44</f>
        <v>-1.927267342579537</v>
      </c>
      <c r="X59">
        <f>M59*$K$35+N59*$K$36+O59*$K$37+P59*$K$38+Q59*$K$39+R59*$K$40+S59*$K$41+T59*$K$42+U59*$K$43+V59*$K$44</f>
        <v>1.1474850442510638</v>
      </c>
      <c r="Y59">
        <f t="shared" si="28"/>
        <v>-0.50763827882692869</v>
      </c>
    </row>
    <row r="60" spans="1:25" x14ac:dyDescent="0.2">
      <c r="M60">
        <f>(B27-AVERAGE(B$2:B$32))/_xlfn.STDEV.S(B$2:B$32)</f>
        <v>-1.1580614805150873</v>
      </c>
      <c r="N60">
        <f t="shared" ref="N60:V60" si="42">(C27-AVERAGE(C$2:C$32))/_xlfn.STDEV.S(C$2:C$32)</f>
        <v>-0.92936826385226479</v>
      </c>
      <c r="O60">
        <f t="shared" si="42"/>
        <v>-1.148221392475439</v>
      </c>
      <c r="P60">
        <f t="shared" si="42"/>
        <v>2.6573170111667666</v>
      </c>
      <c r="Q60">
        <f t="shared" si="42"/>
        <v>0.63484307108187632</v>
      </c>
      <c r="R60">
        <f t="shared" si="42"/>
        <v>-0.76906774631122687</v>
      </c>
      <c r="S60">
        <f t="shared" si="42"/>
        <v>-0.974021977661091</v>
      </c>
      <c r="T60">
        <f t="shared" si="42"/>
        <v>-1.5264175851924675</v>
      </c>
      <c r="U60">
        <f t="shared" si="42"/>
        <v>-0.77087792496280161</v>
      </c>
      <c r="V60">
        <f t="shared" si="42"/>
        <v>-1.3209604617826087</v>
      </c>
      <c r="W60">
        <f>M60*$J$35+N60*$J$36+O60*$J$37+P60*$J$38+Q60*$J$39+R60*$J$40+S60*$J$41+T60*$J$42+U60*$J$43+V60*$J$44</f>
        <v>-0.4570977059690019</v>
      </c>
      <c r="X60">
        <f>M60*$K$35+N60*$K$36+O60*$K$37+P60*$K$38+Q60*$K$39+R60*$K$40+S60*$K$41+T60*$K$42+U60*$K$43+V60*$K$44</f>
        <v>-3.4490443327185929</v>
      </c>
      <c r="Y60">
        <f t="shared" si="28"/>
        <v>-1.3841546377337286</v>
      </c>
    </row>
    <row r="61" spans="1:25" x14ac:dyDescent="0.2">
      <c r="M61">
        <f>(B28-AVERAGE(B$2:B$32))/_xlfn.STDEV.S(B$2:B$32)</f>
        <v>-0.54584661774467647</v>
      </c>
      <c r="N61">
        <f t="shared" ref="N61:V61" si="43">(C28-AVERAGE(C$2:C$32))/_xlfn.STDEV.S(C$2:C$32)</f>
        <v>-0.47554866740113882</v>
      </c>
      <c r="O61">
        <f t="shared" si="43"/>
        <v>-0.402372561718285</v>
      </c>
      <c r="P61">
        <f t="shared" si="43"/>
        <v>-0.57784157639373346</v>
      </c>
      <c r="Q61">
        <f t="shared" si="43"/>
        <v>-0.42561864996547344</v>
      </c>
      <c r="R61">
        <f t="shared" si="43"/>
        <v>-0.6345776028358342</v>
      </c>
      <c r="S61">
        <f t="shared" si="43"/>
        <v>-0.62434961197181349</v>
      </c>
      <c r="T61">
        <f t="shared" si="43"/>
        <v>-0.1451241768048277</v>
      </c>
      <c r="U61">
        <f t="shared" si="43"/>
        <v>-0.40663219550205498</v>
      </c>
      <c r="V61">
        <f t="shared" si="43"/>
        <v>-5.3287252065796896E-2</v>
      </c>
      <c r="W61">
        <f>M61*$J$35+N61*$J$36+O61*$J$37+P61*$J$38+Q61*$J$39+R61*$J$40+S61*$J$41+T61*$J$42+U61*$J$43+V61*$J$44</f>
        <v>-1.1028472832010066</v>
      </c>
      <c r="X61">
        <f>M61*$K$35+N61*$K$36+O61*$K$37+P61*$K$38+Q61*$K$39+R61*$K$40+S61*$K$41+T61*$K$42+U61*$K$43+V61*$K$44</f>
        <v>-0.36848338027578559</v>
      </c>
      <c r="Y61">
        <f t="shared" si="28"/>
        <v>-0.6386263358338482</v>
      </c>
    </row>
    <row r="62" spans="1:25" x14ac:dyDescent="0.2">
      <c r="M62">
        <f>(B29-AVERAGE(B$2:B$32))/_xlfn.STDEV.S(B$2:B$32)</f>
        <v>-0.84934087962951454</v>
      </c>
      <c r="N62">
        <f t="shared" ref="N62:V62" si="44">(C29-AVERAGE(C$2:C$32))/_xlfn.STDEV.S(C$2:C$32)</f>
        <v>-0.66930838299442585</v>
      </c>
      <c r="O62">
        <f t="shared" si="44"/>
        <v>-0.83162074140626563</v>
      </c>
      <c r="P62">
        <f t="shared" si="44"/>
        <v>-0.46927190896425625</v>
      </c>
      <c r="Q62">
        <f t="shared" si="44"/>
        <v>-0.57461242863775852</v>
      </c>
      <c r="R62">
        <f t="shared" si="44"/>
        <v>-0.77487268226306616</v>
      </c>
      <c r="S62">
        <f t="shared" si="44"/>
        <v>-1.3047931343942081</v>
      </c>
      <c r="T62">
        <f t="shared" si="44"/>
        <v>-0.46150981783217143</v>
      </c>
      <c r="U62">
        <f t="shared" si="44"/>
        <v>-0.43963276563184617</v>
      </c>
      <c r="V62">
        <f t="shared" si="44"/>
        <v>-0.5446379703211307</v>
      </c>
      <c r="W62">
        <f>M62*$J$35+N62*$J$36+O62*$J$37+P62*$J$38+Q62*$J$39+R62*$J$40+S62*$J$41+T62*$J$42+U62*$J$43+V62*$J$44</f>
        <v>-1.4470443540944697</v>
      </c>
      <c r="X62">
        <f>M62*$K$35+N62*$K$36+O62*$K$37+P62*$K$38+Q62*$K$39+R62*$K$40+S62*$K$41+T62*$K$42+U62*$K$43+V62*$K$44</f>
        <v>-1.2576463069200976</v>
      </c>
      <c r="Y62">
        <f t="shared" si="28"/>
        <v>-1.1008531135595194</v>
      </c>
    </row>
    <row r="63" spans="1:25" x14ac:dyDescent="0.2">
      <c r="L63">
        <v>54</v>
      </c>
      <c r="M63">
        <f>(B30-AVERAGE(B$2:B$32))/_xlfn.STDEV.S(B$2:B$32)</f>
        <v>-1.0998202218304423</v>
      </c>
      <c r="N63">
        <f t="shared" ref="N63:V63" si="45">(C30-AVERAGE(C$2:C$32))/_xlfn.STDEV.S(C$2:C$32)</f>
        <v>-0.86683093770344677</v>
      </c>
      <c r="O63">
        <f t="shared" si="45"/>
        <v>-1.0779752422102225</v>
      </c>
      <c r="P63">
        <f t="shared" si="45"/>
        <v>0.18432111399182891</v>
      </c>
      <c r="Q63">
        <f t="shared" si="45"/>
        <v>-0.66445602476380961</v>
      </c>
      <c r="R63">
        <f t="shared" si="45"/>
        <v>-0.58128354462390197</v>
      </c>
      <c r="S63">
        <f t="shared" si="45"/>
        <v>-0.52984356719091719</v>
      </c>
      <c r="T63">
        <f t="shared" si="45"/>
        <v>-8.3390393189739204E-2</v>
      </c>
      <c r="U63">
        <f t="shared" si="45"/>
        <v>-0.72668349947208355</v>
      </c>
      <c r="V63">
        <f t="shared" si="45"/>
        <v>-1.2423676336256537</v>
      </c>
      <c r="W63">
        <f>M63*$J$35+N63*$J$36+O63*$J$37+P63*$J$38+Q63*$J$39+R63*$J$40+S63*$J$41+T63*$J$42+U63*$J$43+V63*$J$44</f>
        <v>-1.8980465025395936</v>
      </c>
      <c r="X63">
        <f>M63*$K$35+N63*$K$36+O63*$K$37+P63*$K$38+Q63*$K$39+R63*$K$40+S63*$K$41+T63*$K$42+U63*$K$43+V63*$K$44</f>
        <v>-1.4862836858961321</v>
      </c>
      <c r="Y63">
        <f t="shared" si="28"/>
        <v>-1.3884872541496203</v>
      </c>
    </row>
    <row r="64" spans="1:25" x14ac:dyDescent="0.2">
      <c r="M64">
        <f>(B31-AVERAGE(B$2:B$32))/_xlfn.STDEV.S(B$2:B$32)</f>
        <v>-1.1010529137999274</v>
      </c>
      <c r="N64">
        <f t="shared" ref="N64:V64" si="46">(C31-AVERAGE(C$2:C$32))/_xlfn.STDEV.S(C$2:C$32)</f>
        <v>-0.85909326853588119</v>
      </c>
      <c r="O64">
        <f t="shared" si="46"/>
        <v>-1.0297744852627444</v>
      </c>
      <c r="P64">
        <f t="shared" si="46"/>
        <v>-0.28856413195726321</v>
      </c>
      <c r="Q64">
        <f t="shared" si="46"/>
        <v>-0.63300698800379063</v>
      </c>
      <c r="R64">
        <f t="shared" si="46"/>
        <v>-0.35275526418027231</v>
      </c>
      <c r="S64">
        <f t="shared" si="46"/>
        <v>-1.9510925374127984E-2</v>
      </c>
      <c r="T64">
        <f t="shared" si="46"/>
        <v>0.11724440355929573</v>
      </c>
      <c r="U64">
        <f t="shared" si="46"/>
        <v>-0.68589758357223607</v>
      </c>
      <c r="V64">
        <f t="shared" si="46"/>
        <v>-1.1911367530492682</v>
      </c>
      <c r="W64">
        <f>M64*$J$35+N64*$J$36+O64*$J$37+P64*$J$38+Q64*$J$39+R64*$J$40+S64*$J$41+T64*$J$42+U64*$J$43+V64*$J$44</f>
        <v>-2.0344674117717334</v>
      </c>
      <c r="X64">
        <f>M64*$K$35+N64*$K$36+O64*$K$37+P64*$K$38+Q64*$K$39+R64*$K$40+S64*$K$41+T64*$K$42+U64*$K$43+V64*$K$44</f>
        <v>-1.0417516398809052</v>
      </c>
      <c r="Y64">
        <f t="shared" si="28"/>
        <v>-1.3010373013408734</v>
      </c>
    </row>
    <row r="65" spans="13:25" x14ac:dyDescent="0.2">
      <c r="M65">
        <f>(B32-AVERAGE(B$2:B$32))/_xlfn.STDEV.S(B$2:B$32)</f>
        <v>-0.70242141035940941</v>
      </c>
      <c r="N65">
        <f t="shared" ref="N65:V65" si="47">(C32-AVERAGE(C$2:C$32))/_xlfn.STDEV.S(C$2:C$32)</f>
        <v>-0.61005691635512194</v>
      </c>
      <c r="O65">
        <f t="shared" si="47"/>
        <v>-0.60274192299363194</v>
      </c>
      <c r="P65">
        <f t="shared" si="47"/>
        <v>-0.3132143402551078</v>
      </c>
      <c r="Q65">
        <f t="shared" si="47"/>
        <v>-0.65706603006143127</v>
      </c>
      <c r="R65">
        <f t="shared" si="47"/>
        <v>-0.56898912838628046</v>
      </c>
      <c r="S65">
        <f t="shared" si="47"/>
        <v>-0.94567016422683681</v>
      </c>
      <c r="T65">
        <f t="shared" si="47"/>
        <v>-1.4801172474811484</v>
      </c>
      <c r="U65">
        <f t="shared" si="47"/>
        <v>-0.49792602624843735</v>
      </c>
      <c r="V65">
        <f t="shared" si="47"/>
        <v>-0.52367988281260935</v>
      </c>
      <c r="W65">
        <f>M65*$J$35+N65*$J$36+O65*$J$37+P65*$J$38+Q65*$J$39+R65*$J$40+S65*$J$41+T65*$J$42+U65*$J$43+V65*$J$44</f>
        <v>-1.0855982556188515</v>
      </c>
      <c r="X65">
        <f>M65*$K$35+N65*$K$36+O65*$K$37+P65*$K$38+Q65*$K$39+R65*$K$40+S65*$K$41+T65*$K$42+U65*$K$43+V65*$K$44</f>
        <v>-1.4644128831003886</v>
      </c>
      <c r="Y65">
        <f t="shared" si="28"/>
        <v>-1.0027838070458603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统计分组和统计指标计算</vt:lpstr>
      <vt:lpstr>空间布局测度和路径分析</vt:lpstr>
      <vt:lpstr>空间洛伦兹曲线</vt:lpstr>
      <vt:lpstr>统计假设检验</vt:lpstr>
      <vt:lpstr>相关性分析</vt:lpstr>
      <vt:lpstr>Sheet5</vt:lpstr>
      <vt:lpstr>聚类分析</vt:lpstr>
      <vt:lpstr>线性回归和趋势面</vt:lpstr>
      <vt:lpstr>主成分分析</vt:lpstr>
      <vt:lpstr>逐步回归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GIS</dc:creator>
  <cp:lastModifiedBy>GIS</cp:lastModifiedBy>
  <dcterms:created xsi:type="dcterms:W3CDTF">2015-06-05T18:19:34Z</dcterms:created>
  <dcterms:modified xsi:type="dcterms:W3CDTF">2019-12-16T14:05:48Z</dcterms:modified>
</cp:coreProperties>
</file>