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3" i="2" l="1"/>
  <c r="H21" i="2"/>
  <c r="E28" i="1"/>
  <c r="E32" i="1"/>
  <c r="G32" i="1"/>
  <c r="H32" i="1" s="1"/>
  <c r="E33" i="1"/>
  <c r="G33" i="1" s="1"/>
  <c r="H33" i="1" s="1"/>
  <c r="E34" i="1"/>
  <c r="G34" i="1"/>
  <c r="H34" i="1" s="1"/>
  <c r="E35" i="1"/>
  <c r="G35" i="1" s="1"/>
  <c r="H35" i="1" s="1"/>
  <c r="E36" i="1"/>
  <c r="G36" i="1"/>
  <c r="H36" i="1" s="1"/>
  <c r="E37" i="1"/>
  <c r="G37" i="1" s="1"/>
  <c r="H37" i="1" s="1"/>
  <c r="E38" i="1"/>
  <c r="G38" i="1"/>
  <c r="H38" i="1" s="1"/>
  <c r="E39" i="1"/>
  <c r="G39" i="1" s="1"/>
  <c r="H39" i="1" s="1"/>
  <c r="E40" i="1"/>
  <c r="G40" i="1"/>
  <c r="H40" i="1" s="1"/>
  <c r="E41" i="1"/>
  <c r="G41" i="1" s="1"/>
  <c r="H41" i="1" s="1"/>
  <c r="E42" i="1"/>
  <c r="G42" i="1"/>
  <c r="H42" i="1" s="1"/>
  <c r="E43" i="1"/>
  <c r="G43" i="1" s="1"/>
  <c r="H43" i="1" s="1"/>
  <c r="E44" i="1"/>
  <c r="G44" i="1"/>
  <c r="H44" i="1" s="1"/>
  <c r="E45" i="1"/>
  <c r="G45" i="1" s="1"/>
  <c r="H45" i="1" s="1"/>
  <c r="E46" i="1"/>
  <c r="G46" i="1"/>
  <c r="H46" i="1" s="1"/>
  <c r="E47" i="1"/>
  <c r="G47" i="1" s="1"/>
  <c r="H47" i="1" s="1"/>
  <c r="E48" i="1"/>
  <c r="G48" i="1"/>
  <c r="H48" i="1" s="1"/>
  <c r="E49" i="1"/>
  <c r="G49" i="1" s="1"/>
  <c r="H49" i="1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4" i="2"/>
  <c r="G4" i="2"/>
  <c r="I49" i="1" l="1"/>
  <c r="AD70" i="1"/>
  <c r="W74" i="1" l="1"/>
  <c r="G21" i="2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5" i="2"/>
  <c r="G5" i="2" s="1"/>
  <c r="H18" i="2" s="1"/>
  <c r="E55" i="1"/>
  <c r="F63" i="1" s="1"/>
  <c r="E56" i="1"/>
  <c r="E57" i="1"/>
  <c r="E58" i="1"/>
  <c r="E59" i="1"/>
  <c r="E60" i="1"/>
  <c r="E61" i="1"/>
  <c r="E62" i="1"/>
  <c r="E63" i="1"/>
  <c r="E54" i="1"/>
  <c r="M40" i="1"/>
  <c r="M21" i="1"/>
  <c r="E14" i="1"/>
  <c r="G14" i="1"/>
  <c r="H14" i="1" s="1"/>
  <c r="E15" i="1"/>
  <c r="G15" i="1" s="1"/>
  <c r="H15" i="1" s="1"/>
  <c r="E16" i="1"/>
  <c r="G16" i="1"/>
  <c r="H16" i="1" s="1"/>
  <c r="E17" i="1"/>
  <c r="G17" i="1" s="1"/>
  <c r="H17" i="1" s="1"/>
  <c r="E18" i="1"/>
  <c r="G18" i="1"/>
  <c r="H18" i="1" s="1"/>
  <c r="E19" i="1"/>
  <c r="G19" i="1" s="1"/>
  <c r="H19" i="1" s="1"/>
  <c r="E20" i="1"/>
  <c r="G20" i="1"/>
  <c r="H20" i="1" s="1"/>
  <c r="E21" i="1"/>
  <c r="G21" i="1" s="1"/>
  <c r="H21" i="1" s="1"/>
  <c r="E22" i="1"/>
  <c r="G22" i="1"/>
  <c r="H22" i="1" s="1"/>
  <c r="E23" i="1"/>
  <c r="G23" i="1" s="1"/>
  <c r="H23" i="1" s="1"/>
  <c r="E3" i="1"/>
  <c r="F3" i="1"/>
  <c r="E10" i="1"/>
  <c r="F10" i="1"/>
  <c r="E5" i="1"/>
  <c r="F5" i="1"/>
  <c r="E6" i="1"/>
  <c r="F6" i="1"/>
  <c r="E7" i="1"/>
  <c r="F7" i="1"/>
  <c r="E8" i="1"/>
  <c r="F8" i="1"/>
  <c r="E9" i="1"/>
  <c r="F9" i="1"/>
  <c r="E11" i="1"/>
  <c r="F11" i="1"/>
  <c r="E4" i="1"/>
  <c r="F4" i="1"/>
  <c r="C29" i="1"/>
  <c r="G11" i="1"/>
  <c r="M12" i="1" s="1"/>
  <c r="M13" i="1" s="1"/>
  <c r="M16" i="1" s="1"/>
  <c r="I23" i="1" l="1"/>
  <c r="E71" i="1"/>
  <c r="G71" i="1" s="1"/>
  <c r="H71" i="1" s="1"/>
  <c r="E73" i="1"/>
  <c r="G73" i="1" s="1"/>
  <c r="H73" i="1" s="1"/>
  <c r="E75" i="1"/>
  <c r="G75" i="1" s="1"/>
  <c r="H75" i="1" s="1"/>
  <c r="E77" i="1"/>
  <c r="G77" i="1" s="1"/>
  <c r="H77" i="1" s="1"/>
  <c r="E79" i="1"/>
  <c r="G79" i="1" s="1"/>
  <c r="H79" i="1" s="1"/>
  <c r="E81" i="1"/>
  <c r="G81" i="1" s="1"/>
  <c r="H81" i="1" s="1"/>
  <c r="E83" i="1"/>
  <c r="G83" i="1" s="1"/>
  <c r="H83" i="1" s="1"/>
  <c r="E85" i="1"/>
  <c r="G85" i="1" s="1"/>
  <c r="H85" i="1" s="1"/>
  <c r="E69" i="1"/>
  <c r="G69" i="1" s="1"/>
  <c r="H69" i="1" s="1"/>
  <c r="I54" i="1"/>
  <c r="K54" i="1" s="1"/>
  <c r="L54" i="1" s="1"/>
  <c r="I56" i="1"/>
  <c r="K56" i="1" s="1"/>
  <c r="L56" i="1" s="1"/>
  <c r="I58" i="1"/>
  <c r="K58" i="1" s="1"/>
  <c r="L58" i="1" s="1"/>
  <c r="I60" i="1"/>
  <c r="K60" i="1" s="1"/>
  <c r="L60" i="1" s="1"/>
  <c r="I62" i="1"/>
  <c r="K62" i="1" s="1"/>
  <c r="L62" i="1" s="1"/>
  <c r="E70" i="1"/>
  <c r="G70" i="1" s="1"/>
  <c r="H70" i="1" s="1"/>
  <c r="E72" i="1"/>
  <c r="G72" i="1" s="1"/>
  <c r="H72" i="1" s="1"/>
  <c r="E74" i="1"/>
  <c r="G74" i="1" s="1"/>
  <c r="H74" i="1" s="1"/>
  <c r="E76" i="1"/>
  <c r="G76" i="1" s="1"/>
  <c r="H76" i="1" s="1"/>
  <c r="E78" i="1"/>
  <c r="G78" i="1" s="1"/>
  <c r="H78" i="1" s="1"/>
  <c r="E80" i="1"/>
  <c r="G80" i="1" s="1"/>
  <c r="H80" i="1" s="1"/>
  <c r="E82" i="1"/>
  <c r="G82" i="1" s="1"/>
  <c r="H82" i="1" s="1"/>
  <c r="E84" i="1"/>
  <c r="G84" i="1" s="1"/>
  <c r="H84" i="1" s="1"/>
  <c r="E86" i="1"/>
  <c r="G86" i="1" s="1"/>
  <c r="H86" i="1" s="1"/>
  <c r="I55" i="1"/>
  <c r="K55" i="1" s="1"/>
  <c r="L55" i="1" s="1"/>
  <c r="I57" i="1"/>
  <c r="K57" i="1" s="1"/>
  <c r="L57" i="1" s="1"/>
  <c r="I59" i="1"/>
  <c r="K59" i="1" s="1"/>
  <c r="L59" i="1" s="1"/>
  <c r="I61" i="1"/>
  <c r="K61" i="1" s="1"/>
  <c r="L61" i="1" s="1"/>
  <c r="I63" i="1"/>
  <c r="K63" i="1" s="1"/>
  <c r="L63" i="1" s="1"/>
  <c r="L10" i="1"/>
  <c r="J4" i="1"/>
  <c r="J5" i="1" s="1"/>
  <c r="K4" i="1" s="1"/>
  <c r="I4" i="1"/>
  <c r="L6" i="1"/>
  <c r="L7" i="1"/>
  <c r="M14" i="1" s="1"/>
  <c r="I86" i="1"/>
  <c r="M63" i="1" l="1"/>
  <c r="M15" i="1"/>
  <c r="M17" i="1" s="1"/>
  <c r="L4" i="1"/>
  <c r="V77" i="1"/>
  <c r="V73" i="1"/>
  <c r="Z82" i="1" l="1"/>
  <c r="AA71" i="1"/>
  <c r="Z70" i="1"/>
  <c r="V71" i="1"/>
  <c r="P70" i="1" s="1"/>
  <c r="R70" i="1" s="1"/>
  <c r="S70" i="1" s="1"/>
  <c r="P82" i="1"/>
  <c r="R82" i="1" s="1"/>
  <c r="S82" i="1" s="1"/>
  <c r="P84" i="1" l="1"/>
  <c r="R84" i="1" s="1"/>
  <c r="S84" i="1" s="1"/>
  <c r="Z74" i="1"/>
  <c r="Z72" i="1"/>
  <c r="AA73" i="1" s="1"/>
  <c r="P83" i="1"/>
  <c r="R83" i="1" s="1"/>
  <c r="S83" i="1" s="1"/>
  <c r="P76" i="1"/>
  <c r="R76" i="1" s="1"/>
  <c r="S76" i="1" s="1"/>
  <c r="P79" i="1"/>
  <c r="R79" i="1" s="1"/>
  <c r="S79" i="1" s="1"/>
  <c r="P73" i="1"/>
  <c r="R73" i="1" s="1"/>
  <c r="S73" i="1" s="1"/>
  <c r="P78" i="1"/>
  <c r="R78" i="1" s="1"/>
  <c r="S78" i="1" s="1"/>
  <c r="P85" i="1"/>
  <c r="R85" i="1" s="1"/>
  <c r="S85" i="1" s="1"/>
  <c r="P72" i="1"/>
  <c r="R72" i="1" s="1"/>
  <c r="S72" i="1" s="1"/>
  <c r="P86" i="1"/>
  <c r="R86" i="1" s="1"/>
  <c r="S86" i="1" s="1"/>
  <c r="P71" i="1"/>
  <c r="R71" i="1" s="1"/>
  <c r="S71" i="1" s="1"/>
  <c r="P74" i="1"/>
  <c r="R74" i="1" s="1"/>
  <c r="S74" i="1" s="1"/>
  <c r="AA75" i="1"/>
  <c r="Z76" i="1" s="1"/>
  <c r="AA77" i="1" s="1"/>
  <c r="Z78" i="1" s="1"/>
  <c r="AA79" i="1" s="1"/>
  <c r="Z80" i="1" s="1"/>
  <c r="AA81" i="1" s="1"/>
  <c r="AA83" i="1" s="1"/>
  <c r="P80" i="1"/>
  <c r="R80" i="1" s="1"/>
  <c r="S80" i="1" s="1"/>
  <c r="P75" i="1"/>
  <c r="R75" i="1" s="1"/>
  <c r="S75" i="1" s="1"/>
  <c r="P81" i="1"/>
  <c r="R81" i="1" s="1"/>
  <c r="S81" i="1" s="1"/>
  <c r="P77" i="1"/>
  <c r="R77" i="1" s="1"/>
  <c r="S77" i="1" s="1"/>
  <c r="P69" i="1"/>
  <c r="R69" i="1" s="1"/>
  <c r="S69" i="1" s="1"/>
  <c r="T86" i="1" l="1"/>
</calcChain>
</file>

<file path=xl/sharedStrings.xml><?xml version="1.0" encoding="utf-8"?>
<sst xmlns="http://schemas.openxmlformats.org/spreadsheetml/2006/main" count="68" uniqueCount="40">
  <si>
    <t>t</t>
  </si>
  <si>
    <t>Velocity of the plane</t>
  </si>
  <si>
    <t>.=(-120000)*LN((B3/96))</t>
  </si>
  <si>
    <t>.=E3/A3</t>
  </si>
  <si>
    <t>New formula v</t>
  </si>
  <si>
    <t>Given v</t>
  </si>
  <si>
    <t>Error</t>
  </si>
  <si>
    <t>Error^2</t>
  </si>
  <si>
    <t>Sum of Error^2</t>
  </si>
  <si>
    <t>k=(-120000*((1/96)-(1/B3)))/D55</t>
  </si>
  <si>
    <t>Average</t>
  </si>
  <si>
    <t>dv/dt</t>
  </si>
  <si>
    <t>v</t>
  </si>
  <si>
    <t>k</t>
  </si>
  <si>
    <t>B</t>
  </si>
  <si>
    <t>Average B</t>
  </si>
  <si>
    <t>New fromula v</t>
  </si>
  <si>
    <t>error</t>
  </si>
  <si>
    <t>error^2</t>
  </si>
  <si>
    <t>Sum of error^2</t>
  </si>
  <si>
    <t>m</t>
  </si>
  <si>
    <t>atan(ans)</t>
  </si>
  <si>
    <t>sqrt(ans)</t>
  </si>
  <si>
    <t>55k</t>
  </si>
  <si>
    <t>17*sqrt</t>
  </si>
  <si>
    <t>(55*k)/sqrt</t>
  </si>
  <si>
    <t>cos(-atan)</t>
  </si>
  <si>
    <t>m*atan</t>
  </si>
  <si>
    <t>17-m*a</t>
  </si>
  <si>
    <t>(17-m)/m</t>
  </si>
  <si>
    <t>cos(ans)</t>
  </si>
  <si>
    <t>ln(cos) left</t>
  </si>
  <si>
    <t>ln(cos) right</t>
  </si>
  <si>
    <t>ln +ln</t>
  </si>
  <si>
    <t>m*2ln</t>
  </si>
  <si>
    <t>top/bottom</t>
  </si>
  <si>
    <t>outside</t>
  </si>
  <si>
    <t>whole</t>
  </si>
  <si>
    <t>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</si>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</sst>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00000"/>
    <numFmt numFmtId="166" formatCode="0.0000000000"/>
    <numFmt numFmtId="167" formatCode="0.000000000000"/>
    <numFmt numFmtId="168" formatCode="0.0000000000000"/>
    <numFmt numFmtId="169" formatCode="0.0000000000000000"/>
    <numFmt numFmtId="170" formatCode="0.00000"/>
    <numFmt numFmtId="171" formatCode="0.00000000000"/>
    <numFmt numFmtId="179" formatCode="0.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9" fontId="0" fillId="0" borderId="0" xfId="0" applyNumberForma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The</a:t>
            </a:r>
            <a:r>
              <a:rPr lang="en-GB" baseline="0"/>
              <a:t> change in velocity of the plane over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96</c:v>
                </c:pt>
                <c:pt idx="1">
                  <c:v>89</c:v>
                </c:pt>
                <c:pt idx="2">
                  <c:v>82</c:v>
                </c:pt>
                <c:pt idx="3">
                  <c:v>77</c:v>
                </c:pt>
                <c:pt idx="4">
                  <c:v>72</c:v>
                </c:pt>
                <c:pt idx="5">
                  <c:v>68</c:v>
                </c:pt>
                <c:pt idx="6">
                  <c:v>64</c:v>
                </c:pt>
                <c:pt idx="7">
                  <c:v>61</c:v>
                </c:pt>
                <c:pt idx="8">
                  <c:v>58</c:v>
                </c:pt>
                <c:pt idx="9">
                  <c:v>55</c:v>
                </c:pt>
                <c:pt idx="10">
                  <c:v>50</c:v>
                </c:pt>
                <c:pt idx="11">
                  <c:v>46</c:v>
                </c:pt>
                <c:pt idx="12">
                  <c:v>41</c:v>
                </c:pt>
                <c:pt idx="13">
                  <c:v>38</c:v>
                </c:pt>
                <c:pt idx="14">
                  <c:v>34</c:v>
                </c:pt>
                <c:pt idx="15">
                  <c:v>31</c:v>
                </c:pt>
                <c:pt idx="16">
                  <c:v>27</c:v>
                </c:pt>
                <c:pt idx="17">
                  <c:v>24</c:v>
                </c:pt>
                <c:pt idx="18">
                  <c:v>21</c:v>
                </c:pt>
                <c:pt idx="19">
                  <c:v>18</c:v>
                </c:pt>
                <c:pt idx="20">
                  <c:v>16</c:v>
                </c:pt>
                <c:pt idx="21">
                  <c:v>13</c:v>
                </c:pt>
                <c:pt idx="22">
                  <c:v>10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F7-4AA2-BE1D-DAA1D351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0576"/>
        <c:axId val="75883264"/>
      </c:scatterChart>
      <c:valAx>
        <c:axId val="80840576"/>
        <c:scaling>
          <c:orientation val="minMax"/>
          <c:max val="2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883264"/>
        <c:crosses val="autoZero"/>
        <c:crossBetween val="midCat"/>
        <c:majorUnit val="1"/>
      </c:valAx>
      <c:valAx>
        <c:axId val="75883264"/>
        <c:scaling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 in</a:t>
                </a:r>
                <a:r>
                  <a:rPr lang="en-GB" baseline="0"/>
                  <a:t> m/s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840576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104774</xdr:colOff>
      <xdr:row>18</xdr:row>
      <xdr:rowOff>152399</xdr:rowOff>
    </xdr:from>
    <xdr:to>
      <xdr:col>33</xdr:col>
      <xdr:colOff>552450</xdr:colOff>
      <xdr:row>45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468924</xdr:colOff>
      <xdr:row>11</xdr:row>
      <xdr:rowOff>29308</xdr:rowOff>
    </xdr:from>
    <xdr:to>
      <xdr:col>10</xdr:col>
      <xdr:colOff>546589</xdr:colOff>
      <xdr:row>12</xdr:row>
      <xdr:rowOff>115033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7712" y="2124808"/>
          <a:ext cx="685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490905</xdr:colOff>
      <xdr:row>6</xdr:row>
      <xdr:rowOff>43962</xdr:rowOff>
    </xdr:from>
    <xdr:to>
      <xdr:col>9</xdr:col>
      <xdr:colOff>320920</xdr:colOff>
      <xdr:row>8</xdr:row>
      <xdr:rowOff>63012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520" y="1186962"/>
          <a:ext cx="1361342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666750</xdr:colOff>
      <xdr:row>14</xdr:row>
      <xdr:rowOff>109904</xdr:rowOff>
    </xdr:from>
    <xdr:to>
      <xdr:col>11</xdr:col>
      <xdr:colOff>134082</xdr:colOff>
      <xdr:row>17</xdr:row>
      <xdr:rowOff>90854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776904"/>
          <a:ext cx="1606794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25</xdr:row>
      <xdr:rowOff>76200</xdr:rowOff>
    </xdr:from>
    <xdr:to>
      <xdr:col>6</xdr:col>
      <xdr:colOff>819150</xdr:colOff>
      <xdr:row>27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4838700"/>
          <a:ext cx="16668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512885</xdr:colOff>
      <xdr:row>47</xdr:row>
      <xdr:rowOff>153004</xdr:rowOff>
    </xdr:from>
    <xdr:to>
      <xdr:col>2</xdr:col>
      <xdr:colOff>458666</xdr:colOff>
      <xdr:row>50</xdr:row>
      <xdr:rowOff>38704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85" y="9106504"/>
          <a:ext cx="1162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1142999</xdr:colOff>
      <xdr:row>50</xdr:row>
      <xdr:rowOff>95250</xdr:rowOff>
    </xdr:from>
    <xdr:to>
      <xdr:col>6</xdr:col>
      <xdr:colOff>1118820</xdr:colOff>
      <xdr:row>52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730" y="9620250"/>
          <a:ext cx="1170109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291354</xdr:colOff>
      <xdr:row>57</xdr:row>
      <xdr:rowOff>100853</xdr:rowOff>
    </xdr:from>
    <xdr:to>
      <xdr:col>17</xdr:col>
      <xdr:colOff>1341345</xdr:colOff>
      <xdr:row>60</xdr:row>
      <xdr:rowOff>91328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1589" y="10959353"/>
          <a:ext cx="2293844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231323</xdr:colOff>
      <xdr:row>55</xdr:row>
      <xdr:rowOff>168089</xdr:rowOff>
    </xdr:from>
    <xdr:to>
      <xdr:col>27</xdr:col>
      <xdr:colOff>498902</xdr:colOff>
      <xdr:row>62</xdr:row>
      <xdr:rowOff>120464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68558" y="10645589"/>
          <a:ext cx="490681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256443</xdr:colOff>
      <xdr:row>1</xdr:row>
      <xdr:rowOff>102576</xdr:rowOff>
    </xdr:from>
    <xdr:to>
      <xdr:col>12</xdr:col>
      <xdr:colOff>456468</xdr:colOff>
      <xdr:row>3</xdr:row>
      <xdr:rowOff>178776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366" y="293076"/>
          <a:ext cx="141629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tabSelected="1" topLeftCell="A22" zoomScaleNormal="100" workbookViewId="0">
      <selection activeCell="P88" sqref="P88"/>
    </sheetView>
  </sheetViews>
  <sheetFormatPr defaultRowHeight="15" x14ac:dyDescent="0.25"/>
  <cols>
    <col min="5" max="5" width="29.5703125" customWidth="1"/>
    <col min="6" max="6" width="17.85546875" customWidth="1"/>
    <col min="7" max="7" width="20.140625" customWidth="1"/>
    <col min="8" max="8" width="19.5703125" customWidth="1"/>
    <col min="9" max="9" width="21.7109375" customWidth="1"/>
    <col min="10" max="10" width="12.28515625" customWidth="1"/>
    <col min="11" max="12" width="13" customWidth="1"/>
    <col min="13" max="13" width="27.42578125" customWidth="1"/>
    <col min="16" max="16" width="18" customWidth="1"/>
    <col min="17" max="17" width="18.5703125" customWidth="1"/>
    <col min="18" max="18" width="20.5703125" customWidth="1"/>
    <col min="19" max="19" width="21.85546875" customWidth="1"/>
    <col min="20" max="20" width="17.140625" customWidth="1"/>
    <col min="21" max="21" width="27" customWidth="1"/>
    <col min="22" max="22" width="25.5703125" customWidth="1"/>
    <col min="23" max="23" width="23.5703125" customWidth="1"/>
    <col min="26" max="26" width="23.42578125" customWidth="1"/>
    <col min="27" max="27" width="28.140625" customWidth="1"/>
  </cols>
  <sheetData>
    <row r="1" spans="1:13" x14ac:dyDescent="0.2">
      <c r="A1" t="s">
        <v>0</v>
      </c>
      <c r="B1" t="s">
        <v>1</v>
      </c>
    </row>
    <row r="2" spans="1:13" x14ac:dyDescent="0.25">
      <c r="A2">
        <v>0</v>
      </c>
      <c r="B2">
        <v>96</v>
      </c>
      <c r="D2" s="10"/>
      <c r="E2" s="10" t="s">
        <v>2</v>
      </c>
      <c r="F2" s="10" t="s">
        <v>3</v>
      </c>
      <c r="G2" s="10"/>
      <c r="H2" s="10"/>
      <c r="I2" s="10"/>
    </row>
    <row r="3" spans="1:13" x14ac:dyDescent="0.25">
      <c r="A3">
        <v>1</v>
      </c>
      <c r="B3">
        <v>89</v>
      </c>
      <c r="D3" s="10">
        <v>1</v>
      </c>
      <c r="E3" s="10">
        <f t="shared" ref="E3:E11" si="0">(-120000)*LN((B3/96))</f>
        <v>9085.418608283564</v>
      </c>
      <c r="F3" s="10">
        <f t="shared" ref="F3:F11" si="1">E3/A3</f>
        <v>9085.418608283564</v>
      </c>
      <c r="G3" s="10"/>
      <c r="H3" s="10"/>
      <c r="I3" s="10"/>
    </row>
    <row r="4" spans="1:13" x14ac:dyDescent="0.25">
      <c r="A4">
        <v>2</v>
      </c>
      <c r="B4">
        <v>82</v>
      </c>
      <c r="D4" s="10">
        <v>2</v>
      </c>
      <c r="E4" s="10">
        <f t="shared" si="0"/>
        <v>18915.473304429979</v>
      </c>
      <c r="F4" s="10">
        <f t="shared" si="1"/>
        <v>9457.7366522149896</v>
      </c>
      <c r="G4" s="10"/>
      <c r="H4" s="10"/>
      <c r="I4" s="10">
        <f>11520000/(-G11)</f>
        <v>-1379.8226361754337</v>
      </c>
      <c r="J4">
        <f>(G11*9)/(120000)</f>
        <v>0.62616743438476907</v>
      </c>
      <c r="K4">
        <f>EXP(J5)</f>
        <v>0.53463691053531037</v>
      </c>
      <c r="L4">
        <f>K4*I4</f>
        <v>-737.70411129152149</v>
      </c>
    </row>
    <row r="5" spans="1:13" x14ac:dyDescent="0.25">
      <c r="A5">
        <v>3</v>
      </c>
      <c r="B5">
        <v>77</v>
      </c>
      <c r="D5" s="10">
        <v>3</v>
      </c>
      <c r="E5" s="10">
        <f t="shared" si="0"/>
        <v>26465.132353698282</v>
      </c>
      <c r="F5" s="10">
        <f t="shared" si="1"/>
        <v>8821.7107845660939</v>
      </c>
      <c r="G5" s="10"/>
      <c r="H5" s="10"/>
      <c r="I5" s="10"/>
      <c r="J5">
        <f>-J4</f>
        <v>-0.62616743438476907</v>
      </c>
    </row>
    <row r="6" spans="1:13" x14ac:dyDescent="0.25">
      <c r="A6">
        <v>4</v>
      </c>
      <c r="B6">
        <v>72</v>
      </c>
      <c r="D6" s="10">
        <v>4</v>
      </c>
      <c r="E6" s="10">
        <f t="shared" si="0"/>
        <v>34521.84869421371</v>
      </c>
      <c r="F6" s="10">
        <f t="shared" si="1"/>
        <v>8630.4621735534274</v>
      </c>
      <c r="G6" s="10"/>
      <c r="H6" s="10"/>
      <c r="I6" s="10"/>
      <c r="L6">
        <f>50*G11</f>
        <v>417444.95625651273</v>
      </c>
    </row>
    <row r="7" spans="1:13" x14ac:dyDescent="0.25">
      <c r="A7">
        <v>5</v>
      </c>
      <c r="B7">
        <v>68</v>
      </c>
      <c r="D7" s="10">
        <v>5</v>
      </c>
      <c r="E7" s="10">
        <f t="shared" si="0"/>
        <v>41380.858355007535</v>
      </c>
      <c r="F7" s="10">
        <f t="shared" si="1"/>
        <v>8276.1716710015062</v>
      </c>
      <c r="G7" s="10"/>
      <c r="H7" s="10"/>
      <c r="I7" s="10"/>
      <c r="L7">
        <f>55*G11</f>
        <v>459189.45188216399</v>
      </c>
    </row>
    <row r="8" spans="1:13" x14ac:dyDescent="0.25">
      <c r="A8">
        <v>6</v>
      </c>
      <c r="B8">
        <v>64</v>
      </c>
      <c r="D8" s="10">
        <v>6</v>
      </c>
      <c r="E8" s="10">
        <f t="shared" si="0"/>
        <v>48655.812972979729</v>
      </c>
      <c r="F8" s="10">
        <f t="shared" si="1"/>
        <v>8109.3021621632879</v>
      </c>
      <c r="G8" s="10"/>
      <c r="H8" s="10"/>
      <c r="I8" s="10"/>
    </row>
    <row r="9" spans="1:13" x14ac:dyDescent="0.25">
      <c r="A9">
        <v>7</v>
      </c>
      <c r="B9">
        <v>61</v>
      </c>
      <c r="D9" s="10">
        <v>7</v>
      </c>
      <c r="E9" s="10">
        <f t="shared" si="0"/>
        <v>54416.919275343003</v>
      </c>
      <c r="F9" s="10">
        <f t="shared" si="1"/>
        <v>7773.8456107632865</v>
      </c>
      <c r="G9" s="10"/>
      <c r="H9" s="10"/>
      <c r="I9" s="10"/>
    </row>
    <row r="10" spans="1:13" x14ac:dyDescent="0.25">
      <c r="A10">
        <v>8</v>
      </c>
      <c r="B10">
        <v>58</v>
      </c>
      <c r="D10" s="10">
        <v>8</v>
      </c>
      <c r="E10" s="10">
        <f t="shared" si="0"/>
        <v>60468.621710570042</v>
      </c>
      <c r="F10" s="10">
        <f t="shared" si="1"/>
        <v>7558.5777138212552</v>
      </c>
      <c r="G10" s="10"/>
      <c r="H10" s="10"/>
      <c r="I10" s="10"/>
      <c r="L10">
        <f>EXP((G11/-120000))</f>
        <v>0.93279095562421066</v>
      </c>
    </row>
    <row r="11" spans="1:13" x14ac:dyDescent="0.25">
      <c r="A11">
        <v>9</v>
      </c>
      <c r="B11">
        <v>55</v>
      </c>
      <c r="D11" s="10">
        <v>9</v>
      </c>
      <c r="E11" s="10">
        <f t="shared" si="0"/>
        <v>66841.800748243841</v>
      </c>
      <c r="F11" s="10">
        <f t="shared" si="1"/>
        <v>7426.8667498048708</v>
      </c>
      <c r="G11" s="10">
        <f>AVERAGE(F3:F11)</f>
        <v>8348.8991251302541</v>
      </c>
      <c r="H11" s="10"/>
      <c r="I11" s="10"/>
    </row>
    <row r="12" spans="1:13" x14ac:dyDescent="0.25">
      <c r="A12">
        <v>10</v>
      </c>
      <c r="B12">
        <v>50</v>
      </c>
      <c r="D12" s="10"/>
      <c r="E12" s="10"/>
      <c r="F12" s="10"/>
      <c r="G12" s="10"/>
      <c r="H12" s="10"/>
      <c r="I12" s="10"/>
      <c r="M12">
        <f>(-G11)/120000</f>
        <v>-6.9574159376085451E-2</v>
      </c>
    </row>
    <row r="13" spans="1:13" x14ac:dyDescent="0.25">
      <c r="A13">
        <v>11</v>
      </c>
      <c r="B13">
        <v>46</v>
      </c>
      <c r="D13" s="10" t="s">
        <v>0</v>
      </c>
      <c r="E13" s="10" t="s">
        <v>4</v>
      </c>
      <c r="F13" s="10" t="s">
        <v>5</v>
      </c>
      <c r="G13" s="10" t="s">
        <v>6</v>
      </c>
      <c r="H13" s="10" t="s">
        <v>7</v>
      </c>
      <c r="I13" s="10"/>
      <c r="M13">
        <f>EXP(M12)</f>
        <v>0.93279095562421066</v>
      </c>
    </row>
    <row r="14" spans="1:13" x14ac:dyDescent="0.25">
      <c r="A14">
        <v>12</v>
      </c>
      <c r="B14">
        <v>41</v>
      </c>
      <c r="D14" s="10">
        <v>0</v>
      </c>
      <c r="E14" s="10">
        <f>96*(EXP((-8348.9*D14)/120000))</f>
        <v>96</v>
      </c>
      <c r="F14" s="10">
        <v>96</v>
      </c>
      <c r="G14" s="10">
        <f>E14-F14</f>
        <v>0</v>
      </c>
      <c r="H14" s="10">
        <f>G14*G14</f>
        <v>0</v>
      </c>
      <c r="I14" s="10"/>
      <c r="M14">
        <f>L7*M13</f>
        <v>428327.76763372123</v>
      </c>
    </row>
    <row r="15" spans="1:13" x14ac:dyDescent="0.25">
      <c r="A15">
        <v>13</v>
      </c>
      <c r="B15">
        <v>38</v>
      </c>
      <c r="D15" s="10">
        <v>1</v>
      </c>
      <c r="E15" s="10">
        <f t="shared" ref="E15:E23" si="2">96*(EXP((-8348.9*D15)/120000))</f>
        <v>89.547931087067752</v>
      </c>
      <c r="F15" s="10">
        <v>89</v>
      </c>
      <c r="G15" s="10">
        <f t="shared" ref="G15:G23" si="3">E15-F15</f>
        <v>0.54793108706775229</v>
      </c>
      <c r="H15" s="10">
        <f t="shared" ref="H15:H23" si="4">G15*G15</f>
        <v>0.30022847617524873</v>
      </c>
      <c r="I15" s="10"/>
      <c r="M15">
        <f>M14-L6</f>
        <v>10882.811377208505</v>
      </c>
    </row>
    <row r="16" spans="1:13" x14ac:dyDescent="0.25">
      <c r="A16">
        <v>14</v>
      </c>
      <c r="B16">
        <v>34</v>
      </c>
      <c r="D16" s="10">
        <v>2</v>
      </c>
      <c r="E16" s="10">
        <f t="shared" si="2"/>
        <v>83.529499603898302</v>
      </c>
      <c r="F16" s="10">
        <v>82</v>
      </c>
      <c r="G16" s="10">
        <f t="shared" si="3"/>
        <v>1.5294996038983015</v>
      </c>
      <c r="H16" s="10">
        <f t="shared" si="4"/>
        <v>2.3393690383250614</v>
      </c>
      <c r="I16" s="10"/>
      <c r="M16">
        <f>1-M13</f>
        <v>6.720904437578934E-2</v>
      </c>
    </row>
    <row r="17" spans="1:13" x14ac:dyDescent="0.25">
      <c r="A17">
        <v>15</v>
      </c>
      <c r="B17">
        <v>31</v>
      </c>
      <c r="D17" s="10">
        <v>3</v>
      </c>
      <c r="E17" s="10">
        <f t="shared" si="2"/>
        <v>77.915561190282688</v>
      </c>
      <c r="F17" s="10">
        <v>77</v>
      </c>
      <c r="G17" s="10">
        <f t="shared" si="3"/>
        <v>0.91556119028268768</v>
      </c>
      <c r="H17" s="10">
        <f t="shared" si="4"/>
        <v>0.83825229315185179</v>
      </c>
      <c r="I17" s="10"/>
      <c r="M17">
        <f>M15/M16</f>
        <v>161924.8045896753</v>
      </c>
    </row>
    <row r="18" spans="1:13" x14ac:dyDescent="0.25">
      <c r="A18">
        <v>16</v>
      </c>
      <c r="B18">
        <v>27</v>
      </c>
      <c r="D18" s="10">
        <v>4</v>
      </c>
      <c r="E18" s="10">
        <f t="shared" si="2"/>
        <v>72.678930250808804</v>
      </c>
      <c r="F18" s="10">
        <v>72</v>
      </c>
      <c r="G18" s="10">
        <f t="shared" si="3"/>
        <v>0.6789302508088042</v>
      </c>
      <c r="H18" s="10">
        <f t="shared" si="4"/>
        <v>0.46094628546330579</v>
      </c>
      <c r="I18" s="10"/>
    </row>
    <row r="19" spans="1:13" x14ac:dyDescent="0.25">
      <c r="A19">
        <v>17</v>
      </c>
      <c r="B19">
        <v>24</v>
      </c>
      <c r="D19" s="10">
        <v>5</v>
      </c>
      <c r="E19" s="10">
        <f t="shared" si="2"/>
        <v>67.794248308137824</v>
      </c>
      <c r="F19" s="10">
        <v>68</v>
      </c>
      <c r="G19" s="10">
        <f t="shared" si="3"/>
        <v>-0.20575169186217579</v>
      </c>
      <c r="H19" s="10">
        <f t="shared" si="4"/>
        <v>4.2333758704147732E-2</v>
      </c>
      <c r="I19" s="10"/>
    </row>
    <row r="20" spans="1:13" x14ac:dyDescent="0.25">
      <c r="A20">
        <v>18</v>
      </c>
      <c r="B20">
        <v>21</v>
      </c>
      <c r="D20" s="10">
        <v>6</v>
      </c>
      <c r="E20" s="10">
        <f t="shared" si="2"/>
        <v>63.237861204132145</v>
      </c>
      <c r="F20" s="10">
        <v>64</v>
      </c>
      <c r="G20" s="10">
        <f t="shared" si="3"/>
        <v>-0.76213879586785538</v>
      </c>
      <c r="H20" s="10">
        <f t="shared" si="4"/>
        <v>0.58085554416690455</v>
      </c>
      <c r="I20" s="10"/>
    </row>
    <row r="21" spans="1:13" x14ac:dyDescent="0.25">
      <c r="A21">
        <v>19</v>
      </c>
      <c r="B21">
        <v>18</v>
      </c>
      <c r="D21" s="10">
        <v>7</v>
      </c>
      <c r="E21" s="10">
        <f t="shared" si="2"/>
        <v>58.987704554178976</v>
      </c>
      <c r="F21" s="10">
        <v>61</v>
      </c>
      <c r="G21" s="10">
        <f t="shared" si="3"/>
        <v>-2.0122954458210245</v>
      </c>
      <c r="H21" s="10">
        <f t="shared" si="4"/>
        <v>4.0493329612720359</v>
      </c>
      <c r="I21" s="10"/>
      <c r="M21">
        <f>(55*8348.899125)+161924.8046</f>
        <v>621114.25647499994</v>
      </c>
    </row>
    <row r="22" spans="1:13" x14ac:dyDescent="0.25">
      <c r="A22">
        <v>20</v>
      </c>
      <c r="B22">
        <v>16</v>
      </c>
      <c r="D22" s="10">
        <v>8</v>
      </c>
      <c r="E22" s="10">
        <f t="shared" si="2"/>
        <v>55.023196900020125</v>
      </c>
      <c r="F22" s="10">
        <v>58</v>
      </c>
      <c r="G22" s="10">
        <f t="shared" si="3"/>
        <v>-2.9768030999798754</v>
      </c>
      <c r="H22" s="10">
        <f t="shared" si="4"/>
        <v>8.8613566960497963</v>
      </c>
      <c r="I22" s="10" t="s">
        <v>8</v>
      </c>
    </row>
    <row r="23" spans="1:13" x14ac:dyDescent="0.25">
      <c r="A23">
        <v>21</v>
      </c>
      <c r="B23">
        <v>13</v>
      </c>
      <c r="D23" s="10">
        <v>9</v>
      </c>
      <c r="E23" s="10">
        <f t="shared" si="2"/>
        <v>51.325140043678779</v>
      </c>
      <c r="F23" s="10">
        <v>55</v>
      </c>
      <c r="G23" s="10">
        <f t="shared" si="3"/>
        <v>-3.674859956321221</v>
      </c>
      <c r="H23" s="10">
        <f t="shared" si="4"/>
        <v>13.504595698573207</v>
      </c>
      <c r="I23" s="10">
        <f>SUM(H14:H23)</f>
        <v>30.977270751881555</v>
      </c>
    </row>
    <row r="24" spans="1:13" x14ac:dyDescent="0.25">
      <c r="A24">
        <v>22</v>
      </c>
      <c r="B24">
        <v>10</v>
      </c>
      <c r="D24" s="10"/>
      <c r="E24" s="10"/>
      <c r="F24" s="10"/>
      <c r="G24" s="10"/>
      <c r="H24" s="10"/>
      <c r="I24" s="10"/>
    </row>
    <row r="25" spans="1:13" x14ac:dyDescent="0.25">
      <c r="A25">
        <v>23</v>
      </c>
      <c r="B25">
        <v>8</v>
      </c>
      <c r="D25" s="10"/>
      <c r="E25" s="10"/>
      <c r="F25" s="10"/>
      <c r="G25" s="10"/>
      <c r="H25" s="10"/>
      <c r="I25" s="10"/>
    </row>
    <row r="26" spans="1:13" x14ac:dyDescent="0.25">
      <c r="A26">
        <v>24</v>
      </c>
      <c r="B26">
        <v>5</v>
      </c>
      <c r="D26" s="10"/>
      <c r="E26" s="10"/>
      <c r="F26" s="10"/>
      <c r="G26" s="10"/>
      <c r="H26" s="10"/>
      <c r="I26" s="10"/>
    </row>
    <row r="27" spans="1:13" x14ac:dyDescent="0.25">
      <c r="A27">
        <v>25</v>
      </c>
      <c r="B27">
        <v>3</v>
      </c>
      <c r="D27" s="10"/>
      <c r="E27" s="10"/>
      <c r="F27" s="10"/>
      <c r="G27" s="10"/>
      <c r="H27" s="10"/>
      <c r="I27" s="10"/>
    </row>
    <row r="28" spans="1:13" x14ac:dyDescent="0.25">
      <c r="A28">
        <v>26</v>
      </c>
      <c r="B28">
        <v>0</v>
      </c>
      <c r="D28" s="10"/>
      <c r="E28" s="10">
        <f>8348.9*55</f>
        <v>459189.5</v>
      </c>
      <c r="F28" s="10"/>
      <c r="G28" s="10"/>
      <c r="H28" s="10"/>
      <c r="I28" s="10"/>
    </row>
    <row r="29" spans="1:13" x14ac:dyDescent="0.25">
      <c r="C29">
        <f>SUM(B27+B26+B25+B24+B23+B22+B21+B20+B19+B18+B17+B16+B15+B14+B13+B12+B11+B10+B9+B8+B7+B6+B5+B4+B3)</f>
        <v>1011</v>
      </c>
      <c r="D29" s="10"/>
      <c r="E29" s="10"/>
      <c r="F29" s="10"/>
      <c r="G29" s="10"/>
      <c r="H29" s="10"/>
      <c r="I29" s="10"/>
    </row>
    <row r="30" spans="1:13" x14ac:dyDescent="0.25">
      <c r="D30" s="10"/>
      <c r="E30" s="10"/>
      <c r="F30" s="10"/>
      <c r="G30" s="10"/>
      <c r="H30" s="10"/>
      <c r="I30" s="10"/>
    </row>
    <row r="31" spans="1:13" x14ac:dyDescent="0.25">
      <c r="D31" s="10" t="s">
        <v>0</v>
      </c>
      <c r="E31" s="10" t="s">
        <v>4</v>
      </c>
      <c r="F31" s="10" t="s">
        <v>5</v>
      </c>
      <c r="G31" s="10" t="s">
        <v>6</v>
      </c>
      <c r="H31" s="10" t="s">
        <v>7</v>
      </c>
      <c r="I31" s="10"/>
    </row>
    <row r="32" spans="1:13" x14ac:dyDescent="0.25">
      <c r="D32" s="10">
        <v>0</v>
      </c>
      <c r="E32" s="10">
        <f>(((55*$G$11)+$M$17)*EXP(-(($G$11*D32)/120000))-$M$17)/$G$11</f>
        <v>55</v>
      </c>
      <c r="F32" s="10">
        <v>55</v>
      </c>
      <c r="G32" s="10">
        <f>E32-F32</f>
        <v>0</v>
      </c>
      <c r="H32" s="10">
        <f>G32^2</f>
        <v>0</v>
      </c>
      <c r="I32" s="11"/>
    </row>
    <row r="33" spans="4:13" x14ac:dyDescent="0.25">
      <c r="D33" s="10">
        <v>1</v>
      </c>
      <c r="E33" s="10">
        <f t="shared" ref="E33:E49" si="5">(((55*$G$11)+$M$17)*EXP(-(($G$11*D33)/120000))-$M$17)/$G$11</f>
        <v>50.000000000000007</v>
      </c>
      <c r="F33" s="10">
        <v>50</v>
      </c>
      <c r="G33" s="10">
        <f t="shared" ref="G33:G49" si="6">E33-F33</f>
        <v>0</v>
      </c>
      <c r="H33" s="10">
        <f t="shared" ref="H33:H48" si="7">G33^2</f>
        <v>0</v>
      </c>
      <c r="I33" s="11"/>
    </row>
    <row r="34" spans="4:13" x14ac:dyDescent="0.25">
      <c r="D34" s="10">
        <v>2</v>
      </c>
      <c r="E34" s="10">
        <f t="shared" si="5"/>
        <v>45.336045221878962</v>
      </c>
      <c r="F34" s="10">
        <v>46</v>
      </c>
      <c r="G34" s="10">
        <f t="shared" si="6"/>
        <v>-0.6639547781210382</v>
      </c>
      <c r="H34" s="10">
        <f t="shared" si="7"/>
        <v>0.44083594738975707</v>
      </c>
      <c r="I34" s="11"/>
    </row>
    <row r="35" spans="4:13" x14ac:dyDescent="0.25">
      <c r="D35" s="10">
        <v>3</v>
      </c>
      <c r="E35" s="10">
        <f t="shared" si="5"/>
        <v>40.985550387407315</v>
      </c>
      <c r="F35" s="10">
        <v>41</v>
      </c>
      <c r="G35" s="10">
        <f t="shared" si="6"/>
        <v>-1.4449612592684957E-2</v>
      </c>
      <c r="H35" s="10">
        <f t="shared" si="7"/>
        <v>2.0879130407867969E-4</v>
      </c>
      <c r="I35" s="11"/>
    </row>
    <row r="36" spans="4:13" x14ac:dyDescent="0.25">
      <c r="D36" s="10">
        <v>4</v>
      </c>
      <c r="E36" s="10">
        <f t="shared" si="5"/>
        <v>36.927448153322317</v>
      </c>
      <c r="F36" s="10">
        <v>38</v>
      </c>
      <c r="G36" s="10">
        <f t="shared" si="6"/>
        <v>-1.0725518466776833</v>
      </c>
      <c r="H36" s="10">
        <f t="shared" si="7"/>
        <v>1.1503674638117087</v>
      </c>
      <c r="I36" s="11"/>
    </row>
    <row r="37" spans="4:13" x14ac:dyDescent="0.25">
      <c r="D37" s="10">
        <v>5</v>
      </c>
      <c r="E37" s="10">
        <f t="shared" si="5"/>
        <v>33.142087092369451</v>
      </c>
      <c r="F37" s="10">
        <v>34</v>
      </c>
      <c r="G37" s="10">
        <f t="shared" si="6"/>
        <v>-0.85791290763054917</v>
      </c>
      <c r="H37" s="10">
        <f t="shared" si="7"/>
        <v>0.73601455707910324</v>
      </c>
      <c r="I37" s="11"/>
    </row>
    <row r="38" spans="4:13" x14ac:dyDescent="0.25">
      <c r="D38" s="10">
        <v>6</v>
      </c>
      <c r="E38" s="10">
        <f t="shared" si="5"/>
        <v>29.611136530940531</v>
      </c>
      <c r="F38" s="10">
        <v>31</v>
      </c>
      <c r="G38" s="10">
        <f t="shared" si="6"/>
        <v>-1.3888634690594692</v>
      </c>
      <c r="H38" s="10">
        <f t="shared" si="7"/>
        <v>1.9289417356879033</v>
      </c>
      <c r="I38" s="11"/>
    </row>
    <row r="39" spans="4:13" x14ac:dyDescent="0.25">
      <c r="D39" s="10">
        <v>7</v>
      </c>
      <c r="E39" s="10">
        <f t="shared" si="5"/>
        <v>26.317497782483404</v>
      </c>
      <c r="F39" s="10">
        <v>27</v>
      </c>
      <c r="G39" s="10">
        <f t="shared" si="6"/>
        <v>-0.68250221751659623</v>
      </c>
      <c r="H39" s="10">
        <f t="shared" si="7"/>
        <v>0.46580927691507124</v>
      </c>
      <c r="I39" s="11"/>
    </row>
    <row r="40" spans="4:13" x14ac:dyDescent="0.25">
      <c r="D40" s="10">
        <v>8</v>
      </c>
      <c r="E40" s="10">
        <f t="shared" si="5"/>
        <v>23.245221346829162</v>
      </c>
      <c r="F40" s="10">
        <v>24</v>
      </c>
      <c r="G40" s="10">
        <f t="shared" si="6"/>
        <v>-0.75477865317083825</v>
      </c>
      <c r="H40" s="10">
        <f t="shared" si="7"/>
        <v>0.56969081528238452</v>
      </c>
      <c r="I40" s="11"/>
      <c r="M40">
        <f>642.096+411.913</f>
        <v>1054.009</v>
      </c>
    </row>
    <row r="41" spans="4:13" x14ac:dyDescent="0.25">
      <c r="D41" s="10">
        <v>9</v>
      </c>
      <c r="E41" s="10">
        <f t="shared" si="5"/>
        <v>20.379429674473489</v>
      </c>
      <c r="F41" s="10">
        <v>21</v>
      </c>
      <c r="G41" s="10">
        <f t="shared" si="6"/>
        <v>-0.62057032552651137</v>
      </c>
      <c r="H41" s="10">
        <f t="shared" si="7"/>
        <v>0.38510752892408029</v>
      </c>
      <c r="I41" s="11"/>
    </row>
    <row r="42" spans="4:13" x14ac:dyDescent="0.25">
      <c r="D42" s="10">
        <v>10</v>
      </c>
      <c r="E42" s="10">
        <f t="shared" si="5"/>
        <v>17.70624512179694</v>
      </c>
      <c r="F42" s="10">
        <v>18</v>
      </c>
      <c r="G42" s="10">
        <f t="shared" si="6"/>
        <v>-0.29375487820306034</v>
      </c>
      <c r="H42" s="10">
        <f t="shared" si="7"/>
        <v>8.6291928468094817E-2</v>
      </c>
      <c r="I42" s="11"/>
    </row>
    <row r="43" spans="4:13" x14ac:dyDescent="0.25">
      <c r="D43" s="10">
        <v>11</v>
      </c>
      <c r="E43" s="10">
        <f t="shared" si="5"/>
        <v>15.212722748345902</v>
      </c>
      <c r="F43" s="10">
        <v>16</v>
      </c>
      <c r="G43" s="10">
        <f t="shared" si="6"/>
        <v>-0.78727725165409801</v>
      </c>
      <c r="H43" s="10">
        <f t="shared" si="7"/>
        <v>0.61980547097202998</v>
      </c>
      <c r="I43" s="11"/>
    </row>
    <row r="44" spans="4:13" x14ac:dyDescent="0.25">
      <c r="D44" s="10">
        <v>12</v>
      </c>
      <c r="E44" s="10">
        <f t="shared" si="5"/>
        <v>12.886787630744163</v>
      </c>
      <c r="F44" s="10">
        <v>13</v>
      </c>
      <c r="G44" s="10">
        <f t="shared" si="6"/>
        <v>-0.11321236925583733</v>
      </c>
      <c r="H44" s="10">
        <f t="shared" si="7"/>
        <v>1.2817040552520061E-2</v>
      </c>
      <c r="I44" s="11"/>
    </row>
    <row r="45" spans="4:13" x14ac:dyDescent="0.25">
      <c r="D45" s="10">
        <v>13</v>
      </c>
      <c r="E45" s="10">
        <f t="shared" si="5"/>
        <v>10.717176389676522</v>
      </c>
      <c r="F45" s="10">
        <v>10</v>
      </c>
      <c r="G45" s="10">
        <f t="shared" si="6"/>
        <v>0.71717638967652242</v>
      </c>
      <c r="H45" s="10">
        <f t="shared" si="7"/>
        <v>0.51434197390945113</v>
      </c>
      <c r="I45" s="11"/>
    </row>
    <row r="46" spans="4:13" x14ac:dyDescent="0.25">
      <c r="D46" s="10">
        <v>14</v>
      </c>
      <c r="E46" s="10">
        <f t="shared" si="5"/>
        <v>8.6933826467880042</v>
      </c>
      <c r="F46" s="10">
        <v>8</v>
      </c>
      <c r="G46" s="10">
        <f t="shared" si="6"/>
        <v>0.69338264678800421</v>
      </c>
      <c r="H46" s="10">
        <f t="shared" si="7"/>
        <v>0.48077949486673821</v>
      </c>
      <c r="I46" s="11"/>
    </row>
    <row r="47" spans="4:13" x14ac:dyDescent="0.25">
      <c r="D47" s="10">
        <v>15</v>
      </c>
      <c r="E47" s="10">
        <f t="shared" si="5"/>
        <v>6.805606147372731</v>
      </c>
      <c r="F47" s="10">
        <v>5</v>
      </c>
      <c r="G47" s="10">
        <f t="shared" si="6"/>
        <v>1.805606147372731</v>
      </c>
      <c r="H47" s="10">
        <f t="shared" si="7"/>
        <v>3.2602135594301962</v>
      </c>
      <c r="I47" s="11"/>
    </row>
    <row r="48" spans="4:13" x14ac:dyDescent="0.25">
      <c r="D48" s="10">
        <v>16</v>
      </c>
      <c r="E48" s="10">
        <f t="shared" si="5"/>
        <v>5.0447053024782287</v>
      </c>
      <c r="F48" s="10">
        <v>3</v>
      </c>
      <c r="G48" s="10">
        <f t="shared" si="6"/>
        <v>2.0447053024782287</v>
      </c>
      <c r="H48" s="10">
        <f t="shared" si="7"/>
        <v>4.1808197739825843</v>
      </c>
      <c r="I48" s="10" t="s">
        <v>8</v>
      </c>
    </row>
    <row r="49" spans="4:20" x14ac:dyDescent="0.25">
      <c r="D49" s="10">
        <v>17</v>
      </c>
      <c r="E49" s="10">
        <f t="shared" si="5"/>
        <v>3.4021529206096086</v>
      </c>
      <c r="F49" s="10">
        <v>0</v>
      </c>
      <c r="G49" s="10">
        <f t="shared" si="6"/>
        <v>3.4021529206096086</v>
      </c>
      <c r="H49" s="10">
        <f>G49^2</f>
        <v>11.574644495212489</v>
      </c>
      <c r="I49" s="10">
        <f>SUM(H32:H49)</f>
        <v>26.406689853788187</v>
      </c>
    </row>
    <row r="52" spans="4:20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4:20" x14ac:dyDescent="0.25">
      <c r="D53" s="12" t="s">
        <v>0</v>
      </c>
      <c r="E53" s="12" t="s">
        <v>9</v>
      </c>
      <c r="F53" s="12"/>
      <c r="G53" s="12"/>
      <c r="H53" s="12" t="s">
        <v>0</v>
      </c>
      <c r="I53" s="12" t="s">
        <v>4</v>
      </c>
      <c r="J53" s="12" t="s">
        <v>5</v>
      </c>
      <c r="K53" s="12" t="s">
        <v>6</v>
      </c>
      <c r="L53" s="12" t="s">
        <v>7</v>
      </c>
      <c r="M53" s="13"/>
      <c r="N53" s="12"/>
      <c r="O53" s="12"/>
      <c r="P53" s="12"/>
      <c r="Q53" s="12"/>
      <c r="R53" s="12"/>
      <c r="S53" s="12"/>
      <c r="T53" s="12"/>
    </row>
    <row r="54" spans="4:20" x14ac:dyDescent="0.25">
      <c r="D54" s="12">
        <v>0</v>
      </c>
      <c r="E54" s="12" t="e">
        <f>(-120000*((1/96)-(1/B2)))/D54</f>
        <v>#DIV/0!</v>
      </c>
      <c r="F54" s="12"/>
      <c r="G54" s="12"/>
      <c r="H54" s="12">
        <v>0</v>
      </c>
      <c r="I54" s="12">
        <f>120000/(($F$63*H54)+1250)</f>
        <v>96</v>
      </c>
      <c r="J54" s="12">
        <v>96</v>
      </c>
      <c r="K54" s="12">
        <f>I54-J54</f>
        <v>0</v>
      </c>
      <c r="L54" s="12">
        <f>K54^2</f>
        <v>0</v>
      </c>
      <c r="M54" s="13"/>
      <c r="N54" s="12"/>
      <c r="O54" s="12"/>
      <c r="P54" s="12"/>
      <c r="Q54" s="12"/>
      <c r="R54" s="12"/>
      <c r="S54" s="12"/>
      <c r="T54" s="12"/>
    </row>
    <row r="55" spans="4:20" x14ac:dyDescent="0.25">
      <c r="D55" s="12">
        <v>1</v>
      </c>
      <c r="E55" s="12">
        <f t="shared" ref="E55:E63" si="8">(-120000*((1/96)-(1/B3)))/D55</f>
        <v>98.314606741573073</v>
      </c>
      <c r="F55" s="12"/>
      <c r="G55" s="12"/>
      <c r="H55" s="12">
        <v>1</v>
      </c>
      <c r="I55" s="12">
        <f t="shared" ref="I55:I63" si="9">120000/(($F$63*H55)+1250)</f>
        <v>88.688333937238568</v>
      </c>
      <c r="J55" s="12">
        <v>89</v>
      </c>
      <c r="K55" s="12">
        <f t="shared" ref="K55:K63" si="10">I55-J55</f>
        <v>-0.31166606276143227</v>
      </c>
      <c r="L55" s="12">
        <f t="shared" ref="L55:L63" si="11">K55^2</f>
        <v>9.7135734677213037E-2</v>
      </c>
      <c r="M55" s="13"/>
      <c r="N55" s="12"/>
      <c r="O55" s="12"/>
      <c r="P55" s="12"/>
      <c r="Q55" s="12"/>
      <c r="R55" s="12"/>
      <c r="S55" s="12"/>
      <c r="T55" s="12"/>
    </row>
    <row r="56" spans="4:20" x14ac:dyDescent="0.25">
      <c r="D56" s="12">
        <v>2</v>
      </c>
      <c r="E56" s="12">
        <f t="shared" si="8"/>
        <v>106.70731707317078</v>
      </c>
      <c r="F56" s="12"/>
      <c r="G56" s="12"/>
      <c r="H56" s="12">
        <v>2</v>
      </c>
      <c r="I56" s="12">
        <f t="shared" si="9"/>
        <v>82.411603475667818</v>
      </c>
      <c r="J56" s="12">
        <v>82</v>
      </c>
      <c r="K56" s="12">
        <f t="shared" si="10"/>
        <v>0.41160347566781752</v>
      </c>
      <c r="L56" s="12">
        <f t="shared" si="11"/>
        <v>0.16941742118182765</v>
      </c>
      <c r="M56" s="13"/>
      <c r="N56" s="12"/>
      <c r="O56" s="12"/>
      <c r="P56" s="12"/>
      <c r="Q56" s="12"/>
      <c r="R56" s="12"/>
      <c r="S56" s="12"/>
      <c r="T56" s="12"/>
    </row>
    <row r="57" spans="4:20" x14ac:dyDescent="0.25">
      <c r="D57" s="12">
        <v>3</v>
      </c>
      <c r="E57" s="12">
        <f t="shared" si="8"/>
        <v>102.81385281385288</v>
      </c>
      <c r="F57" s="12"/>
      <c r="G57" s="12"/>
      <c r="H57" s="12">
        <v>3</v>
      </c>
      <c r="I57" s="12">
        <f t="shared" si="9"/>
        <v>76.964595934554637</v>
      </c>
      <c r="J57" s="12">
        <v>77</v>
      </c>
      <c r="K57" s="12">
        <f t="shared" si="10"/>
        <v>-3.5404065445362676E-2</v>
      </c>
      <c r="L57" s="12">
        <f t="shared" si="11"/>
        <v>1.2534478500595234E-3</v>
      </c>
      <c r="M57" s="13"/>
      <c r="N57" s="12"/>
      <c r="O57" s="12"/>
      <c r="P57" s="12"/>
      <c r="Q57" s="12"/>
      <c r="R57" s="12"/>
      <c r="S57" s="12"/>
      <c r="T57" s="12"/>
    </row>
    <row r="58" spans="4:20" x14ac:dyDescent="0.25">
      <c r="D58" s="12">
        <v>4</v>
      </c>
      <c r="E58" s="12">
        <f t="shared" si="8"/>
        <v>104.16666666666666</v>
      </c>
      <c r="F58" s="12"/>
      <c r="G58" s="12"/>
      <c r="H58" s="12">
        <v>4</v>
      </c>
      <c r="I58" s="12">
        <f t="shared" si="9"/>
        <v>72.1929892633067</v>
      </c>
      <c r="J58" s="12">
        <v>72</v>
      </c>
      <c r="K58" s="12">
        <f t="shared" si="10"/>
        <v>0.19298926330669985</v>
      </c>
      <c r="L58" s="12">
        <f t="shared" si="11"/>
        <v>3.7244855751662725E-2</v>
      </c>
      <c r="M58" s="13"/>
      <c r="N58" s="12"/>
      <c r="O58" s="12"/>
      <c r="P58" s="12"/>
      <c r="Q58" s="12"/>
      <c r="R58" s="12"/>
      <c r="S58" s="12"/>
      <c r="T58" s="12"/>
    </row>
    <row r="59" spans="4:20" x14ac:dyDescent="0.25">
      <c r="D59" s="12">
        <v>5</v>
      </c>
      <c r="E59" s="12">
        <f t="shared" si="8"/>
        <v>102.94117647058825</v>
      </c>
      <c r="F59" s="12"/>
      <c r="G59" s="12"/>
      <c r="H59" s="12">
        <v>5</v>
      </c>
      <c r="I59" s="12">
        <f t="shared" si="9"/>
        <v>67.978497542331283</v>
      </c>
      <c r="J59" s="12">
        <v>68</v>
      </c>
      <c r="K59" s="12">
        <f t="shared" si="10"/>
        <v>-2.1502457668717057E-2</v>
      </c>
      <c r="L59" s="12">
        <f t="shared" si="11"/>
        <v>4.6235568579496895E-4</v>
      </c>
      <c r="M59" s="13"/>
      <c r="N59" s="12"/>
      <c r="O59" s="12"/>
      <c r="P59" s="12"/>
      <c r="Q59" s="12"/>
      <c r="R59" s="12"/>
      <c r="S59" s="12"/>
      <c r="T59" s="12"/>
    </row>
    <row r="60" spans="4:20" x14ac:dyDescent="0.25">
      <c r="D60" s="12">
        <v>6</v>
      </c>
      <c r="E60" s="12">
        <f t="shared" si="8"/>
        <v>104.16666666666669</v>
      </c>
      <c r="F60" s="12"/>
      <c r="G60" s="12"/>
      <c r="H60" s="12">
        <v>6</v>
      </c>
      <c r="I60" s="12">
        <f t="shared" si="9"/>
        <v>64.228932559873115</v>
      </c>
      <c r="J60" s="12">
        <v>64</v>
      </c>
      <c r="K60" s="12">
        <f t="shared" si="10"/>
        <v>0.22893255987311534</v>
      </c>
      <c r="L60" s="12">
        <f t="shared" si="11"/>
        <v>5.2410116970057541E-2</v>
      </c>
      <c r="M60" s="13"/>
      <c r="N60" s="12"/>
      <c r="O60" s="12"/>
      <c r="P60" s="12"/>
      <c r="Q60" s="12"/>
      <c r="R60" s="12"/>
      <c r="S60" s="12"/>
      <c r="T60" s="12"/>
    </row>
    <row r="61" spans="4:20" x14ac:dyDescent="0.25">
      <c r="D61" s="12">
        <v>7</v>
      </c>
      <c r="E61" s="12">
        <f t="shared" si="8"/>
        <v>102.45901639344265</v>
      </c>
      <c r="F61" s="12"/>
      <c r="G61" s="12"/>
      <c r="H61" s="12">
        <v>7</v>
      </c>
      <c r="I61" s="12">
        <f t="shared" si="9"/>
        <v>60.871382559077603</v>
      </c>
      <c r="J61" s="12">
        <v>61</v>
      </c>
      <c r="K61" s="12">
        <f t="shared" si="10"/>
        <v>-0.12861744092239746</v>
      </c>
      <c r="L61" s="12">
        <f t="shared" si="11"/>
        <v>1.6542446109426401E-2</v>
      </c>
      <c r="M61" s="13"/>
      <c r="N61" s="12"/>
      <c r="O61" s="12"/>
      <c r="P61" s="12"/>
      <c r="Q61" s="12"/>
      <c r="R61" s="12"/>
      <c r="S61" s="12"/>
      <c r="T61" s="12"/>
    </row>
    <row r="62" spans="4:20" x14ac:dyDescent="0.2">
      <c r="D62" s="12">
        <v>8</v>
      </c>
      <c r="E62" s="12">
        <f t="shared" si="8"/>
        <v>102.37068965517241</v>
      </c>
      <c r="F62" s="12" t="s">
        <v>10</v>
      </c>
      <c r="G62" s="12"/>
      <c r="H62" s="12">
        <v>8</v>
      </c>
      <c r="I62" s="12">
        <f t="shared" si="9"/>
        <v>57.84742417544377</v>
      </c>
      <c r="J62" s="12">
        <v>58</v>
      </c>
      <c r="K62" s="12">
        <f t="shared" si="10"/>
        <v>-0.15257582455623009</v>
      </c>
      <c r="L62" s="12">
        <f t="shared" si="11"/>
        <v>2.3279382239013505E-2</v>
      </c>
      <c r="M62" s="12" t="s">
        <v>8</v>
      </c>
      <c r="N62" s="12"/>
      <c r="O62" s="12"/>
      <c r="P62" s="12"/>
      <c r="Q62" s="12"/>
      <c r="R62" s="12"/>
      <c r="S62" s="12"/>
      <c r="T62" s="12"/>
    </row>
    <row r="63" spans="4:20" x14ac:dyDescent="0.2">
      <c r="D63" s="12">
        <v>9</v>
      </c>
      <c r="E63" s="12">
        <f t="shared" si="8"/>
        <v>103.53535353535352</v>
      </c>
      <c r="F63" s="12">
        <f>AVERAGE(E55:E63)</f>
        <v>103.05281622405408</v>
      </c>
      <c r="G63" s="12"/>
      <c r="H63" s="12">
        <v>9</v>
      </c>
      <c r="I63" s="12">
        <f t="shared" si="9"/>
        <v>55.109693994712828</v>
      </c>
      <c r="J63" s="12">
        <v>55</v>
      </c>
      <c r="K63" s="12">
        <f t="shared" si="10"/>
        <v>0.1096939947128277</v>
      </c>
      <c r="L63" s="12">
        <f t="shared" si="11"/>
        <v>1.2032772476057873E-2</v>
      </c>
      <c r="M63" s="12">
        <f>SUM(L54:L63)</f>
        <v>0.40977853294111322</v>
      </c>
      <c r="N63" s="12"/>
      <c r="O63" s="12"/>
      <c r="P63" s="12"/>
      <c r="Q63" s="12"/>
      <c r="R63" s="12"/>
      <c r="S63" s="12"/>
      <c r="T63" s="12"/>
    </row>
    <row r="64" spans="4:20" x14ac:dyDescent="0.25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4:30" x14ac:dyDescent="0.2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4:30" x14ac:dyDescent="0.2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W66">
        <v>103.53535353535352</v>
      </c>
    </row>
    <row r="67" spans="4:30" x14ac:dyDescent="0.25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4"/>
      <c r="O67" s="14"/>
      <c r="P67" s="14"/>
      <c r="Q67" s="14"/>
      <c r="R67" s="14"/>
      <c r="S67" s="14"/>
      <c r="T67" s="14"/>
    </row>
    <row r="68" spans="4:30" x14ac:dyDescent="0.25">
      <c r="D68" s="12" t="s">
        <v>0</v>
      </c>
      <c r="E68" s="12" t="s">
        <v>16</v>
      </c>
      <c r="F68" s="12" t="s">
        <v>5</v>
      </c>
      <c r="G68" s="12" t="s">
        <v>17</v>
      </c>
      <c r="H68" s="12" t="s">
        <v>18</v>
      </c>
      <c r="I68" s="12"/>
      <c r="J68" s="12">
        <v>5151.2411000000002</v>
      </c>
      <c r="K68" s="12"/>
      <c r="L68" s="12"/>
      <c r="M68" s="12"/>
      <c r="N68" s="14"/>
      <c r="O68" s="14" t="s">
        <v>0</v>
      </c>
      <c r="P68" s="14" t="s">
        <v>4</v>
      </c>
      <c r="Q68" s="14" t="s">
        <v>5</v>
      </c>
      <c r="R68" s="14" t="s">
        <v>17</v>
      </c>
      <c r="S68" s="14" t="s">
        <v>18</v>
      </c>
      <c r="T68" s="15"/>
      <c r="V68" s="7" t="s">
        <v>13</v>
      </c>
    </row>
    <row r="69" spans="4:30" x14ac:dyDescent="0.25">
      <c r="D69" s="12">
        <v>0</v>
      </c>
      <c r="E69" s="12">
        <f>($J$68*TAN($J$71-(($J$68*D69)/$J$70)))/$F$63</f>
        <v>55.000097999797219</v>
      </c>
      <c r="F69" s="12">
        <v>55</v>
      </c>
      <c r="G69" s="12">
        <f>F69-E69</f>
        <v>-9.7999797219472384E-5</v>
      </c>
      <c r="H69" s="12">
        <f>G69^2</f>
        <v>9.6039602550577074E-9</v>
      </c>
      <c r="I69" s="12"/>
      <c r="J69" s="12">
        <v>103.053</v>
      </c>
      <c r="K69" s="12"/>
      <c r="L69" s="12"/>
      <c r="M69" s="12"/>
      <c r="N69" s="14"/>
      <c r="O69" s="14">
        <v>0</v>
      </c>
      <c r="P69" s="14">
        <f t="shared" ref="P69:P86" si="12">($V$73*TAN($V$71-((O69*$V$73)/$W$70)))/$V$69</f>
        <v>55</v>
      </c>
      <c r="Q69" s="14">
        <v>55</v>
      </c>
      <c r="R69" s="14">
        <f>Q69-P69</f>
        <v>0</v>
      </c>
      <c r="S69" s="14">
        <f>R69^2</f>
        <v>0</v>
      </c>
      <c r="T69" s="15"/>
      <c r="V69" s="5">
        <v>103.05281622405408</v>
      </c>
      <c r="W69" t="s">
        <v>20</v>
      </c>
      <c r="Z69" t="s">
        <v>24</v>
      </c>
    </row>
    <row r="70" spans="4:30" x14ac:dyDescent="0.25">
      <c r="D70" s="12">
        <v>1</v>
      </c>
      <c r="E70" s="12">
        <f t="shared" ref="E70:E86" si="13">($J$68*TAN($J$71-(($J$68*D70)/$J$70)))/$F$63</f>
        <v>50.467818779146</v>
      </c>
      <c r="F70" s="12">
        <v>50</v>
      </c>
      <c r="G70" s="12">
        <f t="shared" ref="G70:G86" si="14">F70-E70</f>
        <v>-0.46781877914600045</v>
      </c>
      <c r="H70" s="12">
        <f t="shared" ref="H70:H86" si="15">G70^2</f>
        <v>0.21885441012165435</v>
      </c>
      <c r="I70" s="12"/>
      <c r="J70" s="12">
        <v>120000</v>
      </c>
      <c r="K70" s="12"/>
      <c r="L70" s="12"/>
      <c r="M70" s="12"/>
      <c r="N70" s="14"/>
      <c r="O70" s="14">
        <v>1</v>
      </c>
      <c r="P70" s="16">
        <f t="shared" si="12"/>
        <v>50.200762610031099</v>
      </c>
      <c r="Q70" s="14">
        <v>50</v>
      </c>
      <c r="R70" s="14">
        <f t="shared" ref="R70:R86" si="16">Q70-P70</f>
        <v>-0.20076261003109863</v>
      </c>
      <c r="S70" s="14">
        <f t="shared" ref="S70:S86" si="17">R70^2</f>
        <v>4.0305625586498986E-2</v>
      </c>
      <c r="T70" s="15"/>
      <c r="V70" t="s">
        <v>21</v>
      </c>
      <c r="W70">
        <v>120000</v>
      </c>
      <c r="Z70">
        <f>17*V73</f>
        <v>93090.870570415093</v>
      </c>
      <c r="AA70" t="s">
        <v>25</v>
      </c>
      <c r="AD70">
        <f>468.105+646.297</f>
        <v>1114.402</v>
      </c>
    </row>
    <row r="71" spans="4:30" x14ac:dyDescent="0.25">
      <c r="D71" s="12">
        <v>2</v>
      </c>
      <c r="E71" s="12">
        <f t="shared" si="13"/>
        <v>46.312303698314189</v>
      </c>
      <c r="F71" s="12">
        <v>46</v>
      </c>
      <c r="G71" s="12">
        <f t="shared" si="14"/>
        <v>-0.31230369831418869</v>
      </c>
      <c r="H71" s="12">
        <f t="shared" si="15"/>
        <v>9.7533599980719782E-2</v>
      </c>
      <c r="I71" s="12"/>
      <c r="J71" s="12">
        <v>0.83311738020000004</v>
      </c>
      <c r="K71" s="12"/>
      <c r="L71" s="12"/>
      <c r="M71" s="12"/>
      <c r="N71" s="14"/>
      <c r="O71" s="14">
        <v>2</v>
      </c>
      <c r="P71" s="14">
        <f t="shared" si="12"/>
        <v>45.798487946959817</v>
      </c>
      <c r="Q71" s="14">
        <v>46</v>
      </c>
      <c r="R71" s="14">
        <f t="shared" si="16"/>
        <v>0.20151205304018305</v>
      </c>
      <c r="S71" s="14">
        <f t="shared" si="17"/>
        <v>4.0607107520469546E-2</v>
      </c>
      <c r="T71" s="15"/>
      <c r="V71" s="6">
        <f>ATAN(W74/V73)</f>
        <v>0.80262313877750147</v>
      </c>
      <c r="W71" t="s">
        <v>14</v>
      </c>
      <c r="Z71" t="s">
        <v>26</v>
      </c>
      <c r="AA71">
        <f>W74/V73</f>
        <v>1.0350572787543857</v>
      </c>
    </row>
    <row r="72" spans="4:30" x14ac:dyDescent="0.25">
      <c r="D72" s="12">
        <v>3</v>
      </c>
      <c r="E72" s="12">
        <f t="shared" si="13"/>
        <v>42.474877508517245</v>
      </c>
      <c r="F72" s="12">
        <v>41</v>
      </c>
      <c r="G72" s="12">
        <f t="shared" si="14"/>
        <v>-1.4748775085172454</v>
      </c>
      <c r="H72" s="12">
        <f t="shared" si="15"/>
        <v>2.1752636651300374</v>
      </c>
      <c r="I72" s="12"/>
      <c r="J72" s="12"/>
      <c r="K72" s="12"/>
      <c r="L72" s="12"/>
      <c r="M72" s="12"/>
      <c r="N72" s="14"/>
      <c r="O72" s="14">
        <v>3</v>
      </c>
      <c r="P72" s="14">
        <f t="shared" si="12"/>
        <v>41.72961926525285</v>
      </c>
      <c r="Q72" s="14">
        <v>41</v>
      </c>
      <c r="R72" s="14">
        <f t="shared" si="16"/>
        <v>-0.72961926525285037</v>
      </c>
      <c r="S72" s="14">
        <f t="shared" si="17"/>
        <v>0.53234427222810921</v>
      </c>
      <c r="T72" s="15"/>
      <c r="V72" t="s">
        <v>22</v>
      </c>
      <c r="W72" s="3">
        <v>290975.53550422925</v>
      </c>
      <c r="Z72">
        <f>COS(-V71)</f>
        <v>0.69482258995756829</v>
      </c>
      <c r="AA72" t="s">
        <v>32</v>
      </c>
      <c r="AD72">
        <v>309161.50647324359</v>
      </c>
    </row>
    <row r="73" spans="4:30" x14ac:dyDescent="0.25">
      <c r="D73" s="12">
        <v>4</v>
      </c>
      <c r="E73" s="12">
        <f t="shared" si="13"/>
        <v>38.907709525986142</v>
      </c>
      <c r="F73" s="12">
        <v>38</v>
      </c>
      <c r="G73" s="12">
        <f t="shared" si="14"/>
        <v>-0.9077095259861423</v>
      </c>
      <c r="H73" s="12">
        <f t="shared" si="15"/>
        <v>0.82393658356598709</v>
      </c>
      <c r="I73" s="12"/>
      <c r="J73" s="12"/>
      <c r="K73" s="12"/>
      <c r="L73" s="12"/>
      <c r="M73" s="12"/>
      <c r="N73" s="14"/>
      <c r="O73" s="14">
        <v>4</v>
      </c>
      <c r="P73" s="14">
        <f t="shared" si="12"/>
        <v>37.942476466089111</v>
      </c>
      <c r="Q73" s="14">
        <v>38</v>
      </c>
      <c r="R73" s="14">
        <f t="shared" si="16"/>
        <v>5.7523533910888602E-2</v>
      </c>
      <c r="S73" s="14">
        <f t="shared" si="17"/>
        <v>3.3089569535971509E-3</v>
      </c>
      <c r="T73" s="15"/>
      <c r="V73" s="4">
        <f>(SQRT($W$72*$F$63))</f>
        <v>5475.9335629655934</v>
      </c>
      <c r="W73" t="s">
        <v>23</v>
      </c>
      <c r="Z73" t="s">
        <v>27</v>
      </c>
      <c r="AA73">
        <f>LN(Z72)</f>
        <v>-0.36409873225142231</v>
      </c>
    </row>
    <row r="74" spans="4:30" x14ac:dyDescent="0.25">
      <c r="D74" s="12">
        <v>5</v>
      </c>
      <c r="E74" s="12">
        <f t="shared" si="13"/>
        <v>35.571350258884365</v>
      </c>
      <c r="F74" s="12">
        <v>34</v>
      </c>
      <c r="G74" s="12">
        <f t="shared" si="14"/>
        <v>-1.5713502588843653</v>
      </c>
      <c r="H74" s="12">
        <f t="shared" si="15"/>
        <v>2.4691416360959617</v>
      </c>
      <c r="I74" s="12"/>
      <c r="J74" s="12"/>
      <c r="K74" s="12"/>
      <c r="L74" s="12"/>
      <c r="M74" s="12"/>
      <c r="N74" s="14"/>
      <c r="O74" s="14">
        <v>5</v>
      </c>
      <c r="P74" s="14">
        <f t="shared" si="12"/>
        <v>34.394506946182922</v>
      </c>
      <c r="Q74" s="14">
        <v>34</v>
      </c>
      <c r="R74" s="14">
        <f t="shared" si="16"/>
        <v>-0.39450694618292204</v>
      </c>
      <c r="S74" s="14">
        <f t="shared" si="17"/>
        <v>0.15563573058657496</v>
      </c>
      <c r="T74" s="15"/>
      <c r="W74" s="4">
        <f>55*V69</f>
        <v>5667.9048923229748</v>
      </c>
      <c r="Z74">
        <f>120000*V71</f>
        <v>96314.77665330017</v>
      </c>
      <c r="AA74" t="s">
        <v>28</v>
      </c>
    </row>
    <row r="75" spans="4:30" x14ac:dyDescent="0.25">
      <c r="D75" s="12">
        <v>6</v>
      </c>
      <c r="E75" s="12">
        <f t="shared" si="13"/>
        <v>32.432903219638519</v>
      </c>
      <c r="F75" s="12">
        <v>31</v>
      </c>
      <c r="G75" s="12">
        <f t="shared" si="14"/>
        <v>-1.4329032196385185</v>
      </c>
      <c r="H75" s="12">
        <f t="shared" si="15"/>
        <v>2.0532116368504325</v>
      </c>
      <c r="I75" s="12"/>
      <c r="J75" s="12"/>
      <c r="K75" s="12"/>
      <c r="L75" s="12"/>
      <c r="M75" s="12"/>
      <c r="N75" s="14"/>
      <c r="O75" s="14">
        <v>6</v>
      </c>
      <c r="P75" s="14">
        <f t="shared" si="12"/>
        <v>31.050255015216159</v>
      </c>
      <c r="Q75" s="14">
        <v>31</v>
      </c>
      <c r="R75" s="14">
        <f t="shared" si="16"/>
        <v>-5.0255015216158938E-2</v>
      </c>
      <c r="S75" s="14">
        <f t="shared" si="17"/>
        <v>2.5255665543763663E-3</v>
      </c>
      <c r="T75" s="15"/>
      <c r="Z75" t="s">
        <v>29</v>
      </c>
      <c r="AA75">
        <f>Z70-Z74</f>
        <v>-3223.9060828850779</v>
      </c>
    </row>
    <row r="76" spans="4:30" x14ac:dyDescent="0.25">
      <c r="D76" s="12">
        <v>7</v>
      </c>
      <c r="E76" s="12">
        <f t="shared" si="13"/>
        <v>29.464647765909973</v>
      </c>
      <c r="F76" s="12">
        <v>27</v>
      </c>
      <c r="G76" s="12">
        <f t="shared" si="14"/>
        <v>-2.464647765909973</v>
      </c>
      <c r="H76" s="12">
        <f t="shared" si="15"/>
        <v>6.0744886100050213</v>
      </c>
      <c r="I76" s="12"/>
      <c r="J76" s="12"/>
      <c r="K76" s="12"/>
      <c r="L76" s="12"/>
      <c r="M76" s="12"/>
      <c r="N76" s="14"/>
      <c r="O76" s="14">
        <v>7</v>
      </c>
      <c r="P76" s="14">
        <f t="shared" si="12"/>
        <v>27.879838283605885</v>
      </c>
      <c r="Q76" s="14">
        <v>27</v>
      </c>
      <c r="R76" s="14">
        <f t="shared" si="16"/>
        <v>-0.8798382836058849</v>
      </c>
      <c r="S76" s="14">
        <f t="shared" si="17"/>
        <v>0.7741154052985495</v>
      </c>
      <c r="T76" s="15"/>
      <c r="Z76">
        <f>AA75/120000</f>
        <v>-2.6865884024042316E-2</v>
      </c>
      <c r="AA76" t="s">
        <v>30</v>
      </c>
    </row>
    <row r="77" spans="4:30" x14ac:dyDescent="0.25">
      <c r="D77" s="12">
        <v>8</v>
      </c>
      <c r="E77" s="12">
        <f t="shared" si="13"/>
        <v>26.64298726199803</v>
      </c>
      <c r="F77" s="12">
        <v>24</v>
      </c>
      <c r="G77" s="12">
        <f t="shared" si="14"/>
        <v>-2.6429872619980301</v>
      </c>
      <c r="H77" s="12">
        <f t="shared" si="15"/>
        <v>6.9853816670838436</v>
      </c>
      <c r="I77" s="12"/>
      <c r="J77" s="12"/>
      <c r="K77" s="12"/>
      <c r="L77" s="12"/>
      <c r="M77" s="12"/>
      <c r="N77" s="14"/>
      <c r="O77" s="14">
        <v>8</v>
      </c>
      <c r="P77" s="14">
        <f t="shared" si="12"/>
        <v>24.857787489229725</v>
      </c>
      <c r="Q77" s="14">
        <v>24</v>
      </c>
      <c r="R77" s="14">
        <f t="shared" si="16"/>
        <v>-0.85778748922972525</v>
      </c>
      <c r="S77" s="14">
        <f t="shared" si="17"/>
        <v>0.73579937667903605</v>
      </c>
      <c r="T77" s="15"/>
      <c r="V77">
        <f>(SQRT(W72*V69)*TAN(ATAN((55*V69)/SQRT(W72*V69))-(SQRT(W72*V69)*((17)/120000))))/V69</f>
        <v>1.4279202307096077</v>
      </c>
      <c r="Z77" t="s">
        <v>31</v>
      </c>
      <c r="AA77">
        <f>COS(Z76)</f>
        <v>0.99963913384395597</v>
      </c>
    </row>
    <row r="78" spans="4:30" x14ac:dyDescent="0.25">
      <c r="D78" s="12">
        <v>9</v>
      </c>
      <c r="E78" s="12">
        <f t="shared" si="13"/>
        <v>23.947635202266031</v>
      </c>
      <c r="F78" s="12">
        <v>21</v>
      </c>
      <c r="G78" s="12">
        <f t="shared" si="14"/>
        <v>-2.9476352022660315</v>
      </c>
      <c r="H78" s="12">
        <f t="shared" si="15"/>
        <v>8.6885532856379086</v>
      </c>
      <c r="I78" s="12"/>
      <c r="J78" s="12"/>
      <c r="K78" s="12"/>
      <c r="L78" s="12"/>
      <c r="M78" s="12"/>
      <c r="N78" s="14"/>
      <c r="O78" s="14">
        <v>9</v>
      </c>
      <c r="P78" s="14">
        <f t="shared" si="12"/>
        <v>21.962150565887438</v>
      </c>
      <c r="Q78" s="14">
        <v>21</v>
      </c>
      <c r="R78" s="14">
        <f t="shared" si="16"/>
        <v>-0.96215056588743764</v>
      </c>
      <c r="S78" s="14">
        <f t="shared" si="17"/>
        <v>0.92573371143751648</v>
      </c>
      <c r="T78" s="15"/>
      <c r="W78" t="s">
        <v>39</v>
      </c>
      <c r="Z78">
        <f>LN(AA77)</f>
        <v>-3.6093128390408019E-4</v>
      </c>
      <c r="AA78" t="s">
        <v>33</v>
      </c>
    </row>
    <row r="79" spans="4:30" x14ac:dyDescent="0.25">
      <c r="D79" s="12">
        <v>10</v>
      </c>
      <c r="E79" s="12">
        <f t="shared" si="13"/>
        <v>21.360977580768921</v>
      </c>
      <c r="F79" s="12">
        <v>18</v>
      </c>
      <c r="G79" s="12">
        <f t="shared" si="14"/>
        <v>-3.3609775807689211</v>
      </c>
      <c r="H79" s="12">
        <f t="shared" si="15"/>
        <v>11.29617029843131</v>
      </c>
      <c r="I79" s="12"/>
      <c r="J79" s="12"/>
      <c r="K79" s="12"/>
      <c r="L79" s="12"/>
      <c r="M79" s="12"/>
      <c r="N79" s="14"/>
      <c r="O79" s="14">
        <v>10</v>
      </c>
      <c r="P79" s="14">
        <f t="shared" si="12"/>
        <v>19.173791197550013</v>
      </c>
      <c r="Q79" s="14">
        <v>18</v>
      </c>
      <c r="R79" s="14">
        <f t="shared" si="16"/>
        <v>-1.1737911975500133</v>
      </c>
      <c r="S79" s="14">
        <f t="shared" si="17"/>
        <v>1.3777857754458942</v>
      </c>
      <c r="T79" s="15"/>
      <c r="Z79" t="s">
        <v>34</v>
      </c>
      <c r="AA79">
        <f>Z78+AA73</f>
        <v>-0.36445966353532638</v>
      </c>
    </row>
    <row r="80" spans="4:30" x14ac:dyDescent="0.25">
      <c r="D80" s="12">
        <v>11</v>
      </c>
      <c r="E80" s="12">
        <f t="shared" si="13"/>
        <v>18.867567232919292</v>
      </c>
      <c r="F80" s="12">
        <v>16</v>
      </c>
      <c r="G80" s="12">
        <f t="shared" si="14"/>
        <v>-2.8675672329192921</v>
      </c>
      <c r="H80" s="12">
        <f t="shared" si="15"/>
        <v>8.2229418353124046</v>
      </c>
      <c r="I80" s="12"/>
      <c r="J80" s="12"/>
      <c r="K80" s="12"/>
      <c r="L80" s="12"/>
      <c r="M80" s="12"/>
      <c r="N80" s="14"/>
      <c r="O80" s="14">
        <v>11</v>
      </c>
      <c r="P80" s="14">
        <f t="shared" si="12"/>
        <v>16.475831995998668</v>
      </c>
      <c r="Q80" s="14">
        <v>16</v>
      </c>
      <c r="R80" s="14">
        <f t="shared" si="16"/>
        <v>-0.47583199599866788</v>
      </c>
      <c r="S80" s="14">
        <f t="shared" si="17"/>
        <v>0.22641608841607627</v>
      </c>
      <c r="T80" s="15"/>
      <c r="Z80">
        <f>120000*AA79</f>
        <v>-43735.159624239168</v>
      </c>
      <c r="AA80" t="s">
        <v>35</v>
      </c>
    </row>
    <row r="81" spans="4:27" x14ac:dyDescent="0.25">
      <c r="D81" s="12">
        <v>12</v>
      </c>
      <c r="E81" s="12">
        <f t="shared" si="13"/>
        <v>16.453717923011911</v>
      </c>
      <c r="F81" s="12">
        <v>13</v>
      </c>
      <c r="G81" s="12">
        <f t="shared" si="14"/>
        <v>-3.4537179230119115</v>
      </c>
      <c r="H81" s="12">
        <f t="shared" si="15"/>
        <v>11.928167491733712</v>
      </c>
      <c r="I81" s="12"/>
      <c r="J81" s="12"/>
      <c r="K81" s="12"/>
      <c r="L81" s="12"/>
      <c r="M81" s="12"/>
      <c r="N81" s="14"/>
      <c r="O81" s="14">
        <v>12</v>
      </c>
      <c r="P81" s="14">
        <f t="shared" si="12"/>
        <v>13.853206089827609</v>
      </c>
      <c r="Q81" s="14">
        <v>13</v>
      </c>
      <c r="R81" s="14">
        <f t="shared" si="16"/>
        <v>-0.85320608982760859</v>
      </c>
      <c r="S81" s="14">
        <f t="shared" si="17"/>
        <v>0.72796063171891734</v>
      </c>
      <c r="T81" s="15"/>
      <c r="Z81" t="s">
        <v>36</v>
      </c>
      <c r="AA81">
        <f>Z80/V73</f>
        <v>-7.9867951503329744</v>
      </c>
    </row>
    <row r="82" spans="4:27" x14ac:dyDescent="0.25">
      <c r="D82" s="12">
        <v>13</v>
      </c>
      <c r="E82" s="12">
        <f t="shared" si="13"/>
        <v>14.10717438926995</v>
      </c>
      <c r="F82" s="12">
        <v>10</v>
      </c>
      <c r="G82" s="12">
        <f t="shared" si="14"/>
        <v>-4.1071743892699502</v>
      </c>
      <c r="H82" s="12">
        <f t="shared" si="15"/>
        <v>16.868881463874988</v>
      </c>
      <c r="I82" s="12"/>
      <c r="J82" s="12"/>
      <c r="K82" s="12"/>
      <c r="L82" s="12"/>
      <c r="M82" s="12"/>
      <c r="N82" s="14"/>
      <c r="O82" s="14">
        <v>13</v>
      </c>
      <c r="P82" s="14">
        <f t="shared" si="12"/>
        <v>11.292290404268552</v>
      </c>
      <c r="Q82" s="14">
        <v>10</v>
      </c>
      <c r="R82" s="14">
        <f t="shared" si="16"/>
        <v>-1.2922904042685524</v>
      </c>
      <c r="S82" s="14">
        <f t="shared" si="17"/>
        <v>1.6700144889645785</v>
      </c>
      <c r="T82" s="15"/>
      <c r="Z82">
        <f>V73/V69</f>
        <v>53.13715591294465</v>
      </c>
      <c r="AA82" t="s">
        <v>37</v>
      </c>
    </row>
    <row r="83" spans="4:27" x14ac:dyDescent="0.25">
      <c r="D83" s="12">
        <v>14</v>
      </c>
      <c r="E83" s="12">
        <f t="shared" si="13"/>
        <v>11.816840539334883</v>
      </c>
      <c r="F83" s="12">
        <v>8</v>
      </c>
      <c r="G83" s="12">
        <f t="shared" si="14"/>
        <v>-3.8168405393348834</v>
      </c>
      <c r="H83" s="12">
        <f t="shared" si="15"/>
        <v>14.568271702710204</v>
      </c>
      <c r="I83" s="12"/>
      <c r="J83" s="12"/>
      <c r="K83" s="12"/>
      <c r="L83" s="12"/>
      <c r="M83" s="12"/>
      <c r="N83" s="14"/>
      <c r="O83" s="14">
        <v>14</v>
      </c>
      <c r="P83" s="14">
        <f t="shared" si="12"/>
        <v>8.7806005822645297</v>
      </c>
      <c r="Q83" s="14">
        <v>8</v>
      </c>
      <c r="R83" s="14">
        <f t="shared" si="16"/>
        <v>-0.78060058226452966</v>
      </c>
      <c r="S83" s="14">
        <f t="shared" si="17"/>
        <v>0.60933726903172269</v>
      </c>
      <c r="T83" s="15"/>
      <c r="AA83" s="8">
        <f>Z82*AA81</f>
        <v>-424.39557914799349</v>
      </c>
    </row>
    <row r="84" spans="4:27" x14ac:dyDescent="0.25">
      <c r="D84" s="12">
        <v>15</v>
      </c>
      <c r="E84" s="12">
        <f t="shared" si="13"/>
        <v>9.5725522720247671</v>
      </c>
      <c r="F84" s="12">
        <v>5</v>
      </c>
      <c r="G84" s="12">
        <f t="shared" si="14"/>
        <v>-4.5725522720247671</v>
      </c>
      <c r="H84" s="12">
        <f t="shared" si="15"/>
        <v>20.908234280398858</v>
      </c>
      <c r="I84" s="12"/>
      <c r="J84" s="12"/>
      <c r="K84" s="12"/>
      <c r="L84" s="12"/>
      <c r="M84" s="12"/>
      <c r="N84" s="14"/>
      <c r="O84" s="14">
        <v>15</v>
      </c>
      <c r="P84" s="14">
        <f t="shared" si="12"/>
        <v>6.3065322205828824</v>
      </c>
      <c r="Q84" s="14">
        <v>5</v>
      </c>
      <c r="R84" s="14">
        <f t="shared" si="16"/>
        <v>-1.3065322205828824</v>
      </c>
      <c r="S84" s="14">
        <f t="shared" si="17"/>
        <v>1.7070264434212377</v>
      </c>
      <c r="T84" s="15"/>
    </row>
    <row r="85" spans="4:27" x14ac:dyDescent="0.25">
      <c r="D85" s="12">
        <v>16</v>
      </c>
      <c r="E85" s="12">
        <f t="shared" si="13"/>
        <v>7.364884491271658</v>
      </c>
      <c r="F85" s="12">
        <v>3</v>
      </c>
      <c r="G85" s="12">
        <f t="shared" si="14"/>
        <v>-4.364884491271658</v>
      </c>
      <c r="H85" s="12">
        <f t="shared" si="15"/>
        <v>19.052216622143842</v>
      </c>
      <c r="I85" s="12" t="s">
        <v>19</v>
      </c>
      <c r="J85" s="12"/>
      <c r="K85" s="12"/>
      <c r="L85" s="12"/>
      <c r="M85" s="12"/>
      <c r="N85" s="14"/>
      <c r="O85" s="14">
        <v>16</v>
      </c>
      <c r="P85" s="14">
        <f t="shared" si="12"/>
        <v>3.8591364470926943</v>
      </c>
      <c r="Q85" s="14">
        <v>3</v>
      </c>
      <c r="R85" s="14">
        <f t="shared" si="16"/>
        <v>-0.85913644709269432</v>
      </c>
      <c r="S85" s="14">
        <f t="shared" si="17"/>
        <v>0.73811543472305796</v>
      </c>
      <c r="T85" s="14" t="s">
        <v>19</v>
      </c>
    </row>
    <row r="86" spans="4:27" x14ac:dyDescent="0.25">
      <c r="D86" s="12">
        <v>17</v>
      </c>
      <c r="E86" s="12">
        <f t="shared" si="13"/>
        <v>5.1849841165753441</v>
      </c>
      <c r="F86" s="12">
        <v>0</v>
      </c>
      <c r="G86" s="12">
        <f t="shared" si="14"/>
        <v>-5.1849841165753441</v>
      </c>
      <c r="H86" s="12">
        <f t="shared" si="15"/>
        <v>26.884060289138603</v>
      </c>
      <c r="I86" s="12">
        <f>SUM(H69:H86)</f>
        <v>159.31530908781943</v>
      </c>
      <c r="J86" s="12"/>
      <c r="K86" s="12"/>
      <c r="L86" s="12"/>
      <c r="M86" s="12"/>
      <c r="N86" s="14"/>
      <c r="O86" s="14">
        <v>17</v>
      </c>
      <c r="P86" s="14">
        <f t="shared" si="12"/>
        <v>1.4279202307096077</v>
      </c>
      <c r="Q86" s="14">
        <v>0</v>
      </c>
      <c r="R86" s="14">
        <f t="shared" si="16"/>
        <v>-1.4279202307096077</v>
      </c>
      <c r="S86" s="14">
        <f t="shared" si="17"/>
        <v>2.0389561852697793</v>
      </c>
      <c r="T86" s="14">
        <f>SUM(S69:S86)</f>
        <v>12.305988069835992</v>
      </c>
    </row>
  </sheetData>
  <mergeCells count="2">
    <mergeCell ref="M53:M61"/>
    <mergeCell ref="T68:T8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29"/>
  <sheetViews>
    <sheetView zoomScale="130" zoomScaleNormal="130" workbookViewId="0">
      <selection activeCell="T12" sqref="T12"/>
    </sheetView>
  </sheetViews>
  <sheetFormatPr defaultRowHeight="15" x14ac:dyDescent="0.25"/>
  <cols>
    <col min="3" max="3" width="9.85546875" customWidth="1"/>
    <col min="4" max="4" width="12.85546875" customWidth="1"/>
    <col min="5" max="5" width="13" customWidth="1"/>
    <col min="6" max="6" width="13.5703125" customWidth="1"/>
    <col min="7" max="7" width="12.7109375" customWidth="1"/>
    <col min="8" max="8" width="17" bestFit="1" customWidth="1"/>
    <col min="18" max="18" width="10.42578125" bestFit="1" customWidth="1"/>
    <col min="20" max="20" width="14.85546875" bestFit="1" customWidth="1"/>
  </cols>
  <sheetData>
    <row r="2" spans="3:25" x14ac:dyDescent="0.25">
      <c r="O2" t="s">
        <v>0</v>
      </c>
      <c r="P2" t="s">
        <v>1</v>
      </c>
      <c r="R2" t="s">
        <v>13</v>
      </c>
    </row>
    <row r="3" spans="3:25" x14ac:dyDescent="0.25">
      <c r="C3" t="s">
        <v>0</v>
      </c>
      <c r="D3" t="s">
        <v>12</v>
      </c>
      <c r="E3" t="s">
        <v>11</v>
      </c>
      <c r="F3" t="s">
        <v>13</v>
      </c>
      <c r="G3" t="s">
        <v>14</v>
      </c>
      <c r="O3">
        <v>0</v>
      </c>
      <c r="P3">
        <v>96</v>
      </c>
    </row>
    <row r="4" spans="3:25" x14ac:dyDescent="0.25">
      <c r="C4">
        <v>0</v>
      </c>
      <c r="D4">
        <v>55</v>
      </c>
      <c r="F4">
        <v>103.05281622405408</v>
      </c>
      <c r="G4">
        <f>-(120000*E4)-(F4*D4^2)</f>
        <v>-311734.7690777636</v>
      </c>
      <c r="O4">
        <v>1</v>
      </c>
      <c r="P4">
        <v>89</v>
      </c>
      <c r="R4">
        <f>(-120000*((1/96)-(1/P4)))/O4</f>
        <v>98.314606741573073</v>
      </c>
    </row>
    <row r="5" spans="3:25" x14ac:dyDescent="0.25">
      <c r="C5">
        <v>1</v>
      </c>
      <c r="D5">
        <v>50</v>
      </c>
      <c r="E5" s="1">
        <f>(D5-D4)/(C5-C4)</f>
        <v>-5</v>
      </c>
      <c r="F5">
        <v>103.05281622405408</v>
      </c>
      <c r="G5">
        <f t="shared" ref="G5:G21" si="0">(-120000*E5)-(F5*D5^2)</f>
        <v>342367.95943986479</v>
      </c>
      <c r="O5">
        <v>2</v>
      </c>
      <c r="P5">
        <v>82</v>
      </c>
      <c r="R5">
        <f t="shared" ref="R5:T29" si="1">(-120000*((1/96)-(1/P5)))/O5</f>
        <v>106.70731707317078</v>
      </c>
    </row>
    <row r="6" spans="3:25" x14ac:dyDescent="0.2">
      <c r="C6">
        <v>2</v>
      </c>
      <c r="D6">
        <v>46</v>
      </c>
      <c r="E6" s="1">
        <f t="shared" ref="E6:E20" si="2">(D6-D5)/(C6-C5)</f>
        <v>-4</v>
      </c>
      <c r="F6">
        <v>103.05281622405408</v>
      </c>
      <c r="G6">
        <f t="shared" si="0"/>
        <v>261940.24086990155</v>
      </c>
      <c r="O6">
        <v>3</v>
      </c>
      <c r="P6">
        <v>77</v>
      </c>
      <c r="R6">
        <f t="shared" si="1"/>
        <v>102.81385281385288</v>
      </c>
    </row>
    <row r="7" spans="3:25" x14ac:dyDescent="0.2">
      <c r="C7">
        <v>3</v>
      </c>
      <c r="D7">
        <v>41</v>
      </c>
      <c r="E7" s="1">
        <f t="shared" si="2"/>
        <v>-5</v>
      </c>
      <c r="F7">
        <v>103.05281622405408</v>
      </c>
      <c r="G7">
        <f t="shared" si="0"/>
        <v>426768.21592736512</v>
      </c>
      <c r="O7">
        <v>4</v>
      </c>
      <c r="P7">
        <v>72</v>
      </c>
      <c r="R7">
        <f t="shared" si="1"/>
        <v>104.16666666666666</v>
      </c>
    </row>
    <row r="8" spans="3:25" x14ac:dyDescent="0.2">
      <c r="C8">
        <v>4</v>
      </c>
      <c r="D8">
        <v>38</v>
      </c>
      <c r="E8" s="1">
        <f t="shared" si="2"/>
        <v>-3</v>
      </c>
      <c r="F8">
        <v>103.05281622405408</v>
      </c>
      <c r="G8">
        <f t="shared" si="0"/>
        <v>211191.73337246591</v>
      </c>
      <c r="O8">
        <v>5</v>
      </c>
      <c r="P8">
        <v>68</v>
      </c>
      <c r="R8">
        <f t="shared" si="1"/>
        <v>102.94117647058825</v>
      </c>
    </row>
    <row r="9" spans="3:25" x14ac:dyDescent="0.2">
      <c r="C9">
        <v>5</v>
      </c>
      <c r="D9">
        <v>34</v>
      </c>
      <c r="E9" s="1">
        <f t="shared" si="2"/>
        <v>-4</v>
      </c>
      <c r="F9">
        <v>103.05281622405408</v>
      </c>
      <c r="G9">
        <f t="shared" si="0"/>
        <v>360870.94444499351</v>
      </c>
      <c r="O9">
        <v>6</v>
      </c>
      <c r="P9">
        <v>64</v>
      </c>
      <c r="R9">
        <f t="shared" si="1"/>
        <v>104.16666666666669</v>
      </c>
    </row>
    <row r="10" spans="3:25" x14ac:dyDescent="0.2">
      <c r="C10">
        <v>6</v>
      </c>
      <c r="D10">
        <v>31</v>
      </c>
      <c r="E10" s="1">
        <f t="shared" si="2"/>
        <v>-3</v>
      </c>
      <c r="F10">
        <v>103.05281622405408</v>
      </c>
      <c r="G10">
        <f t="shared" si="0"/>
        <v>260966.24360868405</v>
      </c>
      <c r="O10">
        <v>7</v>
      </c>
      <c r="P10">
        <v>61</v>
      </c>
      <c r="R10">
        <f t="shared" si="1"/>
        <v>102.45901639344265</v>
      </c>
    </row>
    <row r="11" spans="3:25" x14ac:dyDescent="0.2">
      <c r="C11">
        <v>7</v>
      </c>
      <c r="D11">
        <v>27</v>
      </c>
      <c r="E11" s="1">
        <f t="shared" si="2"/>
        <v>-4</v>
      </c>
      <c r="F11">
        <v>103.05281622405408</v>
      </c>
      <c r="G11">
        <f t="shared" si="0"/>
        <v>404874.49697266461</v>
      </c>
      <c r="O11">
        <v>8</v>
      </c>
      <c r="P11">
        <v>58</v>
      </c>
      <c r="R11">
        <f t="shared" si="1"/>
        <v>102.37068965517241</v>
      </c>
      <c r="Y11" t="s">
        <v>38</v>
      </c>
    </row>
    <row r="12" spans="3:25" x14ac:dyDescent="0.25">
      <c r="C12">
        <v>8</v>
      </c>
      <c r="D12">
        <v>24</v>
      </c>
      <c r="E12" s="1">
        <f t="shared" si="2"/>
        <v>-3</v>
      </c>
      <c r="F12">
        <v>103.05281622405408</v>
      </c>
      <c r="G12">
        <f t="shared" si="0"/>
        <v>300641.57785494486</v>
      </c>
      <c r="O12">
        <v>9</v>
      </c>
      <c r="P12">
        <v>55</v>
      </c>
      <c r="R12" s="7">
        <f t="shared" si="1"/>
        <v>103.53535353535352</v>
      </c>
      <c r="T12" s="7">
        <v>103.53535353535352</v>
      </c>
    </row>
    <row r="13" spans="3:25" x14ac:dyDescent="0.25">
      <c r="C13">
        <v>9</v>
      </c>
      <c r="D13">
        <v>21</v>
      </c>
      <c r="E13" s="1">
        <f t="shared" si="2"/>
        <v>-3</v>
      </c>
      <c r="F13">
        <v>103.05281622405408</v>
      </c>
      <c r="G13">
        <f t="shared" si="0"/>
        <v>314553.70804519218</v>
      </c>
      <c r="O13">
        <v>10</v>
      </c>
      <c r="P13">
        <v>50</v>
      </c>
      <c r="R13">
        <f t="shared" si="1"/>
        <v>115.00000000000003</v>
      </c>
      <c r="T13" s="9">
        <f>AVERAGE(R4:R12)</f>
        <v>103.05281622405408</v>
      </c>
    </row>
    <row r="14" spans="3:25" x14ac:dyDescent="0.25">
      <c r="C14">
        <v>10</v>
      </c>
      <c r="D14">
        <v>18</v>
      </c>
      <c r="E14" s="1">
        <f t="shared" si="2"/>
        <v>-3</v>
      </c>
      <c r="F14">
        <v>103.05281622405408</v>
      </c>
      <c r="G14">
        <f t="shared" si="0"/>
        <v>326610.88754340645</v>
      </c>
      <c r="O14">
        <v>11</v>
      </c>
      <c r="P14">
        <v>46</v>
      </c>
      <c r="R14">
        <f t="shared" si="1"/>
        <v>123.51778656126481</v>
      </c>
    </row>
    <row r="15" spans="3:25" x14ac:dyDescent="0.2">
      <c r="C15">
        <v>11</v>
      </c>
      <c r="D15">
        <v>16</v>
      </c>
      <c r="E15" s="1">
        <f t="shared" si="2"/>
        <v>-2</v>
      </c>
      <c r="F15">
        <v>103.05281622405408</v>
      </c>
      <c r="G15">
        <f t="shared" si="0"/>
        <v>213618.47904664214</v>
      </c>
      <c r="O15">
        <v>12</v>
      </c>
      <c r="P15">
        <v>41</v>
      </c>
      <c r="R15">
        <f t="shared" si="1"/>
        <v>139.73577235772359</v>
      </c>
    </row>
    <row r="16" spans="3:25" x14ac:dyDescent="0.25">
      <c r="C16">
        <v>12</v>
      </c>
      <c r="D16">
        <v>13</v>
      </c>
      <c r="E16" s="1">
        <f t="shared" si="2"/>
        <v>-3</v>
      </c>
      <c r="F16">
        <v>103.05281622405408</v>
      </c>
      <c r="G16">
        <f t="shared" si="0"/>
        <v>342584.07405813487</v>
      </c>
      <c r="O16">
        <v>13</v>
      </c>
      <c r="P16">
        <v>38</v>
      </c>
      <c r="R16">
        <f t="shared" si="1"/>
        <v>146.76113360323887</v>
      </c>
    </row>
    <row r="17" spans="3:18" x14ac:dyDescent="0.25">
      <c r="C17">
        <v>13</v>
      </c>
      <c r="D17">
        <v>10</v>
      </c>
      <c r="E17" s="1">
        <f t="shared" si="2"/>
        <v>-3</v>
      </c>
      <c r="F17">
        <v>103.05281622405408</v>
      </c>
      <c r="G17">
        <f t="shared" si="0"/>
        <v>349694.7183775946</v>
      </c>
      <c r="O17">
        <v>14</v>
      </c>
      <c r="P17">
        <v>34</v>
      </c>
      <c r="R17">
        <f t="shared" si="1"/>
        <v>162.81512605042016</v>
      </c>
    </row>
    <row r="18" spans="3:18" x14ac:dyDescent="0.25">
      <c r="C18">
        <v>14</v>
      </c>
      <c r="D18">
        <v>8</v>
      </c>
      <c r="E18" s="1">
        <f t="shared" si="2"/>
        <v>-2</v>
      </c>
      <c r="F18">
        <v>103.05281622405408</v>
      </c>
      <c r="G18">
        <f t="shared" si="0"/>
        <v>233404.61976166055</v>
      </c>
      <c r="H18">
        <f>AVERAGE(G5:G21)</f>
        <v>290975.53550422925</v>
      </c>
      <c r="O18">
        <v>15</v>
      </c>
      <c r="P18">
        <v>31</v>
      </c>
      <c r="R18">
        <f t="shared" si="1"/>
        <v>174.73118279569891</v>
      </c>
    </row>
    <row r="19" spans="3:18" x14ac:dyDescent="0.25">
      <c r="C19">
        <v>15</v>
      </c>
      <c r="D19">
        <v>5</v>
      </c>
      <c r="E19" s="1">
        <f t="shared" si="2"/>
        <v>-3</v>
      </c>
      <c r="F19">
        <v>103.05281622405408</v>
      </c>
      <c r="G19">
        <f t="shared" si="0"/>
        <v>357423.67959439865</v>
      </c>
      <c r="O19">
        <v>16</v>
      </c>
      <c r="P19">
        <v>27</v>
      </c>
      <c r="R19">
        <f t="shared" si="1"/>
        <v>199.65277777777777</v>
      </c>
    </row>
    <row r="20" spans="3:18" x14ac:dyDescent="0.25">
      <c r="C20">
        <v>16</v>
      </c>
      <c r="D20">
        <v>3</v>
      </c>
      <c r="E20" s="1">
        <f t="shared" si="2"/>
        <v>-2</v>
      </c>
      <c r="F20">
        <v>103.05281622405408</v>
      </c>
      <c r="G20">
        <f t="shared" si="0"/>
        <v>239072.52465398351</v>
      </c>
      <c r="H20" t="s">
        <v>15</v>
      </c>
      <c r="O20">
        <v>17</v>
      </c>
      <c r="P20">
        <v>24</v>
      </c>
      <c r="R20">
        <f t="shared" si="1"/>
        <v>220.58823529411765</v>
      </c>
    </row>
    <row r="21" spans="3:18" x14ac:dyDescent="0.25">
      <c r="C21">
        <v>17</v>
      </c>
      <c r="D21">
        <v>0</v>
      </c>
      <c r="E21" s="1"/>
      <c r="F21">
        <v>103.05281622405408</v>
      </c>
      <c r="G21">
        <f t="shared" si="0"/>
        <v>0</v>
      </c>
      <c r="H21" s="2">
        <f>AVERAGE(G4:G21)</f>
        <v>257491.62969411851</v>
      </c>
      <c r="O21">
        <v>18</v>
      </c>
      <c r="P21">
        <v>21</v>
      </c>
      <c r="R21">
        <f t="shared" si="1"/>
        <v>248.01587301587304</v>
      </c>
    </row>
    <row r="22" spans="3:18" x14ac:dyDescent="0.25">
      <c r="O22">
        <v>19</v>
      </c>
      <c r="P22">
        <v>18</v>
      </c>
      <c r="R22">
        <f t="shared" si="1"/>
        <v>285.08771929824564</v>
      </c>
    </row>
    <row r="23" spans="3:18" x14ac:dyDescent="0.25">
      <c r="O23">
        <v>20</v>
      </c>
      <c r="P23">
        <v>16</v>
      </c>
      <c r="R23">
        <f t="shared" si="1"/>
        <v>312.5</v>
      </c>
    </row>
    <row r="24" spans="3:18" x14ac:dyDescent="0.25">
      <c r="O24">
        <v>21</v>
      </c>
      <c r="P24">
        <v>13</v>
      </c>
      <c r="R24">
        <f t="shared" si="1"/>
        <v>380.03663003663002</v>
      </c>
    </row>
    <row r="25" spans="3:18" x14ac:dyDescent="0.25">
      <c r="O25">
        <v>22</v>
      </c>
      <c r="P25">
        <v>10</v>
      </c>
      <c r="R25">
        <f t="shared" si="1"/>
        <v>488.63636363636363</v>
      </c>
    </row>
    <row r="26" spans="3:18" x14ac:dyDescent="0.25">
      <c r="O26">
        <v>23</v>
      </c>
      <c r="P26">
        <v>8</v>
      </c>
      <c r="R26">
        <f t="shared" si="1"/>
        <v>597.82608695652175</v>
      </c>
    </row>
    <row r="27" spans="3:18" x14ac:dyDescent="0.25">
      <c r="O27">
        <v>24</v>
      </c>
      <c r="P27">
        <v>5</v>
      </c>
      <c r="R27">
        <f t="shared" si="1"/>
        <v>947.91666666666686</v>
      </c>
    </row>
    <row r="28" spans="3:18" x14ac:dyDescent="0.25">
      <c r="O28">
        <v>25</v>
      </c>
      <c r="P28">
        <v>3</v>
      </c>
      <c r="R28">
        <f t="shared" si="1"/>
        <v>1549.9999999999998</v>
      </c>
    </row>
    <row r="29" spans="3:18" x14ac:dyDescent="0.25">
      <c r="O29">
        <v>26</v>
      </c>
      <c r="P29">
        <v>0</v>
      </c>
      <c r="R29" t="e">
        <f t="shared" si="1"/>
        <v>#DIV/0!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workbookViewId="0">
      <selection activeCell="D68" sqref="D68:J8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Bulat-Larusson</dc:creator>
  <cp:lastModifiedBy>Einar Bulat-Larusson</cp:lastModifiedBy>
  <dcterms:created xsi:type="dcterms:W3CDTF">2018-03-09T09:13:56Z</dcterms:created>
  <dcterms:modified xsi:type="dcterms:W3CDTF">2018-04-25T16:01:13Z</dcterms:modified>
</cp:coreProperties>
</file>