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0F28FE7-36F6-4B8B-8879-5B38EC75FE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C22" i="1"/>
  <c r="C21" i="1"/>
  <c r="C20" i="1"/>
  <c r="C19" i="1"/>
  <c r="C18" i="1"/>
  <c r="C17" i="1"/>
  <c r="C16" i="1"/>
  <c r="C15" i="1"/>
  <c r="I12" i="1"/>
  <c r="F12" i="1"/>
  <c r="E26" i="1" s="1"/>
  <c r="K12" i="1" s="1"/>
  <c r="M12" i="1" s="1"/>
  <c r="I11" i="1"/>
  <c r="F11" i="1"/>
  <c r="E25" i="1" s="1"/>
  <c r="I10" i="1"/>
  <c r="K10" i="1" s="1"/>
  <c r="M10" i="1" s="1"/>
  <c r="E24" i="1"/>
  <c r="F10" i="1"/>
  <c r="G10" i="1" s="1"/>
  <c r="I9" i="1"/>
  <c r="F9" i="1"/>
  <c r="P24" i="1" s="1"/>
  <c r="I8" i="1"/>
  <c r="F8" i="1"/>
  <c r="P23" i="1" s="1"/>
  <c r="I7" i="1"/>
  <c r="F7" i="1"/>
  <c r="E21" i="1" s="1"/>
  <c r="I6" i="1"/>
  <c r="F6" i="1"/>
  <c r="P21" i="1" s="1"/>
  <c r="I5" i="1"/>
  <c r="F5" i="1"/>
  <c r="P20" i="1" s="1"/>
  <c r="I4" i="1"/>
  <c r="G4" i="1"/>
  <c r="J4" i="1" s="1"/>
  <c r="F4" i="1"/>
  <c r="E18" i="1" s="1"/>
  <c r="I3" i="1"/>
  <c r="F3" i="1"/>
  <c r="P18" i="1" s="1"/>
  <c r="F1" i="1"/>
  <c r="E20" i="1" l="1"/>
  <c r="G6" i="1"/>
  <c r="J6" i="1" s="1"/>
  <c r="K6" i="1"/>
  <c r="M6" i="1" s="1"/>
  <c r="G9" i="1"/>
  <c r="E23" i="1"/>
  <c r="K9" i="1" s="1"/>
  <c r="M9" i="1" s="1"/>
  <c r="G5" i="1"/>
  <c r="J5" i="1" s="1"/>
  <c r="G12" i="1"/>
  <c r="J12" i="1" s="1"/>
  <c r="E19" i="1"/>
  <c r="K5" i="1" s="1"/>
  <c r="M5" i="1" s="1"/>
  <c r="J10" i="1"/>
  <c r="L10" i="1" s="1"/>
  <c r="J9" i="1"/>
  <c r="L9" i="1" s="1"/>
  <c r="K4" i="1"/>
  <c r="M4" i="1" s="1"/>
  <c r="K11" i="1"/>
  <c r="M11" i="1" s="1"/>
  <c r="N9" i="1"/>
  <c r="K7" i="1"/>
  <c r="M7" i="1" s="1"/>
  <c r="G8" i="1"/>
  <c r="J8" i="1" s="1"/>
  <c r="P26" i="1"/>
  <c r="L4" i="1"/>
  <c r="E22" i="1"/>
  <c r="K8" i="1" s="1"/>
  <c r="M8" i="1" s="1"/>
  <c r="G11" i="1"/>
  <c r="J11" i="1" s="1"/>
  <c r="G3" i="1"/>
  <c r="J3" i="1" s="1"/>
  <c r="E17" i="1"/>
  <c r="K3" i="1" s="1"/>
  <c r="M3" i="1" s="1"/>
  <c r="P19" i="1"/>
  <c r="N4" i="1" s="1"/>
  <c r="P27" i="1"/>
  <c r="G7" i="1"/>
  <c r="J7" i="1" s="1"/>
  <c r="P25" i="1"/>
  <c r="N10" i="1" s="1"/>
  <c r="P10" i="1" s="1"/>
  <c r="P22" i="1"/>
  <c r="P9" i="1" l="1"/>
  <c r="L6" i="1"/>
  <c r="N6" i="1"/>
  <c r="P6" i="1" s="1"/>
  <c r="L12" i="1"/>
  <c r="N12" i="1"/>
  <c r="P12" i="1" s="1"/>
  <c r="N5" i="1"/>
  <c r="P5" i="1" s="1"/>
  <c r="L5" i="1"/>
  <c r="P4" i="1"/>
  <c r="L11" i="1"/>
  <c r="N11" i="1"/>
  <c r="P11" i="1" s="1"/>
  <c r="L3" i="1"/>
  <c r="N3" i="1"/>
  <c r="P3" i="1" s="1"/>
  <c r="N7" i="1"/>
  <c r="P7" i="1" s="1"/>
  <c r="L7" i="1"/>
  <c r="L8" i="1"/>
  <c r="N8" i="1"/>
  <c r="P8" i="1" s="1"/>
</calcChain>
</file>

<file path=xl/sharedStrings.xml><?xml version="1.0" encoding="utf-8"?>
<sst xmlns="http://schemas.openxmlformats.org/spreadsheetml/2006/main" count="29" uniqueCount="28">
  <si>
    <t>直径/mm</t>
  </si>
  <si>
    <t>长度/mm</t>
  </si>
  <si>
    <t>频率f / Hz</t>
  </si>
  <si>
    <t>功率P/W</t>
  </si>
  <si>
    <t>平均壁温 Tw / ℃</t>
  </si>
  <si>
    <t>环境温度Tf / ℃</t>
  </si>
  <si>
    <t>平均温度/℃</t>
  </si>
  <si>
    <t>运动粘度v/ m^2/s</t>
  </si>
  <si>
    <t>Pr</t>
  </si>
  <si>
    <t>相对误差 / %</t>
  </si>
  <si>
    <t>内球温度/℃</t>
    <phoneticPr fontId="1" type="noConversion"/>
  </si>
  <si>
    <t>外球温度/℃</t>
    <phoneticPr fontId="1" type="noConversion"/>
  </si>
  <si>
    <t>内球外径/mm</t>
    <phoneticPr fontId="1" type="noConversion"/>
  </si>
  <si>
    <t>外球内径/mm</t>
    <phoneticPr fontId="1" type="noConversion"/>
  </si>
  <si>
    <t>功率/W</t>
    <phoneticPr fontId="1" type="noConversion"/>
  </si>
  <si>
    <t>导热系数/(W/m*k)</t>
    <phoneticPr fontId="1" type="noConversion"/>
  </si>
  <si>
    <t>木炭</t>
    <phoneticPr fontId="1" type="noConversion"/>
  </si>
  <si>
    <t>旧小米</t>
    <phoneticPr fontId="1" type="noConversion"/>
  </si>
  <si>
    <t>log(Nu)理论值</t>
    <phoneticPr fontId="1" type="noConversion"/>
  </si>
  <si>
    <t>log(Nu)</t>
    <phoneticPr fontId="1" type="noConversion"/>
  </si>
  <si>
    <t>log(Re)</t>
    <phoneticPr fontId="1" type="noConversion"/>
  </si>
  <si>
    <t>Re</t>
    <phoneticPr fontId="1" type="noConversion"/>
  </si>
  <si>
    <t>Nu</t>
    <phoneticPr fontId="1" type="noConversion"/>
  </si>
  <si>
    <t>h</t>
    <phoneticPr fontId="1" type="noConversion"/>
  </si>
  <si>
    <t>lambda</t>
    <phoneticPr fontId="1" type="noConversion"/>
  </si>
  <si>
    <t>风速</t>
    <phoneticPr fontId="1" type="noConversion"/>
  </si>
  <si>
    <t>黑体辐射系数Wm-2k-4</t>
    <phoneticPr fontId="1" type="noConversion"/>
  </si>
  <si>
    <t>风速/(m/s)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</si>
</sst>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log(Nu)~log(Re)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61445530245031E-2"/>
                  <c:y val="-2.45387887965422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0.267x + 0.404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0.8734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Sheet1!$L$3:$L$12</c:f>
              <c:numCache>
                <c:formatCode>0.000000_ </c:formatCode>
                <c:ptCount val="10"/>
                <c:pt idx="0">
                  <c:v>2.5996180415313965</c:v>
                </c:pt>
                <c:pt idx="1">
                  <c:v>2.6911024754918329</c:v>
                </c:pt>
                <c:pt idx="2">
                  <c:v>2.7576184479589561</c:v>
                </c:pt>
                <c:pt idx="3">
                  <c:v>2.6961866763104321</c:v>
                </c:pt>
                <c:pt idx="4">
                  <c:v>2.6778046950987964</c:v>
                </c:pt>
                <c:pt idx="5">
                  <c:v>2.5773540207424808</c:v>
                </c:pt>
                <c:pt idx="6">
                  <c:v>2.698853605230088</c:v>
                </c:pt>
                <c:pt idx="7">
                  <c:v>2.7126672811271026</c:v>
                </c:pt>
                <c:pt idx="8">
                  <c:v>2.7690395049716754</c:v>
                </c:pt>
                <c:pt idx="9">
                  <c:v>2.5198855836063454</c:v>
                </c:pt>
              </c:numCache>
            </c:numRef>
          </c:xVal>
          <c:yVal>
            <c:numRef>
              <c:f>Sheet1!$M$3:$M$12</c:f>
              <c:numCache>
                <c:formatCode>0.000000_ </c:formatCode>
                <c:ptCount val="10"/>
                <c:pt idx="0">
                  <c:v>1.0953977032118987</c:v>
                </c:pt>
                <c:pt idx="1">
                  <c:v>1.1046956477709249</c:v>
                </c:pt>
                <c:pt idx="2">
                  <c:v>1.1467878041458821</c:v>
                </c:pt>
                <c:pt idx="3">
                  <c:v>1.1155037988831864</c:v>
                </c:pt>
                <c:pt idx="4">
                  <c:v>1.1172372550661793</c:v>
                </c:pt>
                <c:pt idx="5">
                  <c:v>1.102672581272353</c:v>
                </c:pt>
                <c:pt idx="6">
                  <c:v>1.1209922066409232</c:v>
                </c:pt>
                <c:pt idx="7">
                  <c:v>1.1318073195795142</c:v>
                </c:pt>
                <c:pt idx="8">
                  <c:v>1.1481160253499447</c:v>
                </c:pt>
                <c:pt idx="9">
                  <c:v>1.0749430966627418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9-4212-9061-50EF455E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39272"/>
        <c:axId val="431543864"/>
      </c:scatterChart>
      <c:valAx>
        <c:axId val="4315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log(Re)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43864"/>
        <c:crosses val="autoZero"/>
        <c:crossBetween val="midCat"/>
      </c:valAx>
      <c:valAx>
        <c:axId val="431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log(Nu)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3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516519</xdr:colOff>
      <xdr:row>18</xdr:row>
      <xdr:rowOff>18515</xdr:rowOff>
    </xdr:from>
    <xdr:to>
      <xdr:col>14</xdr:col>
      <xdr:colOff>193900</xdr:colOff>
      <xdr:row>41</xdr:row>
      <xdr:rowOff>105349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B1" zoomScale="91" zoomScaleNormal="85" workbookViewId="0">
      <selection activeCell="I16" sqref="I16"/>
    </sheetView>
  </sheetViews>
  <sheetFormatPr defaultColWidth="9" defaultRowHeight="13.8" x14ac:dyDescent="0.25"/>
  <cols>
    <col min="1" max="1" width="9" customWidth="1"/>
    <col min="3" max="3" width="11.44140625" customWidth="1"/>
    <col min="4" max="4" width="16.44140625" customWidth="1"/>
    <col min="5" max="5" width="19.77734375" customWidth="1"/>
    <col min="6" max="6" width="12.88671875" bestFit="1" customWidth="1"/>
    <col min="7" max="7" width="18.88671875" bestFit="1" customWidth="1"/>
    <col min="8" max="8" width="15.109375" customWidth="1"/>
    <col min="9" max="9" width="11.44140625" customWidth="1"/>
    <col min="10" max="10" width="12.77734375" bestFit="1" customWidth="1"/>
    <col min="11" max="11" width="12.6640625" bestFit="1" customWidth="1"/>
    <col min="12" max="13" width="10.44140625" bestFit="1" customWidth="1"/>
    <col min="14" max="14" width="15" bestFit="1" customWidth="1"/>
    <col min="15" max="15" width="15.88671875" bestFit="1" customWidth="1"/>
    <col min="16" max="16" width="13.33203125" bestFit="1" customWidth="1"/>
  </cols>
  <sheetData>
    <row r="1" spans="1:16" ht="14.4" thickBot="1" x14ac:dyDescent="0.3">
      <c r="A1" s="1" t="s">
        <v>0</v>
      </c>
      <c r="B1" s="1">
        <v>19.8</v>
      </c>
      <c r="C1" s="1" t="s">
        <v>1</v>
      </c>
      <c r="D1" s="1">
        <v>470</v>
      </c>
      <c r="E1" s="4" t="s">
        <v>26</v>
      </c>
      <c r="F1" s="1">
        <f>5.67/100000000</f>
        <v>5.6699999999999998E-8</v>
      </c>
      <c r="G1" s="1"/>
      <c r="H1" s="1"/>
      <c r="I1" s="1"/>
      <c r="J1" s="1"/>
      <c r="K1" s="1"/>
      <c r="L1" s="1"/>
      <c r="M1" s="1"/>
      <c r="N1" s="1"/>
    </row>
    <row r="2" spans="1:16" x14ac:dyDescent="0.25">
      <c r="A2" s="1" t="s">
        <v>2</v>
      </c>
      <c r="B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6" t="s">
        <v>27</v>
      </c>
      <c r="I2" s="7" t="s">
        <v>23</v>
      </c>
      <c r="J2" s="7" t="s">
        <v>21</v>
      </c>
      <c r="K2" s="7" t="s">
        <v>22</v>
      </c>
      <c r="L2" s="7" t="s">
        <v>20</v>
      </c>
      <c r="M2" s="7" t="s">
        <v>19</v>
      </c>
      <c r="N2" s="8" t="s">
        <v>18</v>
      </c>
      <c r="O2" s="4"/>
      <c r="P2" s="1" t="s">
        <v>9</v>
      </c>
    </row>
    <row r="3" spans="1:16" x14ac:dyDescent="0.25">
      <c r="A3" s="1">
        <v>14</v>
      </c>
      <c r="B3" s="1">
        <v>50.63</v>
      </c>
      <c r="D3" s="1">
        <v>112.5</v>
      </c>
      <c r="E3" s="1">
        <v>23.52</v>
      </c>
      <c r="F3" s="1">
        <f>(D3+E3)/2</f>
        <v>68.010000000000005</v>
      </c>
      <c r="G3" s="1">
        <f>((F3-60)*(20.02-18.97)/10+18.97)/1000000</f>
        <v>1.9811050000000001E-5</v>
      </c>
      <c r="H3" s="9">
        <v>1.93</v>
      </c>
      <c r="I3" s="10">
        <f>(B3/(0.0198*3.14159265*0.47)-0.1*0.0000000567*((D3+273.15)^4-(E3+273.15)^4))/(D3-E3)</f>
        <v>18.546793268937414</v>
      </c>
      <c r="J3" s="10">
        <f>C14*0.0198/G3</f>
        <v>397.75719245524459</v>
      </c>
      <c r="K3" s="10">
        <f>I3*0.0198/E17</f>
        <v>12.456547923887602</v>
      </c>
      <c r="L3" s="10">
        <f>LOG10(J3)</f>
        <v>2.5996180415313965</v>
      </c>
      <c r="M3" s="10">
        <f>LOG10(K3)</f>
        <v>1.0953977032118987</v>
      </c>
      <c r="N3" s="11">
        <f>LOG10(0.683*J3^0.466*P18^(1/3))</f>
        <v>0.99304553147465402</v>
      </c>
      <c r="P3" s="2">
        <f>100*(M3-N3)/N3</f>
        <v>10.306896158653831</v>
      </c>
    </row>
    <row r="4" spans="1:16" x14ac:dyDescent="0.25">
      <c r="A4" s="1">
        <v>15</v>
      </c>
      <c r="B4" s="1">
        <v>41.49</v>
      </c>
      <c r="D4" s="1">
        <v>93.37</v>
      </c>
      <c r="E4" s="1">
        <v>19.88</v>
      </c>
      <c r="F4" s="1">
        <f t="shared" ref="F4:F12" si="0">(D4+E4)/2</f>
        <v>56.625</v>
      </c>
      <c r="G4" s="1">
        <f>((F4-50)*(18.97-17.95)/10+17.95)/1000000</f>
        <v>1.862575E-5</v>
      </c>
      <c r="H4" s="9">
        <v>2.2400000000000002</v>
      </c>
      <c r="I4" s="10">
        <f t="shared" ref="I4:I12" si="1">(B4/(0.0198*3.14159265*0.47)-0.1*0.0000000567*((D4+273.15)^4-(E4+273.15)^4))/(D4-E4)</f>
        <v>18.487405323868671</v>
      </c>
      <c r="J4" s="10">
        <f t="shared" ref="J4:J12" si="2">C15*0.0198/G4</f>
        <v>491.02372372535575</v>
      </c>
      <c r="K4" s="10">
        <f>I4*0.0198/E18</f>
        <v>12.726109266441258</v>
      </c>
      <c r="L4" s="10">
        <f t="shared" ref="L4:L12" si="3">LOG10(J4)</f>
        <v>2.6911024754918329</v>
      </c>
      <c r="M4" s="10">
        <f t="shared" ref="M4:M12" si="4">LOG10(K4)</f>
        <v>1.1046956477709249</v>
      </c>
      <c r="N4" s="11">
        <f>LOG10(0.683*J4^0.466*P19^(1/3))</f>
        <v>1.0361511993508574</v>
      </c>
      <c r="P4" s="2">
        <f>100*(M4-N4)/N4</f>
        <v>6.6152940288068143</v>
      </c>
    </row>
    <row r="5" spans="1:16" x14ac:dyDescent="0.25">
      <c r="A5" s="1">
        <v>18.5</v>
      </c>
      <c r="B5" s="1">
        <v>51.31</v>
      </c>
      <c r="D5" s="1">
        <v>104.78</v>
      </c>
      <c r="E5" s="1">
        <v>23.51</v>
      </c>
      <c r="F5" s="1">
        <f t="shared" si="0"/>
        <v>64.144999999999996</v>
      </c>
      <c r="G5" s="1">
        <f t="shared" ref="G5:G12" si="5">((F5-60)*(20.02-18.97)/10+18.97)/1000000</f>
        <v>1.9405224999999997E-5</v>
      </c>
      <c r="H5" s="9">
        <v>2.72</v>
      </c>
      <c r="I5" s="10">
        <f t="shared" si="1"/>
        <v>20.712340730730304</v>
      </c>
      <c r="J5" s="10">
        <f t="shared" si="2"/>
        <v>572.29301856667939</v>
      </c>
      <c r="K5" s="10">
        <f>I5*0.0198/E19</f>
        <v>14.021284585928949</v>
      </c>
      <c r="L5" s="10">
        <f t="shared" si="3"/>
        <v>2.7576184479589561</v>
      </c>
      <c r="M5" s="10">
        <f t="shared" si="4"/>
        <v>1.1467878041458821</v>
      </c>
      <c r="N5" s="11">
        <f>LOG10(0.683*J5^0.466*P20^(1/3))</f>
        <v>1.0668347826423554</v>
      </c>
      <c r="P5" s="2">
        <f>100*(M5-N5)/N5</f>
        <v>7.4944145808123732</v>
      </c>
    </row>
    <row r="6" spans="1:16" x14ac:dyDescent="0.25">
      <c r="A6" s="1">
        <v>15.6</v>
      </c>
      <c r="B6" s="1">
        <v>53.42</v>
      </c>
      <c r="D6" s="1">
        <v>112.18</v>
      </c>
      <c r="E6" s="1">
        <v>22.18</v>
      </c>
      <c r="F6" s="1">
        <f t="shared" si="0"/>
        <v>67.180000000000007</v>
      </c>
      <c r="G6" s="1">
        <f t="shared" si="5"/>
        <v>1.9723899999999999E-5</v>
      </c>
      <c r="H6" s="9">
        <v>2.4</v>
      </c>
      <c r="I6" s="10">
        <f t="shared" si="1"/>
        <v>19.392807032744937</v>
      </c>
      <c r="J6" s="10">
        <f t="shared" si="2"/>
        <v>496.80582162707304</v>
      </c>
      <c r="K6" s="10">
        <f>I6*0.0198/E20</f>
        <v>13.04679380949039</v>
      </c>
      <c r="L6" s="10">
        <f t="shared" si="3"/>
        <v>2.6961866763104321</v>
      </c>
      <c r="M6" s="10">
        <f t="shared" si="4"/>
        <v>1.1155037988831864</v>
      </c>
      <c r="N6" s="11">
        <f>LOG10(0.683*J6^0.466*P21^(1/3))</f>
        <v>1.0380811180446781</v>
      </c>
      <c r="P6" s="2">
        <f>100*(M6-N6)/N6</f>
        <v>7.4582496004109133</v>
      </c>
    </row>
    <row r="7" spans="1:16" x14ac:dyDescent="0.25">
      <c r="A7" s="1">
        <v>16.2</v>
      </c>
      <c r="B7" s="1">
        <v>53.21</v>
      </c>
      <c r="D7" s="1">
        <v>108.87</v>
      </c>
      <c r="E7" s="1">
        <v>18.87</v>
      </c>
      <c r="F7" s="1">
        <f t="shared" si="0"/>
        <v>63.870000000000005</v>
      </c>
      <c r="G7" s="1">
        <f t="shared" si="5"/>
        <v>1.937635E-5</v>
      </c>
      <c r="H7" s="9">
        <v>2.2599999999999998</v>
      </c>
      <c r="I7" s="10">
        <f t="shared" si="1"/>
        <v>19.338980084741944</v>
      </c>
      <c r="J7" s="10">
        <f t="shared" si="2"/>
        <v>476.21678102708353</v>
      </c>
      <c r="K7" s="10">
        <f>I7*0.0198/E21</f>
        <v>13.098973244500602</v>
      </c>
      <c r="L7" s="10">
        <f t="shared" si="3"/>
        <v>2.6778046950987964</v>
      </c>
      <c r="M7" s="10">
        <f t="shared" si="4"/>
        <v>1.1172372550661793</v>
      </c>
      <c r="N7" s="11">
        <f>LOG10(0.683*J7^0.466*P22^(1/3))</f>
        <v>1.0296530267477908</v>
      </c>
      <c r="P7" s="2">
        <f>100*(M7-N7)/N7</f>
        <v>8.5061885939409692</v>
      </c>
    </row>
    <row r="8" spans="1:16" x14ac:dyDescent="0.25">
      <c r="A8" s="1">
        <v>12.8</v>
      </c>
      <c r="B8" s="1">
        <v>44.61</v>
      </c>
      <c r="D8" s="1">
        <v>98.78</v>
      </c>
      <c r="E8" s="1">
        <v>20.010000000000002</v>
      </c>
      <c r="F8" s="1">
        <f t="shared" si="0"/>
        <v>59.395000000000003</v>
      </c>
      <c r="G8" s="1">
        <f>((F8-50)*(18.97-17.95)/10+17.95)/1000000</f>
        <v>1.8908290000000003E-5</v>
      </c>
      <c r="H8" s="9">
        <v>1.75</v>
      </c>
      <c r="I8" s="10">
        <f t="shared" si="1"/>
        <v>18.525532731538206</v>
      </c>
      <c r="J8" s="10">
        <f t="shared" si="2"/>
        <v>377.88009924224804</v>
      </c>
      <c r="K8" s="10">
        <f>I8*0.0198/E22</f>
        <v>12.66696531260156</v>
      </c>
      <c r="L8" s="10">
        <f t="shared" si="3"/>
        <v>2.5773540207424808</v>
      </c>
      <c r="M8" s="10">
        <f t="shared" si="4"/>
        <v>1.102672581272353</v>
      </c>
      <c r="N8" s="11">
        <f>LOG10(0.683*J8^0.466*P23^(1/3))</f>
        <v>0.98302925581203993</v>
      </c>
      <c r="P8" s="2">
        <f>100*(M8-N8)/N8</f>
        <v>12.170881461862564</v>
      </c>
    </row>
    <row r="9" spans="1:16" x14ac:dyDescent="0.25">
      <c r="A9" s="1">
        <v>16.5</v>
      </c>
      <c r="B9" s="1">
        <v>50.48</v>
      </c>
      <c r="D9" s="1">
        <v>108.16</v>
      </c>
      <c r="E9" s="1">
        <v>23.9</v>
      </c>
      <c r="F9" s="1">
        <f t="shared" si="0"/>
        <v>66.03</v>
      </c>
      <c r="G9" s="1">
        <f t="shared" si="5"/>
        <v>1.9603149999999999E-5</v>
      </c>
      <c r="H9" s="9">
        <v>2.4</v>
      </c>
      <c r="I9" s="10">
        <f t="shared" si="1"/>
        <v>19.593394937215677</v>
      </c>
      <c r="J9" s="10">
        <f t="shared" si="2"/>
        <v>499.86600853384408</v>
      </c>
      <c r="K9" s="10">
        <f>I9*0.0198/E23</f>
        <v>13.212719239177112</v>
      </c>
      <c r="L9" s="10">
        <f t="shared" si="3"/>
        <v>2.698853605230088</v>
      </c>
      <c r="M9" s="10">
        <f t="shared" si="4"/>
        <v>1.1209922066409232</v>
      </c>
      <c r="N9" s="11">
        <f>LOG10(0.683*J9^0.466*P24^(1/3))</f>
        <v>1.0393718368436671</v>
      </c>
      <c r="P9" s="2">
        <f>100*(M9-N9)/N9</f>
        <v>7.8528556291383103</v>
      </c>
    </row>
    <row r="10" spans="1:16" x14ac:dyDescent="0.25">
      <c r="A10" s="1">
        <v>17.8</v>
      </c>
      <c r="B10" s="1">
        <v>53.42</v>
      </c>
      <c r="D10" s="1">
        <v>109.05</v>
      </c>
      <c r="E10" s="1">
        <v>21.87</v>
      </c>
      <c r="F10" s="1">
        <f t="shared" si="0"/>
        <v>65.459999999999994</v>
      </c>
      <c r="G10" s="1">
        <f t="shared" si="5"/>
        <v>1.95433E-5</v>
      </c>
      <c r="H10" s="9">
        <v>2.4700000000000002</v>
      </c>
      <c r="I10" s="10">
        <f t="shared" si="1"/>
        <v>20.064052411555242</v>
      </c>
      <c r="J10" s="10">
        <f t="shared" si="2"/>
        <v>516.02088722264284</v>
      </c>
      <c r="K10" s="10">
        <f>I10*0.0198/E24</f>
        <v>13.545882982200856</v>
      </c>
      <c r="L10" s="10">
        <f t="shared" si="3"/>
        <v>2.7126672811271026</v>
      </c>
      <c r="M10" s="10">
        <f t="shared" si="4"/>
        <v>1.1318073195795142</v>
      </c>
      <c r="N10" s="11">
        <f>LOG10(0.683*J10^0.466*P25^(1/3))</f>
        <v>1.0458327605011752</v>
      </c>
      <c r="P10" s="2">
        <f>100*(M10-N10)/N10</f>
        <v>8.2206794743300016</v>
      </c>
    </row>
    <row r="11" spans="1:16" x14ac:dyDescent="0.25">
      <c r="A11" s="1">
        <v>19.2</v>
      </c>
      <c r="B11" s="1">
        <v>53.07</v>
      </c>
      <c r="D11" s="1">
        <v>102.32</v>
      </c>
      <c r="E11" s="1">
        <v>17.7</v>
      </c>
      <c r="F11" s="1">
        <f t="shared" si="0"/>
        <v>60.01</v>
      </c>
      <c r="G11" s="1">
        <f t="shared" si="5"/>
        <v>1.8971049999999999E-5</v>
      </c>
      <c r="H11" s="9">
        <v>2.73</v>
      </c>
      <c r="I11" s="10">
        <f t="shared" si="1"/>
        <v>20.599554033984358</v>
      </c>
      <c r="J11" s="10">
        <f t="shared" si="2"/>
        <v>587.5427950827119</v>
      </c>
      <c r="K11" s="10">
        <f>I11*0.0198/E25</f>
        <v>14.064232114952461</v>
      </c>
      <c r="L11" s="10">
        <f t="shared" si="3"/>
        <v>2.7690395049716754</v>
      </c>
      <c r="M11" s="10">
        <f t="shared" si="4"/>
        <v>1.1481160253499447</v>
      </c>
      <c r="N11" s="11">
        <f>LOG10(0.683*J11^0.466*P26^(1/3))</f>
        <v>1.0723291102103736</v>
      </c>
      <c r="P11" s="2">
        <f>100*(M11-N11)/N11</f>
        <v>7.067505154709731</v>
      </c>
    </row>
    <row r="12" spans="1:16" ht="14.4" thickBot="1" x14ac:dyDescent="0.3">
      <c r="A12" s="1">
        <v>11.9</v>
      </c>
      <c r="B12" s="1">
        <v>50.4</v>
      </c>
      <c r="D12" s="1">
        <v>115.76</v>
      </c>
      <c r="E12" s="1">
        <v>23.48</v>
      </c>
      <c r="F12" s="1">
        <f t="shared" si="0"/>
        <v>69.62</v>
      </c>
      <c r="G12" s="1">
        <f t="shared" si="5"/>
        <v>1.9980099999999999E-5</v>
      </c>
      <c r="H12" s="12">
        <v>1.62</v>
      </c>
      <c r="I12" s="13">
        <f t="shared" si="1"/>
        <v>17.751496225108632</v>
      </c>
      <c r="J12" s="13">
        <f t="shared" si="2"/>
        <v>331.04389532601959</v>
      </c>
      <c r="K12" s="13">
        <f>I12*0.0198/E26</f>
        <v>11.883465144001153</v>
      </c>
      <c r="L12" s="13">
        <f t="shared" si="3"/>
        <v>2.5198855836063454</v>
      </c>
      <c r="M12" s="13">
        <f t="shared" si="4"/>
        <v>1.0749430966627418</v>
      </c>
      <c r="N12" s="14">
        <f>LOG10(0.683*J12^0.466*P27^(1/3))</f>
        <v>0.95582306146781482</v>
      </c>
      <c r="P12" s="2">
        <f>100*(M12-N12)/N12</f>
        <v>12.462561325105471</v>
      </c>
    </row>
    <row r="13" spans="1:16" x14ac:dyDescent="0.25">
      <c r="A13" s="1"/>
      <c r="B13" s="1"/>
      <c r="C13" s="4" t="s">
        <v>25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A14" s="1"/>
      <c r="B14" s="1"/>
      <c r="C14" s="1">
        <f>H3*0.012/(0.0675-0.0198*0.47)</f>
        <v>0.39797917311062997</v>
      </c>
      <c r="D14" s="1"/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A15" s="1"/>
      <c r="B15" s="1"/>
      <c r="C15" s="1">
        <f>H4*0.012/(0.0675-0.0198*0.47)</f>
        <v>0.4619032889988659</v>
      </c>
      <c r="D15" s="1"/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A16" s="1"/>
      <c r="B16" s="1"/>
      <c r="C16" s="1">
        <f>H5*0.012/(0.0675-0.0198*0.47)</f>
        <v>0.56088256521290858</v>
      </c>
      <c r="D16" s="1"/>
      <c r="E16" s="4" t="s">
        <v>24</v>
      </c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25">
      <c r="A17" s="1"/>
      <c r="B17" s="1"/>
      <c r="C17" s="1">
        <f>H6*0.012/(0.0675-0.0198*0.47)</f>
        <v>0.49489638107021339</v>
      </c>
      <c r="D17" s="1"/>
      <c r="E17" s="2">
        <f>((F3-60)*(2.96-2.9)/10+2.9)/100</f>
        <v>2.9480599999999999E-2</v>
      </c>
      <c r="F17" s="1"/>
      <c r="G17" s="1"/>
      <c r="H17" s="1"/>
      <c r="I17" s="1"/>
      <c r="J17" s="1"/>
      <c r="K17" s="1"/>
      <c r="L17" s="1"/>
      <c r="M17" s="1"/>
      <c r="N17" s="1"/>
      <c r="P17" s="1" t="s">
        <v>8</v>
      </c>
    </row>
    <row r="18" spans="1:16" x14ac:dyDescent="0.25">
      <c r="A18" s="1"/>
      <c r="B18" s="1"/>
      <c r="C18" s="1">
        <f>H7*0.012/(0.0675-0.0198*0.47)</f>
        <v>0.46602742550778425</v>
      </c>
      <c r="D18" s="1"/>
      <c r="E18" s="2">
        <f>((F4-50)*(2.9-2.83)/10+2.83)/100</f>
        <v>2.8763749999999998E-2</v>
      </c>
      <c r="F18" s="1"/>
      <c r="G18" s="1"/>
      <c r="H18" s="1"/>
      <c r="I18" s="1"/>
      <c r="J18" s="1"/>
      <c r="K18" s="1"/>
      <c r="L18" s="1"/>
      <c r="M18" s="1"/>
      <c r="N18" s="1"/>
      <c r="P18" s="3">
        <f>((F3-60)*(0.694-0.696)/10+0.696)</f>
        <v>0.69439799999999996</v>
      </c>
    </row>
    <row r="19" spans="1:16" x14ac:dyDescent="0.25">
      <c r="A19" s="1"/>
      <c r="B19" s="1"/>
      <c r="C19" s="1">
        <f>H8*0.012/(0.0675-0.0198*0.47)</f>
        <v>0.36086194453036397</v>
      </c>
      <c r="D19" s="1"/>
      <c r="E19" s="2">
        <f>((F5-60)*(2.96-2.9)/10+2.9)/100</f>
        <v>2.9248699999999999E-2</v>
      </c>
      <c r="F19" s="1"/>
      <c r="G19" s="1"/>
      <c r="H19" s="1"/>
      <c r="I19" s="1"/>
      <c r="J19" s="1"/>
      <c r="K19" s="1"/>
      <c r="L19" s="1"/>
      <c r="M19" s="1"/>
      <c r="N19" s="1"/>
      <c r="P19" s="3">
        <f>((F4-50)*(0.696-0.698)/10+0.698)</f>
        <v>0.69667499999999993</v>
      </c>
    </row>
    <row r="20" spans="1:16" x14ac:dyDescent="0.25">
      <c r="A20" s="1"/>
      <c r="B20" s="1"/>
      <c r="C20" s="1">
        <f>H9*0.012/(0.0675-0.0198*0.47)</f>
        <v>0.49489638107021339</v>
      </c>
      <c r="D20" s="1"/>
      <c r="E20" s="2">
        <f>((F6-60)*(2.96-2.9)/10+2.9)/100</f>
        <v>2.94308E-2</v>
      </c>
      <c r="F20" s="1"/>
      <c r="G20" s="1"/>
      <c r="H20" s="1"/>
      <c r="I20" s="1"/>
      <c r="J20" s="1"/>
      <c r="K20" s="1"/>
      <c r="L20" s="1"/>
      <c r="M20" s="1"/>
      <c r="N20" s="1"/>
      <c r="P20" s="3">
        <f>((F5-60)*(0.694-0.696)/10+0.696)</f>
        <v>0.69517099999999998</v>
      </c>
    </row>
    <row r="21" spans="1:16" x14ac:dyDescent="0.25">
      <c r="A21" s="1"/>
      <c r="B21" s="1"/>
      <c r="C21" s="1">
        <f>H10*0.012/(0.0675-0.0198*0.47)</f>
        <v>0.50933085885142804</v>
      </c>
      <c r="D21" s="1"/>
      <c r="E21" s="2">
        <f>((F7-60)*(2.96-2.9)/10+2.9)/100</f>
        <v>2.92322E-2</v>
      </c>
      <c r="F21" s="1"/>
      <c r="G21" s="1"/>
      <c r="H21" s="1"/>
      <c r="I21" s="1"/>
      <c r="J21" s="1"/>
      <c r="K21" s="1"/>
      <c r="L21" s="1"/>
      <c r="M21" s="1"/>
      <c r="N21" s="1"/>
      <c r="P21" s="3">
        <f>((F6-60)*(0.694-0.696)/10+0.696)</f>
        <v>0.69456399999999996</v>
      </c>
    </row>
    <row r="22" spans="1:16" x14ac:dyDescent="0.25">
      <c r="A22" s="1"/>
      <c r="B22" s="1"/>
      <c r="C22" s="1">
        <f>H11*0.012/(0.0675-0.0198*0.47)</f>
        <v>0.56294463346736767</v>
      </c>
      <c r="D22" s="1"/>
      <c r="E22" s="2">
        <f>((F8-50)*(2.9-2.83)/10+2.83)/100</f>
        <v>2.8957649999999998E-2</v>
      </c>
      <c r="F22" s="1"/>
      <c r="G22" s="1"/>
      <c r="H22" s="1"/>
      <c r="I22" s="1"/>
      <c r="J22" s="1"/>
      <c r="K22" s="1"/>
      <c r="L22" s="1"/>
      <c r="M22" s="1"/>
      <c r="N22" s="1"/>
      <c r="P22" s="3">
        <f>((F7-60)*(0.694-0.696)/10+0.696)</f>
        <v>0.6952259999999999</v>
      </c>
    </row>
    <row r="23" spans="1:16" x14ac:dyDescent="0.25">
      <c r="A23" s="1"/>
      <c r="B23" s="1"/>
      <c r="C23" s="1">
        <f>H12*0.012/(0.0675-0.0198*0.47)</f>
        <v>0.33405505722239409</v>
      </c>
      <c r="D23" s="1"/>
      <c r="E23" s="2">
        <f>((F9-60)*(2.96-2.9)/10+2.9)/100</f>
        <v>2.9361799999999997E-2</v>
      </c>
      <c r="F23" s="1"/>
      <c r="G23" s="1"/>
      <c r="H23" s="1"/>
      <c r="I23" s="1"/>
      <c r="J23" s="1"/>
      <c r="K23" s="1"/>
      <c r="L23" s="1"/>
      <c r="M23" s="1"/>
      <c r="N23" s="1"/>
      <c r="P23" s="3">
        <f>((F8-50)*(0.696-0.698)/10+0.698)</f>
        <v>0.69612099999999999</v>
      </c>
    </row>
    <row r="24" spans="1:16" x14ac:dyDescent="0.25">
      <c r="A24" s="1"/>
      <c r="B24" s="1"/>
      <c r="C24" s="1"/>
      <c r="D24" s="1"/>
      <c r="E24" s="2">
        <f>((F10-60)*(2.96-2.9)/10+2.9)/100</f>
        <v>2.9327599999999999E-2</v>
      </c>
      <c r="F24" s="1"/>
      <c r="G24" s="1"/>
      <c r="H24" s="1"/>
      <c r="I24" s="1"/>
      <c r="J24" s="1"/>
      <c r="K24" s="1"/>
      <c r="L24" s="1"/>
      <c r="M24" s="1"/>
      <c r="N24" s="1"/>
      <c r="P24" s="3">
        <f>((F9-60)*(0.694-0.696)/10+0.696)</f>
        <v>0.69479399999999991</v>
      </c>
    </row>
    <row r="25" spans="1:16" x14ac:dyDescent="0.25">
      <c r="A25" s="1"/>
      <c r="B25" s="1"/>
      <c r="C25" s="1"/>
      <c r="D25" s="1"/>
      <c r="E25" s="2">
        <f>((F11-60)*(2.96-2.9)/10+2.9)/100</f>
        <v>2.9000599999999998E-2</v>
      </c>
      <c r="F25" s="1"/>
      <c r="G25" s="1"/>
      <c r="H25" s="1"/>
      <c r="I25" s="1"/>
      <c r="J25" s="1"/>
      <c r="K25" s="1"/>
      <c r="L25" s="1"/>
      <c r="M25" s="1"/>
      <c r="N25" s="1"/>
      <c r="P25" s="3">
        <f>((F10-60)*(0.694-0.696)/10+0.696)</f>
        <v>0.69490799999999997</v>
      </c>
    </row>
    <row r="26" spans="1:16" x14ac:dyDescent="0.25">
      <c r="A26" s="1"/>
      <c r="B26" s="1"/>
      <c r="C26" s="1"/>
      <c r="D26" s="1"/>
      <c r="E26" s="2">
        <f>((F12-60)*(2.96-2.9)/10+2.9)/100</f>
        <v>2.9577200000000001E-2</v>
      </c>
      <c r="F26" s="1"/>
      <c r="G26" s="1"/>
      <c r="H26" s="1"/>
      <c r="I26" s="1"/>
      <c r="J26" s="1"/>
      <c r="K26" s="1"/>
      <c r="L26" s="1"/>
      <c r="M26" s="1"/>
      <c r="N26" s="1"/>
      <c r="P26" s="3">
        <f>((F11-60)*(0.694-0.696)/10+0.696)</f>
        <v>0.69599800000000001</v>
      </c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P27" s="3">
        <f>((F12-60)*(0.694-0.696)/10+0.696)</f>
        <v>0.69407599999999992</v>
      </c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5">
      <c r="A30" s="1"/>
      <c r="B30" s="4" t="s">
        <v>10</v>
      </c>
      <c r="C30" s="4" t="s">
        <v>11</v>
      </c>
      <c r="D30" s="4" t="s">
        <v>12</v>
      </c>
      <c r="E30" s="4" t="s">
        <v>13</v>
      </c>
      <c r="F30" s="4" t="s">
        <v>14</v>
      </c>
      <c r="G30" s="4" t="s">
        <v>15</v>
      </c>
      <c r="H30" s="1"/>
      <c r="I30" s="1"/>
      <c r="J30" s="1"/>
      <c r="K30" s="1"/>
      <c r="L30" s="1"/>
      <c r="M30" s="1"/>
      <c r="N30" s="1"/>
    </row>
    <row r="31" spans="1:16" x14ac:dyDescent="0.25">
      <c r="A31" s="4" t="s">
        <v>16</v>
      </c>
      <c r="B31" s="4">
        <v>36.25</v>
      </c>
      <c r="C31" s="4">
        <v>28.01</v>
      </c>
      <c r="D31" s="4">
        <v>100</v>
      </c>
      <c r="E31" s="4">
        <v>150</v>
      </c>
      <c r="F31" s="4">
        <v>1.3</v>
      </c>
      <c r="G31" s="4">
        <v>8.3599999999999994E-2</v>
      </c>
      <c r="H31" s="1"/>
      <c r="I31" s="1"/>
      <c r="J31" s="1"/>
      <c r="K31" s="1"/>
      <c r="L31" s="1"/>
      <c r="M31" s="1"/>
      <c r="N31" s="1"/>
    </row>
    <row r="32" spans="1:16" x14ac:dyDescent="0.25">
      <c r="A32" s="4" t="s">
        <v>16</v>
      </c>
      <c r="B32" s="1">
        <v>64.98</v>
      </c>
      <c r="C32" s="1">
        <v>38.26</v>
      </c>
      <c r="D32" s="1">
        <v>100</v>
      </c>
      <c r="E32" s="1">
        <v>150</v>
      </c>
      <c r="F32" s="1">
        <v>5.3540000000000001</v>
      </c>
      <c r="G32" s="1">
        <v>0.10630000000000001</v>
      </c>
      <c r="H32" s="1"/>
      <c r="I32" s="1"/>
      <c r="J32" s="1"/>
      <c r="K32" s="1"/>
      <c r="L32" s="1"/>
      <c r="M32" s="1"/>
      <c r="N32" s="1"/>
    </row>
    <row r="33" spans="1:14" x14ac:dyDescent="0.25">
      <c r="A33" s="4" t="s">
        <v>17</v>
      </c>
      <c r="B33" s="1">
        <v>56.12</v>
      </c>
      <c r="C33" s="1">
        <v>37.86</v>
      </c>
      <c r="D33" s="1">
        <v>100</v>
      </c>
      <c r="E33" s="1">
        <v>150</v>
      </c>
      <c r="F33" s="1">
        <v>5.3849999999999998</v>
      </c>
      <c r="G33" s="1">
        <v>0.1565</v>
      </c>
      <c r="H33" s="1"/>
      <c r="I33" s="1"/>
      <c r="J33" s="1"/>
      <c r="K33" s="1"/>
      <c r="L33" s="1"/>
      <c r="M33" s="1"/>
      <c r="N33" s="1"/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86151</dc:creator>
  <cp:lastModifiedBy>凯航 邓</cp:lastModifiedBy>
  <dcterms:created xsi:type="dcterms:W3CDTF">2022-12-17T07:17:00Z</dcterms:created>
  <dcterms:modified xsi:type="dcterms:W3CDTF">2024-01-01T10:46:36Z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