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F:\Vlancer_Project\241.Luan_van_Chatbot_using_LSTM\data\"/>
    </mc:Choice>
  </mc:AlternateContent>
  <xr:revisionPtr revIDLastSave="0" documentId="13_ncr:1_{0F22210E-8C1B-45A8-85F2-D390CB164CDF}" xr6:coauthVersionLast="47" xr6:coauthVersionMax="47" xr10:uidLastSave="{00000000-0000-0000-0000-000000000000}"/>
  <bookViews>
    <workbookView xWindow="-108" yWindow="-108" windowWidth="23256" windowHeight="12456" xr2:uid="{00000000-000D-0000-FFFF-FFFF00000000}"/>
  </bookViews>
  <sheets>
    <sheet name="summary" sheetId="11" r:id="rId1"/>
    <sheet name="TN" sheetId="1" r:id="rId2"/>
    <sheet name="Dontu" sheetId="2" r:id="rId3"/>
    <sheet name="Infor" sheetId="3" r:id="rId4"/>
    <sheet name="HP" sheetId="4" r:id="rId5"/>
    <sheet name="RenLuyen" sheetId="5" r:id="rId6"/>
    <sheet name="TC_MH" sheetId="6" r:id="rId7"/>
    <sheet name="Khác" sheetId="7" r:id="rId8"/>
    <sheet name="LT_VL" sheetId="8" r:id="rId9"/>
    <sheet name="LỌC" sheetId="9" r:id="rId10"/>
    <sheet name="RAW" sheetId="10"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wO6JUGi8xZXvVdrQOFSiNU8c5ymDhWcQwScrsHeJW6Y="/>
    </ext>
  </extLst>
</workbook>
</file>

<file path=xl/calcChain.xml><?xml version="1.0" encoding="utf-8"?>
<calcChain xmlns="http://schemas.openxmlformats.org/spreadsheetml/2006/main">
  <c r="H306" i="10" l="1"/>
  <c r="G306" i="10"/>
  <c r="F306" i="10"/>
  <c r="E306" i="10"/>
  <c r="D306" i="10"/>
  <c r="C306" i="10"/>
  <c r="B306" i="10"/>
  <c r="A306" i="10"/>
  <c r="H305" i="10"/>
  <c r="G305" i="10"/>
  <c r="F305" i="10"/>
  <c r="E305" i="10"/>
  <c r="D305" i="10"/>
  <c r="C305" i="10"/>
  <c r="B305" i="10"/>
  <c r="A305" i="10"/>
  <c r="H304" i="10"/>
  <c r="G304" i="10"/>
  <c r="E304" i="10"/>
  <c r="D304" i="10"/>
  <c r="C304" i="10"/>
  <c r="B304" i="10"/>
  <c r="A304" i="10"/>
  <c r="H303" i="10"/>
  <c r="G303" i="10"/>
  <c r="E303" i="10"/>
  <c r="D303" i="10"/>
  <c r="C303" i="10"/>
  <c r="B303" i="10"/>
  <c r="A303" i="10"/>
  <c r="H302" i="10"/>
  <c r="G302" i="10"/>
  <c r="F302" i="10"/>
  <c r="E302" i="10"/>
  <c r="D302" i="10"/>
  <c r="C302" i="10"/>
  <c r="B302" i="10"/>
  <c r="A302" i="10"/>
  <c r="H301" i="10"/>
  <c r="G301" i="10"/>
  <c r="E301" i="10"/>
  <c r="D301" i="10"/>
  <c r="C301" i="10"/>
  <c r="B301" i="10"/>
  <c r="A301" i="10"/>
  <c r="H300" i="10"/>
  <c r="G300" i="10"/>
  <c r="E300" i="10"/>
  <c r="D300" i="10"/>
  <c r="C300" i="10"/>
  <c r="B300" i="10"/>
  <c r="A300" i="10"/>
  <c r="H299" i="10"/>
  <c r="G299" i="10"/>
  <c r="E299" i="10"/>
  <c r="D299" i="10"/>
  <c r="C299" i="10"/>
  <c r="B299" i="10"/>
  <c r="A299" i="10"/>
  <c r="H298" i="10"/>
  <c r="G298" i="10"/>
  <c r="F298" i="10"/>
  <c r="E298" i="10"/>
  <c r="D298" i="10"/>
  <c r="C298" i="10"/>
  <c r="B298" i="10"/>
  <c r="A298" i="10"/>
  <c r="H297" i="10"/>
  <c r="G297" i="10"/>
  <c r="F297" i="10"/>
  <c r="E297" i="10"/>
  <c r="D297" i="10"/>
  <c r="C297" i="10"/>
  <c r="B297" i="10"/>
  <c r="A297" i="10"/>
  <c r="H296" i="10"/>
  <c r="G296" i="10"/>
  <c r="F296" i="10"/>
  <c r="E296" i="10"/>
  <c r="D296" i="10"/>
  <c r="C296" i="10"/>
  <c r="B296" i="10"/>
  <c r="A296" i="10"/>
  <c r="H295" i="10"/>
  <c r="G295" i="10"/>
  <c r="E295" i="10"/>
  <c r="D295" i="10"/>
  <c r="C295" i="10"/>
  <c r="B295" i="10"/>
  <c r="A295" i="10"/>
  <c r="H294" i="10"/>
  <c r="G294" i="10"/>
  <c r="E294" i="10"/>
  <c r="D294" i="10"/>
  <c r="C294" i="10"/>
  <c r="B294" i="10"/>
  <c r="A294" i="10"/>
  <c r="H293" i="10"/>
  <c r="G293" i="10"/>
  <c r="E293" i="10"/>
  <c r="D293" i="10"/>
  <c r="C293" i="10"/>
  <c r="B293" i="10"/>
  <c r="A293" i="10"/>
  <c r="H292" i="10"/>
  <c r="G292" i="10"/>
  <c r="F292" i="10"/>
  <c r="E292" i="10"/>
  <c r="D292" i="10"/>
  <c r="C292" i="10"/>
  <c r="B292" i="10"/>
  <c r="A292" i="10"/>
  <c r="H291" i="10"/>
  <c r="G291" i="10"/>
  <c r="F291" i="10"/>
  <c r="E291" i="10"/>
  <c r="D291" i="10"/>
  <c r="C291" i="10"/>
  <c r="B291" i="10"/>
  <c r="A291" i="10"/>
  <c r="H290" i="10"/>
  <c r="G290" i="10"/>
  <c r="F290" i="10"/>
  <c r="E290" i="10"/>
  <c r="D290" i="10"/>
  <c r="C290" i="10"/>
  <c r="B290" i="10"/>
  <c r="A290" i="10"/>
  <c r="H289" i="10"/>
  <c r="G289" i="10"/>
  <c r="F289" i="10"/>
  <c r="E289" i="10"/>
  <c r="D289" i="10"/>
  <c r="C289" i="10"/>
  <c r="B289" i="10"/>
  <c r="A289" i="10"/>
  <c r="H288" i="10"/>
  <c r="G288" i="10"/>
  <c r="E288" i="10"/>
  <c r="D288" i="10"/>
  <c r="C288" i="10"/>
  <c r="B288" i="10"/>
  <c r="A288" i="10"/>
  <c r="H287" i="10"/>
  <c r="G287" i="10"/>
  <c r="F287" i="10"/>
  <c r="E287" i="10"/>
  <c r="D287" i="10"/>
  <c r="C287" i="10"/>
  <c r="B287" i="10"/>
  <c r="A287" i="10"/>
  <c r="H286" i="10"/>
  <c r="G286" i="10"/>
  <c r="E286" i="10"/>
  <c r="D286" i="10"/>
  <c r="C286" i="10"/>
  <c r="B286" i="10"/>
  <c r="A286" i="10"/>
  <c r="H285" i="10"/>
  <c r="G285" i="10"/>
  <c r="F285" i="10"/>
  <c r="E285" i="10"/>
  <c r="D285" i="10"/>
  <c r="C285" i="10"/>
  <c r="B285" i="10"/>
  <c r="A285" i="10"/>
  <c r="H284" i="10"/>
  <c r="G284" i="10"/>
  <c r="E284" i="10"/>
  <c r="D284" i="10"/>
  <c r="C284" i="10"/>
  <c r="B284" i="10"/>
  <c r="A284" i="10"/>
  <c r="H283" i="10"/>
  <c r="G283" i="10"/>
  <c r="E283" i="10"/>
  <c r="D283" i="10"/>
  <c r="C283" i="10"/>
  <c r="B283" i="10"/>
  <c r="A283" i="10"/>
  <c r="H282" i="10"/>
  <c r="G282" i="10"/>
  <c r="F282" i="10"/>
  <c r="E282" i="10"/>
  <c r="D282" i="10"/>
  <c r="C282" i="10"/>
  <c r="B282" i="10"/>
  <c r="A282" i="10"/>
  <c r="H281" i="10"/>
  <c r="G281" i="10"/>
  <c r="E281" i="10"/>
  <c r="D281" i="10"/>
  <c r="C281" i="10"/>
  <c r="B281" i="10"/>
  <c r="A281" i="10"/>
  <c r="H280" i="10"/>
  <c r="G280" i="10"/>
  <c r="E280" i="10"/>
  <c r="D280" i="10"/>
  <c r="C280" i="10"/>
  <c r="B280" i="10"/>
  <c r="A280" i="10"/>
  <c r="H279" i="10"/>
  <c r="G279" i="10"/>
  <c r="E279" i="10"/>
  <c r="D279" i="10"/>
  <c r="C279" i="10"/>
  <c r="B279" i="10"/>
  <c r="A279" i="10"/>
  <c r="H278" i="10"/>
  <c r="G278" i="10"/>
  <c r="E278" i="10"/>
  <c r="D278" i="10"/>
  <c r="C278" i="10"/>
  <c r="B278" i="10"/>
  <c r="A278" i="10"/>
  <c r="H277" i="10"/>
  <c r="G277" i="10"/>
  <c r="E277" i="10"/>
  <c r="D277" i="10"/>
  <c r="C277" i="10"/>
  <c r="B277" i="10"/>
  <c r="A277" i="10"/>
  <c r="H276" i="10"/>
  <c r="G276" i="10"/>
  <c r="E276" i="10"/>
  <c r="D276" i="10"/>
  <c r="C276" i="10"/>
  <c r="B276" i="10"/>
  <c r="A276" i="10"/>
  <c r="H275" i="10"/>
  <c r="G275" i="10"/>
  <c r="F275" i="10"/>
  <c r="E275" i="10"/>
  <c r="D275" i="10"/>
  <c r="C275" i="10"/>
  <c r="B275" i="10"/>
  <c r="A275" i="10"/>
  <c r="H274" i="10"/>
  <c r="G274" i="10"/>
  <c r="E274" i="10"/>
  <c r="D274" i="10"/>
  <c r="C274" i="10"/>
  <c r="B274" i="10"/>
  <c r="A274" i="10"/>
  <c r="H273" i="10"/>
  <c r="G273" i="10"/>
  <c r="F273" i="10"/>
  <c r="E273" i="10"/>
  <c r="D273" i="10"/>
  <c r="C273" i="10"/>
  <c r="B273" i="10"/>
  <c r="A273" i="10"/>
  <c r="H272" i="10"/>
  <c r="G272" i="10"/>
  <c r="E272" i="10"/>
  <c r="D272" i="10"/>
  <c r="C272" i="10"/>
  <c r="B272" i="10"/>
  <c r="A272" i="10"/>
  <c r="H271" i="10"/>
  <c r="G271" i="10"/>
  <c r="F271" i="10"/>
  <c r="E271" i="10"/>
  <c r="D271" i="10"/>
  <c r="C271" i="10"/>
  <c r="B271" i="10"/>
  <c r="A271" i="10"/>
  <c r="H270" i="10"/>
  <c r="G270" i="10"/>
  <c r="F270" i="10"/>
  <c r="E270" i="10"/>
  <c r="D270" i="10"/>
  <c r="C270" i="10"/>
  <c r="B270" i="10"/>
  <c r="A270" i="10"/>
  <c r="H269" i="10"/>
  <c r="G269" i="10"/>
  <c r="F269" i="10"/>
  <c r="E269" i="10"/>
  <c r="D269" i="10"/>
  <c r="C269" i="10"/>
  <c r="B269" i="10"/>
  <c r="A269" i="10"/>
  <c r="H268" i="10"/>
  <c r="G268" i="10"/>
  <c r="F268" i="10"/>
  <c r="E268" i="10"/>
  <c r="D268" i="10"/>
  <c r="C268" i="10"/>
  <c r="B268" i="10"/>
  <c r="A268" i="10"/>
  <c r="H267" i="10"/>
  <c r="G267" i="10"/>
  <c r="F267" i="10"/>
  <c r="E267" i="10"/>
  <c r="D267" i="10"/>
  <c r="C267" i="10"/>
  <c r="B267" i="10"/>
  <c r="A267" i="10"/>
  <c r="H266" i="10"/>
  <c r="G266" i="10"/>
  <c r="F266" i="10"/>
  <c r="E266" i="10"/>
  <c r="D266" i="10"/>
  <c r="C266" i="10"/>
  <c r="B266" i="10"/>
  <c r="A266" i="10"/>
  <c r="H265" i="10"/>
  <c r="G265" i="10"/>
  <c r="E265" i="10"/>
  <c r="D265" i="10"/>
  <c r="C265" i="10"/>
  <c r="B265" i="10"/>
  <c r="A265" i="10"/>
  <c r="H264" i="10"/>
  <c r="G264" i="10"/>
  <c r="F264" i="10"/>
  <c r="E264" i="10"/>
  <c r="D264" i="10"/>
  <c r="C264" i="10"/>
  <c r="B264" i="10"/>
  <c r="A264" i="10"/>
  <c r="H263" i="10"/>
  <c r="G263" i="10"/>
  <c r="E263" i="10"/>
  <c r="D263" i="10"/>
  <c r="C263" i="10"/>
  <c r="B263" i="10"/>
  <c r="A263" i="10"/>
  <c r="H262" i="10"/>
  <c r="G262" i="10"/>
  <c r="F262" i="10"/>
  <c r="E262" i="10"/>
  <c r="D262" i="10"/>
  <c r="C262" i="10"/>
  <c r="B262" i="10"/>
  <c r="A262" i="10"/>
  <c r="H261" i="10"/>
  <c r="G261" i="10"/>
  <c r="F261" i="10"/>
  <c r="E261" i="10"/>
  <c r="D261" i="10"/>
  <c r="C261" i="10"/>
  <c r="B261" i="10"/>
  <c r="A261" i="10"/>
  <c r="H260" i="10"/>
  <c r="G260" i="10"/>
  <c r="E260" i="10"/>
  <c r="D260" i="10"/>
  <c r="C260" i="10"/>
  <c r="B260" i="10"/>
  <c r="A260" i="10"/>
  <c r="H259" i="10"/>
  <c r="G259" i="10"/>
  <c r="F259" i="10"/>
  <c r="E259" i="10"/>
  <c r="D259" i="10"/>
  <c r="C259" i="10"/>
  <c r="B259" i="10"/>
  <c r="A259" i="10"/>
  <c r="H258" i="10"/>
  <c r="G258" i="10"/>
  <c r="E258" i="10"/>
  <c r="D258" i="10"/>
  <c r="C258" i="10"/>
  <c r="B258" i="10"/>
  <c r="A258" i="10"/>
  <c r="H257" i="10"/>
  <c r="G257" i="10"/>
  <c r="F257" i="10"/>
  <c r="E257" i="10"/>
  <c r="D257" i="10"/>
  <c r="C257" i="10"/>
  <c r="B257" i="10"/>
  <c r="A257" i="10"/>
  <c r="H256" i="10"/>
  <c r="G256" i="10"/>
  <c r="E256" i="10"/>
  <c r="D256" i="10"/>
  <c r="C256" i="10"/>
  <c r="B256" i="10"/>
  <c r="A256" i="10"/>
  <c r="H255" i="10"/>
  <c r="G255" i="10"/>
  <c r="E255" i="10"/>
  <c r="D255" i="10"/>
  <c r="C255" i="10"/>
  <c r="B255" i="10"/>
  <c r="A255" i="10"/>
  <c r="H254" i="10"/>
  <c r="G254" i="10"/>
  <c r="E254" i="10"/>
  <c r="D254" i="10"/>
  <c r="C254" i="10"/>
  <c r="B254" i="10"/>
  <c r="A254" i="10"/>
  <c r="H253" i="10"/>
  <c r="G253" i="10"/>
  <c r="F253" i="10"/>
  <c r="E253" i="10"/>
  <c r="D253" i="10"/>
  <c r="C253" i="10"/>
  <c r="B253" i="10"/>
  <c r="A253" i="10"/>
  <c r="H252" i="10"/>
  <c r="G252" i="10"/>
  <c r="E252" i="10"/>
  <c r="D252" i="10"/>
  <c r="C252" i="10"/>
  <c r="B252" i="10"/>
  <c r="A252" i="10"/>
  <c r="H251" i="10"/>
  <c r="G251" i="10"/>
  <c r="F251" i="10"/>
  <c r="E251" i="10"/>
  <c r="D251" i="10"/>
  <c r="C251" i="10"/>
  <c r="B251" i="10"/>
  <c r="A251" i="10"/>
  <c r="H250" i="10"/>
  <c r="G250" i="10"/>
  <c r="F250" i="10"/>
  <c r="E250" i="10"/>
  <c r="D250" i="10"/>
  <c r="C250" i="10"/>
  <c r="B250" i="10"/>
  <c r="A250" i="10"/>
  <c r="H249" i="10"/>
  <c r="G249" i="10"/>
  <c r="E249" i="10"/>
  <c r="D249" i="10"/>
  <c r="C249" i="10"/>
  <c r="B249" i="10"/>
  <c r="A249" i="10"/>
  <c r="H248" i="10"/>
  <c r="G248" i="10"/>
  <c r="E248" i="10"/>
  <c r="D248" i="10"/>
  <c r="C248" i="10"/>
  <c r="B248" i="10"/>
  <c r="A248" i="10"/>
  <c r="H247" i="10"/>
  <c r="G247" i="10"/>
  <c r="F247" i="10"/>
  <c r="E247" i="10"/>
  <c r="D247" i="10"/>
  <c r="C247" i="10"/>
  <c r="B247" i="10"/>
  <c r="A247" i="10"/>
  <c r="H246" i="10"/>
  <c r="G246" i="10"/>
  <c r="F246" i="10"/>
  <c r="E246" i="10"/>
  <c r="D246" i="10"/>
  <c r="C246" i="10"/>
  <c r="B246" i="10"/>
  <c r="A246" i="10"/>
  <c r="H245" i="10"/>
  <c r="G245" i="10"/>
  <c r="F245" i="10"/>
  <c r="E245" i="10"/>
  <c r="D245" i="10"/>
  <c r="C245" i="10"/>
  <c r="B245" i="10"/>
  <c r="A245" i="10"/>
  <c r="H244" i="10"/>
  <c r="G244" i="10"/>
  <c r="E244" i="10"/>
  <c r="D244" i="10"/>
  <c r="C244" i="10"/>
  <c r="B244" i="10"/>
  <c r="A244" i="10"/>
  <c r="H243" i="10"/>
  <c r="G243" i="10"/>
  <c r="E243" i="10"/>
  <c r="D243" i="10"/>
  <c r="C243" i="10"/>
  <c r="B243" i="10"/>
  <c r="A243" i="10"/>
  <c r="H242" i="10"/>
  <c r="G242" i="10"/>
  <c r="E242" i="10"/>
  <c r="D242" i="10"/>
  <c r="C242" i="10"/>
  <c r="B242" i="10"/>
  <c r="A242" i="10"/>
  <c r="H241" i="10"/>
  <c r="G241" i="10"/>
  <c r="E241" i="10"/>
  <c r="D241" i="10"/>
  <c r="C241" i="10"/>
  <c r="B241" i="10"/>
  <c r="A241" i="10"/>
  <c r="H240" i="10"/>
  <c r="G240" i="10"/>
  <c r="F240" i="10"/>
  <c r="E240" i="10"/>
  <c r="D240" i="10"/>
  <c r="C240" i="10"/>
  <c r="B240" i="10"/>
  <c r="A240" i="10"/>
  <c r="H239" i="10"/>
  <c r="G239" i="10"/>
  <c r="F239" i="10"/>
  <c r="E239" i="10"/>
  <c r="D239" i="10"/>
  <c r="C239" i="10"/>
  <c r="B239" i="10"/>
  <c r="A239" i="10"/>
  <c r="H238" i="10"/>
  <c r="G238" i="10"/>
  <c r="F238" i="10"/>
  <c r="E238" i="10"/>
  <c r="D238" i="10"/>
  <c r="C238" i="10"/>
  <c r="B238" i="10"/>
  <c r="A238" i="10"/>
  <c r="H237" i="10"/>
  <c r="G237" i="10"/>
  <c r="E237" i="10"/>
  <c r="D237" i="10"/>
  <c r="C237" i="10"/>
  <c r="B237" i="10"/>
  <c r="A237" i="10"/>
  <c r="H236" i="10"/>
  <c r="G236" i="10"/>
  <c r="F236" i="10"/>
  <c r="E236" i="10"/>
  <c r="D236" i="10"/>
  <c r="C236" i="10"/>
  <c r="B236" i="10"/>
  <c r="A236" i="10"/>
  <c r="H235" i="10"/>
  <c r="G235" i="10"/>
  <c r="F235" i="10"/>
  <c r="E235" i="10"/>
  <c r="D235" i="10"/>
  <c r="C235" i="10"/>
  <c r="B235" i="10"/>
  <c r="A235" i="10"/>
  <c r="H234" i="10"/>
  <c r="G234" i="10"/>
  <c r="E234" i="10"/>
  <c r="D234" i="10"/>
  <c r="C234" i="10"/>
  <c r="B234" i="10"/>
  <c r="A234" i="10"/>
  <c r="H233" i="10"/>
  <c r="G233" i="10"/>
  <c r="F233" i="10"/>
  <c r="E233" i="10"/>
  <c r="D233" i="10"/>
  <c r="C233" i="10"/>
  <c r="B233" i="10"/>
  <c r="A233" i="10"/>
  <c r="H232" i="10"/>
  <c r="G232" i="10"/>
  <c r="F232" i="10"/>
  <c r="E232" i="10"/>
  <c r="D232" i="10"/>
  <c r="C232" i="10"/>
  <c r="B232" i="10"/>
  <c r="A232" i="10"/>
  <c r="H231" i="10"/>
  <c r="G231" i="10"/>
  <c r="F231" i="10"/>
  <c r="E231" i="10"/>
  <c r="D231" i="10"/>
  <c r="C231" i="10"/>
  <c r="B231" i="10"/>
  <c r="A231" i="10"/>
  <c r="H230" i="10"/>
  <c r="G230" i="10"/>
  <c r="F230" i="10"/>
  <c r="E230" i="10"/>
  <c r="D230" i="10"/>
  <c r="C230" i="10"/>
  <c r="B230" i="10"/>
  <c r="A230" i="10"/>
  <c r="H229" i="10"/>
  <c r="G229" i="10"/>
  <c r="F229" i="10"/>
  <c r="E229" i="10"/>
  <c r="D229" i="10"/>
  <c r="C229" i="10"/>
  <c r="B229" i="10"/>
  <c r="A229" i="10"/>
  <c r="H228" i="10"/>
  <c r="G228" i="10"/>
  <c r="E228" i="10"/>
  <c r="D228" i="10"/>
  <c r="C228" i="10"/>
  <c r="B228" i="10"/>
  <c r="A228" i="10"/>
  <c r="H227" i="10"/>
  <c r="G227" i="10"/>
  <c r="E227" i="10"/>
  <c r="D227" i="10"/>
  <c r="C227" i="10"/>
  <c r="B227" i="10"/>
  <c r="A227" i="10"/>
  <c r="H226" i="10"/>
  <c r="G226" i="10"/>
  <c r="E226" i="10"/>
  <c r="D226" i="10"/>
  <c r="C226" i="10"/>
  <c r="B226" i="10"/>
  <c r="A226" i="10"/>
  <c r="H225" i="10"/>
  <c r="G225" i="10"/>
  <c r="E225" i="10"/>
  <c r="D225" i="10"/>
  <c r="C225" i="10"/>
  <c r="B225" i="10"/>
  <c r="A225" i="10"/>
  <c r="H224" i="10"/>
  <c r="G224" i="10"/>
  <c r="F224" i="10"/>
  <c r="E224" i="10"/>
  <c r="D224" i="10"/>
  <c r="C224" i="10"/>
  <c r="B224" i="10"/>
  <c r="A224" i="10"/>
  <c r="H223" i="10"/>
  <c r="G223" i="10"/>
  <c r="F223" i="10"/>
  <c r="E223" i="10"/>
  <c r="D223" i="10"/>
  <c r="C223" i="10"/>
  <c r="B223" i="10"/>
  <c r="A223" i="10"/>
  <c r="H222" i="10"/>
  <c r="G222" i="10"/>
  <c r="E222" i="10"/>
  <c r="D222" i="10"/>
  <c r="C222" i="10"/>
  <c r="B222" i="10"/>
  <c r="A222" i="10"/>
  <c r="H221" i="10"/>
  <c r="G221" i="10"/>
  <c r="F221" i="10"/>
  <c r="E221" i="10"/>
  <c r="D221" i="10"/>
  <c r="C221" i="10"/>
  <c r="B221" i="10"/>
  <c r="A221" i="10"/>
  <c r="H220" i="10"/>
  <c r="G220" i="10"/>
  <c r="E220" i="10"/>
  <c r="D220" i="10"/>
  <c r="C220" i="10"/>
  <c r="B220" i="10"/>
  <c r="A220" i="10"/>
  <c r="H219" i="10"/>
  <c r="G219" i="10"/>
  <c r="F219" i="10"/>
  <c r="E219" i="10"/>
  <c r="D219" i="10"/>
  <c r="C219" i="10"/>
  <c r="B219" i="10"/>
  <c r="A219" i="10"/>
  <c r="H218" i="10"/>
  <c r="G218" i="10"/>
  <c r="F218" i="10"/>
  <c r="E218" i="10"/>
  <c r="D218" i="10"/>
  <c r="C218" i="10"/>
  <c r="B218" i="10"/>
  <c r="A218" i="10"/>
  <c r="H217" i="10"/>
  <c r="G217" i="10"/>
  <c r="E217" i="10"/>
  <c r="D217" i="10"/>
  <c r="C217" i="10"/>
  <c r="B217" i="10"/>
  <c r="A217" i="10"/>
  <c r="H216" i="10"/>
  <c r="G216" i="10"/>
  <c r="E216" i="10"/>
  <c r="D216" i="10"/>
  <c r="C216" i="10"/>
  <c r="B216" i="10"/>
  <c r="A216" i="10"/>
  <c r="H215" i="10"/>
  <c r="G215" i="10"/>
  <c r="F215" i="10"/>
  <c r="E215" i="10"/>
  <c r="D215" i="10"/>
  <c r="C215" i="10"/>
  <c r="B215" i="10"/>
  <c r="A215" i="10"/>
  <c r="H214" i="10"/>
  <c r="G214" i="10"/>
  <c r="F214" i="10"/>
  <c r="E214" i="10"/>
  <c r="D214" i="10"/>
  <c r="C214" i="10"/>
  <c r="B214" i="10"/>
  <c r="A214" i="10"/>
  <c r="H213" i="10"/>
  <c r="G213" i="10"/>
  <c r="F213" i="10"/>
  <c r="E213" i="10"/>
  <c r="D213" i="10"/>
  <c r="C213" i="10"/>
  <c r="B213" i="10"/>
  <c r="A213" i="10"/>
  <c r="H212" i="10"/>
  <c r="G212" i="10"/>
  <c r="F212" i="10"/>
  <c r="E212" i="10"/>
  <c r="D212" i="10"/>
  <c r="C212" i="10"/>
  <c r="B212" i="10"/>
  <c r="A212" i="10"/>
  <c r="H211" i="10"/>
  <c r="G211" i="10"/>
  <c r="E211" i="10"/>
  <c r="D211" i="10"/>
  <c r="C211" i="10"/>
  <c r="B211" i="10"/>
  <c r="A211" i="10"/>
  <c r="H210" i="10"/>
  <c r="G210" i="10"/>
  <c r="E210" i="10"/>
  <c r="D210" i="10"/>
  <c r="C210" i="10"/>
  <c r="B210" i="10"/>
  <c r="A210" i="10"/>
  <c r="H209" i="10"/>
  <c r="G209" i="10"/>
  <c r="E209" i="10"/>
  <c r="D209" i="10"/>
  <c r="C209" i="10"/>
  <c r="B209" i="10"/>
  <c r="A209" i="10"/>
  <c r="H208" i="10"/>
  <c r="G208" i="10"/>
  <c r="F208" i="10"/>
  <c r="E208" i="10"/>
  <c r="D208" i="10"/>
  <c r="C208" i="10"/>
  <c r="B208" i="10"/>
  <c r="A208" i="10"/>
  <c r="H207" i="10"/>
  <c r="G207" i="10"/>
  <c r="E207" i="10"/>
  <c r="D207" i="10"/>
  <c r="C207" i="10"/>
  <c r="B207" i="10"/>
  <c r="A207" i="10"/>
  <c r="H206" i="10"/>
  <c r="G206" i="10"/>
  <c r="F206" i="10"/>
  <c r="E206" i="10"/>
  <c r="D206" i="10"/>
  <c r="C206" i="10"/>
  <c r="B206" i="10"/>
  <c r="A206" i="10"/>
  <c r="H205" i="10"/>
  <c r="G205" i="10"/>
  <c r="F205" i="10"/>
  <c r="E205" i="10"/>
  <c r="D205" i="10"/>
  <c r="C205" i="10"/>
  <c r="B205" i="10"/>
  <c r="A205" i="10"/>
  <c r="H204" i="10"/>
  <c r="G204" i="10"/>
  <c r="F204" i="10"/>
  <c r="E204" i="10"/>
  <c r="D204" i="10"/>
  <c r="C204" i="10"/>
  <c r="B204" i="10"/>
  <c r="A204" i="10"/>
  <c r="H203" i="10"/>
  <c r="G203" i="10"/>
  <c r="E203" i="10"/>
  <c r="D203" i="10"/>
  <c r="C203" i="10"/>
  <c r="B203" i="10"/>
  <c r="A203" i="10"/>
  <c r="H202" i="10"/>
  <c r="G202" i="10"/>
  <c r="F202" i="10"/>
  <c r="E202" i="10"/>
  <c r="D202" i="10"/>
  <c r="C202" i="10"/>
  <c r="B202" i="10"/>
  <c r="A202" i="10"/>
  <c r="H201" i="10"/>
  <c r="G201" i="10"/>
  <c r="E201" i="10"/>
  <c r="D201" i="10"/>
  <c r="C201" i="10"/>
  <c r="B201" i="10"/>
  <c r="A201" i="10"/>
  <c r="H200" i="10"/>
  <c r="G200" i="10"/>
  <c r="F200" i="10"/>
  <c r="E200" i="10"/>
  <c r="D200" i="10"/>
  <c r="C200" i="10"/>
  <c r="B200" i="10"/>
  <c r="A200" i="10"/>
  <c r="H199" i="10"/>
  <c r="G199" i="10"/>
  <c r="F199" i="10"/>
  <c r="E199" i="10"/>
  <c r="D199" i="10"/>
  <c r="C199" i="10"/>
  <c r="B199" i="10"/>
  <c r="A199" i="10"/>
  <c r="H198" i="10"/>
  <c r="G198" i="10"/>
  <c r="F198" i="10"/>
  <c r="E198" i="10"/>
  <c r="D198" i="10"/>
  <c r="C198" i="10"/>
  <c r="B198" i="10"/>
  <c r="A198" i="10"/>
  <c r="H197" i="10"/>
  <c r="G197" i="10"/>
  <c r="E197" i="10"/>
  <c r="D197" i="10"/>
  <c r="C197" i="10"/>
  <c r="B197" i="10"/>
  <c r="A197" i="10"/>
  <c r="H196" i="10"/>
  <c r="G196" i="10"/>
  <c r="E196" i="10"/>
  <c r="D196" i="10"/>
  <c r="C196" i="10"/>
  <c r="B196" i="10"/>
  <c r="A196" i="10"/>
  <c r="H195" i="10"/>
  <c r="G195" i="10"/>
  <c r="F195" i="10"/>
  <c r="E195" i="10"/>
  <c r="D195" i="10"/>
  <c r="C195" i="10"/>
  <c r="B195" i="10"/>
  <c r="A195" i="10"/>
  <c r="H194" i="10"/>
  <c r="G194" i="10"/>
  <c r="E194" i="10"/>
  <c r="D194" i="10"/>
  <c r="C194" i="10"/>
  <c r="B194" i="10"/>
  <c r="A194" i="10"/>
  <c r="H193" i="10"/>
  <c r="G193" i="10"/>
  <c r="F193" i="10"/>
  <c r="E193" i="10"/>
  <c r="D193" i="10"/>
  <c r="C193" i="10"/>
  <c r="B193" i="10"/>
  <c r="A193" i="10"/>
  <c r="H192" i="10"/>
  <c r="G192" i="10"/>
  <c r="F192" i="10"/>
  <c r="E192" i="10"/>
  <c r="D192" i="10"/>
  <c r="C192" i="10"/>
  <c r="B192" i="10"/>
  <c r="A192" i="10"/>
  <c r="H191" i="10"/>
  <c r="G191" i="10"/>
  <c r="F191" i="10"/>
  <c r="E191" i="10"/>
  <c r="D191" i="10"/>
  <c r="C191" i="10"/>
  <c r="B191" i="10"/>
  <c r="A191" i="10"/>
  <c r="H190" i="10"/>
  <c r="G190" i="10"/>
  <c r="E190" i="10"/>
  <c r="D190" i="10"/>
  <c r="C190" i="10"/>
  <c r="B190" i="10"/>
  <c r="A190" i="10"/>
  <c r="H189" i="10"/>
  <c r="G189" i="10"/>
  <c r="F189" i="10"/>
  <c r="E189" i="10"/>
  <c r="D189" i="10"/>
  <c r="C189" i="10"/>
  <c r="B189" i="10"/>
  <c r="A189" i="10"/>
  <c r="H188" i="10"/>
  <c r="G188" i="10"/>
  <c r="E188" i="10"/>
  <c r="D188" i="10"/>
  <c r="C188" i="10"/>
  <c r="B188" i="10"/>
  <c r="A188" i="10"/>
  <c r="H187" i="10"/>
  <c r="G187" i="10"/>
  <c r="F187" i="10"/>
  <c r="E187" i="10"/>
  <c r="D187" i="10"/>
  <c r="C187" i="10"/>
  <c r="B187" i="10"/>
  <c r="A187" i="10"/>
  <c r="H186" i="10"/>
  <c r="G186" i="10"/>
  <c r="F186" i="10"/>
  <c r="E186" i="10"/>
  <c r="D186" i="10"/>
  <c r="C186" i="10"/>
  <c r="B186" i="10"/>
  <c r="A186" i="10"/>
  <c r="H185" i="10"/>
  <c r="G185" i="10"/>
  <c r="E185" i="10"/>
  <c r="D185" i="10"/>
  <c r="C185" i="10"/>
  <c r="B185" i="10"/>
  <c r="A185" i="10"/>
  <c r="H184" i="10"/>
  <c r="G184" i="10"/>
  <c r="E184" i="10"/>
  <c r="D184" i="10"/>
  <c r="C184" i="10"/>
  <c r="B184" i="10"/>
  <c r="A184" i="10"/>
  <c r="H183" i="10"/>
  <c r="G183" i="10"/>
  <c r="F183" i="10"/>
  <c r="E183" i="10"/>
  <c r="D183" i="10"/>
  <c r="C183" i="10"/>
  <c r="B183" i="10"/>
  <c r="A183" i="10"/>
  <c r="H182" i="10"/>
  <c r="G182" i="10"/>
  <c r="F182" i="10"/>
  <c r="E182" i="10"/>
  <c r="D182" i="10"/>
  <c r="C182" i="10"/>
  <c r="B182" i="10"/>
  <c r="A182" i="10"/>
  <c r="H181" i="10"/>
  <c r="G181" i="10"/>
  <c r="E181" i="10"/>
  <c r="D181" i="10"/>
  <c r="C181" i="10"/>
  <c r="B181" i="10"/>
  <c r="A181" i="10"/>
  <c r="H180" i="10"/>
  <c r="G180" i="10"/>
  <c r="F180" i="10"/>
  <c r="E180" i="10"/>
  <c r="D180" i="10"/>
  <c r="C180" i="10"/>
  <c r="B180" i="10"/>
  <c r="A180" i="10"/>
  <c r="H179" i="10"/>
  <c r="G179" i="10"/>
  <c r="F179" i="10"/>
  <c r="E179" i="10"/>
  <c r="D179" i="10"/>
  <c r="C179" i="10"/>
  <c r="B179" i="10"/>
  <c r="A179" i="10"/>
  <c r="H178" i="10"/>
  <c r="G178" i="10"/>
  <c r="F178" i="10"/>
  <c r="E178" i="10"/>
  <c r="D178" i="10"/>
  <c r="C178" i="10"/>
  <c r="B178" i="10"/>
  <c r="A178" i="10"/>
  <c r="H177" i="10"/>
  <c r="G177" i="10"/>
  <c r="E177" i="10"/>
  <c r="D177" i="10"/>
  <c r="C177" i="10"/>
  <c r="B177" i="10"/>
  <c r="A177" i="10"/>
  <c r="H176" i="10"/>
  <c r="G176" i="10"/>
  <c r="F176" i="10"/>
  <c r="E176" i="10"/>
  <c r="D176" i="10"/>
  <c r="C176" i="10"/>
  <c r="B176" i="10"/>
  <c r="A176" i="10"/>
  <c r="H175" i="10"/>
  <c r="G175" i="10"/>
  <c r="F175" i="10"/>
  <c r="E175" i="10"/>
  <c r="D175" i="10"/>
  <c r="C175" i="10"/>
  <c r="B175" i="10"/>
  <c r="A175" i="10"/>
  <c r="H174" i="10"/>
  <c r="G174" i="10"/>
  <c r="E174" i="10"/>
  <c r="D174" i="10"/>
  <c r="C174" i="10"/>
  <c r="B174" i="10"/>
  <c r="A174" i="10"/>
  <c r="H173" i="10"/>
  <c r="G173" i="10"/>
  <c r="F173" i="10"/>
  <c r="E173" i="10"/>
  <c r="D173" i="10"/>
  <c r="C173" i="10"/>
  <c r="B173" i="10"/>
  <c r="A173" i="10"/>
  <c r="H172" i="10"/>
  <c r="G172" i="10"/>
  <c r="E172" i="10"/>
  <c r="D172" i="10"/>
  <c r="C172" i="10"/>
  <c r="B172" i="10"/>
  <c r="A172" i="10"/>
  <c r="H171" i="10"/>
  <c r="G171" i="10"/>
  <c r="F171" i="10"/>
  <c r="E171" i="10"/>
  <c r="D171" i="10"/>
  <c r="C171" i="10"/>
  <c r="B171" i="10"/>
  <c r="A171" i="10"/>
  <c r="H170" i="10"/>
  <c r="G170" i="10"/>
  <c r="E170" i="10"/>
  <c r="D170" i="10"/>
  <c r="C170" i="10"/>
  <c r="B170" i="10"/>
  <c r="A170" i="10"/>
  <c r="H169" i="10"/>
  <c r="G169" i="10"/>
  <c r="F169" i="10"/>
  <c r="E169" i="10"/>
  <c r="D169" i="10"/>
  <c r="C169" i="10"/>
  <c r="B169" i="10"/>
  <c r="A169" i="10"/>
  <c r="H168" i="10"/>
  <c r="G168" i="10"/>
  <c r="F168" i="10"/>
  <c r="E168" i="10"/>
  <c r="D168" i="10"/>
  <c r="C168" i="10"/>
  <c r="B168" i="10"/>
  <c r="A168" i="10"/>
  <c r="H167" i="10"/>
  <c r="G167" i="10"/>
  <c r="F167" i="10"/>
  <c r="E167" i="10"/>
  <c r="D167" i="10"/>
  <c r="C167" i="10"/>
  <c r="B167" i="10"/>
  <c r="A167" i="10"/>
  <c r="H166" i="10"/>
  <c r="G166" i="10"/>
  <c r="F166" i="10"/>
  <c r="E166" i="10"/>
  <c r="D166" i="10"/>
  <c r="C166" i="10"/>
  <c r="B166" i="10"/>
  <c r="A166" i="10"/>
  <c r="H165" i="10"/>
  <c r="G165" i="10"/>
  <c r="F165" i="10"/>
  <c r="E165" i="10"/>
  <c r="D165" i="10"/>
  <c r="C165" i="10"/>
  <c r="B165" i="10"/>
  <c r="A165" i="10"/>
  <c r="H164" i="10"/>
  <c r="G164" i="10"/>
  <c r="F164" i="10"/>
  <c r="E164" i="10"/>
  <c r="D164" i="10"/>
  <c r="C164" i="10"/>
  <c r="B164" i="10"/>
  <c r="A164" i="10"/>
  <c r="H163" i="10"/>
  <c r="G163" i="10"/>
  <c r="F163" i="10"/>
  <c r="E163" i="10"/>
  <c r="D163" i="10"/>
  <c r="C163" i="10"/>
  <c r="B163" i="10"/>
  <c r="A163" i="10"/>
  <c r="H162" i="10"/>
  <c r="G162" i="10"/>
  <c r="F162" i="10"/>
  <c r="E162" i="10"/>
  <c r="D162" i="10"/>
  <c r="C162" i="10"/>
  <c r="B162" i="10"/>
  <c r="A162" i="10"/>
  <c r="H161" i="10"/>
  <c r="G161" i="10"/>
  <c r="F161" i="10"/>
  <c r="E161" i="10"/>
  <c r="D161" i="10"/>
  <c r="C161" i="10"/>
  <c r="B161" i="10"/>
  <c r="A161" i="10"/>
  <c r="H160" i="10"/>
  <c r="G160" i="10"/>
  <c r="F160" i="10"/>
  <c r="E160" i="10"/>
  <c r="D160" i="10"/>
  <c r="C160" i="10"/>
  <c r="B160" i="10"/>
  <c r="A160" i="10"/>
  <c r="H159" i="10"/>
  <c r="G159" i="10"/>
  <c r="F159" i="10"/>
  <c r="E159" i="10"/>
  <c r="D159" i="10"/>
  <c r="C159" i="10"/>
  <c r="B159" i="10"/>
  <c r="A159" i="10"/>
  <c r="H158" i="10"/>
  <c r="G158" i="10"/>
  <c r="F158" i="10"/>
  <c r="E158" i="10"/>
  <c r="D158" i="10"/>
  <c r="C158" i="10"/>
  <c r="B158" i="10"/>
  <c r="A158" i="10"/>
  <c r="H157" i="10"/>
  <c r="G157" i="10"/>
  <c r="F157" i="10"/>
  <c r="E157" i="10"/>
  <c r="D157" i="10"/>
  <c r="C157" i="10"/>
  <c r="B157" i="10"/>
  <c r="A157" i="10"/>
  <c r="H156" i="10"/>
  <c r="G156" i="10"/>
  <c r="F156" i="10"/>
  <c r="E156" i="10"/>
  <c r="D156" i="10"/>
  <c r="C156" i="10"/>
  <c r="B156" i="10"/>
  <c r="A156" i="10"/>
  <c r="H155" i="10"/>
  <c r="G155" i="10"/>
  <c r="F155" i="10"/>
  <c r="E155" i="10"/>
  <c r="D155" i="10"/>
  <c r="C155" i="10"/>
  <c r="B155" i="10"/>
  <c r="A155" i="10"/>
  <c r="H154" i="10"/>
  <c r="G154" i="10"/>
  <c r="F154" i="10"/>
  <c r="E154" i="10"/>
  <c r="D154" i="10"/>
  <c r="C154" i="10"/>
  <c r="B154" i="10"/>
  <c r="A154" i="10"/>
  <c r="H153" i="10"/>
  <c r="G153" i="10"/>
  <c r="F153" i="10"/>
  <c r="E153" i="10"/>
  <c r="D153" i="10"/>
  <c r="C153" i="10"/>
  <c r="B153" i="10"/>
  <c r="A153" i="10"/>
  <c r="H152" i="10"/>
  <c r="G152" i="10"/>
  <c r="F152" i="10"/>
  <c r="E152" i="10"/>
  <c r="D152" i="10"/>
  <c r="C152" i="10"/>
  <c r="B152" i="10"/>
  <c r="A152" i="10"/>
  <c r="H151" i="10"/>
  <c r="G151" i="10"/>
  <c r="F151" i="10"/>
  <c r="E151" i="10"/>
  <c r="D151" i="10"/>
  <c r="C151" i="10"/>
  <c r="B151" i="10"/>
  <c r="A151" i="10"/>
  <c r="H150" i="10"/>
  <c r="G150" i="10"/>
  <c r="F150" i="10"/>
  <c r="E150" i="10"/>
  <c r="D150" i="10"/>
  <c r="C150" i="10"/>
  <c r="B150" i="10"/>
  <c r="A150" i="10"/>
  <c r="H149" i="10"/>
  <c r="G149" i="10"/>
  <c r="F149" i="10"/>
  <c r="E149" i="10"/>
  <c r="D149" i="10"/>
  <c r="C149" i="10"/>
  <c r="B149" i="10"/>
  <c r="A149" i="10"/>
  <c r="H148" i="10"/>
  <c r="F148" i="10"/>
  <c r="E148" i="10"/>
  <c r="D148" i="10"/>
  <c r="C148" i="10"/>
  <c r="B148" i="10"/>
  <c r="A148" i="10"/>
  <c r="H147" i="10"/>
  <c r="G147" i="10"/>
  <c r="F147" i="10"/>
  <c r="E147" i="10"/>
  <c r="D147" i="10"/>
  <c r="C147" i="10"/>
  <c r="B147" i="10"/>
  <c r="A147" i="10"/>
  <c r="H146" i="10"/>
  <c r="G146" i="10"/>
  <c r="F146" i="10"/>
  <c r="E146" i="10"/>
  <c r="D146" i="10"/>
  <c r="C146" i="10"/>
  <c r="B146" i="10"/>
  <c r="A146" i="10"/>
  <c r="H145" i="10"/>
  <c r="G145" i="10"/>
  <c r="F145" i="10"/>
  <c r="E145" i="10"/>
  <c r="D145" i="10"/>
  <c r="C145" i="10"/>
  <c r="B145" i="10"/>
  <c r="A145" i="10"/>
  <c r="H144" i="10"/>
  <c r="G144" i="10"/>
  <c r="F144" i="10"/>
  <c r="E144" i="10"/>
  <c r="D144" i="10"/>
  <c r="C144" i="10"/>
  <c r="B144" i="10"/>
  <c r="A144" i="10"/>
  <c r="H143" i="10"/>
  <c r="G143" i="10"/>
  <c r="F143" i="10"/>
  <c r="E143" i="10"/>
  <c r="D143" i="10"/>
  <c r="C143" i="10"/>
  <c r="B143" i="10"/>
  <c r="A143" i="10"/>
  <c r="H142" i="10"/>
  <c r="G142" i="10"/>
  <c r="F142" i="10"/>
  <c r="E142" i="10"/>
  <c r="D142" i="10"/>
  <c r="C142" i="10"/>
  <c r="B142" i="10"/>
  <c r="A142" i="10"/>
  <c r="H141" i="10"/>
  <c r="G141" i="10"/>
  <c r="F141" i="10"/>
  <c r="E141" i="10"/>
  <c r="D141" i="10"/>
  <c r="C141" i="10"/>
  <c r="B141" i="10"/>
  <c r="A141" i="10"/>
  <c r="H140" i="10"/>
  <c r="G140" i="10"/>
  <c r="F140" i="10"/>
  <c r="E140" i="10"/>
  <c r="D140" i="10"/>
  <c r="C140" i="10"/>
  <c r="B140" i="10"/>
  <c r="A140" i="10"/>
  <c r="H139" i="10"/>
  <c r="G139" i="10"/>
  <c r="F139" i="10"/>
  <c r="E139" i="10"/>
  <c r="D139" i="10"/>
  <c r="C139" i="10"/>
  <c r="B139" i="10"/>
  <c r="A139" i="10"/>
  <c r="H138" i="10"/>
  <c r="G138" i="10"/>
  <c r="F138" i="10"/>
  <c r="E138" i="10"/>
  <c r="D138" i="10"/>
  <c r="C138" i="10"/>
  <c r="B138" i="10"/>
  <c r="A138" i="10"/>
  <c r="H137" i="10"/>
  <c r="G137" i="10"/>
  <c r="F137" i="10"/>
  <c r="E137" i="10"/>
  <c r="D137" i="10"/>
  <c r="C137" i="10"/>
  <c r="B137" i="10"/>
  <c r="A137" i="10"/>
  <c r="H136" i="10"/>
  <c r="G136" i="10"/>
  <c r="F136" i="10"/>
  <c r="E136" i="10"/>
  <c r="D136" i="10"/>
  <c r="C136" i="10"/>
  <c r="B136" i="10"/>
  <c r="A136" i="10"/>
  <c r="H135" i="10"/>
  <c r="G135" i="10"/>
  <c r="F135" i="10"/>
  <c r="E135" i="10"/>
  <c r="D135" i="10"/>
  <c r="C135" i="10"/>
  <c r="B135" i="10"/>
  <c r="A135" i="10"/>
  <c r="H134" i="10"/>
  <c r="G134" i="10"/>
  <c r="F134" i="10"/>
  <c r="E134" i="10"/>
  <c r="D134" i="10"/>
  <c r="C134" i="10"/>
  <c r="B134" i="10"/>
  <c r="A134" i="10"/>
  <c r="H133" i="10"/>
  <c r="G133" i="10"/>
  <c r="F133" i="10"/>
  <c r="E133" i="10"/>
  <c r="D133" i="10"/>
  <c r="C133" i="10"/>
  <c r="B133" i="10"/>
  <c r="A133" i="10"/>
  <c r="H132" i="10"/>
  <c r="G132" i="10"/>
  <c r="F132" i="10"/>
  <c r="E132" i="10"/>
  <c r="D132" i="10"/>
  <c r="C132" i="10"/>
  <c r="B132" i="10"/>
  <c r="A132" i="10"/>
  <c r="H131" i="10"/>
  <c r="G131" i="10"/>
  <c r="F131" i="10"/>
  <c r="E131" i="10"/>
  <c r="D131" i="10"/>
  <c r="C131" i="10"/>
  <c r="B131" i="10"/>
  <c r="A131" i="10"/>
  <c r="H130" i="10"/>
  <c r="G130" i="10"/>
  <c r="F130" i="10"/>
  <c r="E130" i="10"/>
  <c r="D130" i="10"/>
  <c r="C130" i="10"/>
  <c r="B130" i="10"/>
  <c r="A130" i="10"/>
  <c r="H129" i="10"/>
  <c r="G129" i="10"/>
  <c r="F129" i="10"/>
  <c r="E129" i="10"/>
  <c r="D129" i="10"/>
  <c r="C129" i="10"/>
  <c r="B129" i="10"/>
  <c r="A129" i="10"/>
  <c r="H128" i="10"/>
  <c r="G128" i="10"/>
  <c r="F128" i="10"/>
  <c r="E128" i="10"/>
  <c r="D128" i="10"/>
  <c r="C128" i="10"/>
  <c r="B128" i="10"/>
  <c r="A128" i="10"/>
  <c r="H127" i="10"/>
  <c r="G127" i="10"/>
  <c r="F127" i="10"/>
  <c r="E127" i="10"/>
  <c r="D127" i="10"/>
  <c r="C127" i="10"/>
  <c r="B127" i="10"/>
  <c r="A127" i="10"/>
  <c r="H126" i="10"/>
  <c r="G126" i="10"/>
  <c r="F126" i="10"/>
  <c r="E126" i="10"/>
  <c r="D126" i="10"/>
  <c r="C126" i="10"/>
  <c r="B126" i="10"/>
  <c r="A126" i="10"/>
  <c r="H125" i="10"/>
  <c r="G125" i="10"/>
  <c r="F125" i="10"/>
  <c r="E125" i="10"/>
  <c r="D125" i="10"/>
  <c r="C125" i="10"/>
  <c r="B125" i="10"/>
  <c r="A125" i="10"/>
  <c r="H124" i="10"/>
  <c r="G124" i="10"/>
  <c r="F124" i="10"/>
  <c r="E124" i="10"/>
  <c r="D124" i="10"/>
  <c r="C124" i="10"/>
  <c r="B124" i="10"/>
  <c r="A124" i="10"/>
  <c r="H123" i="10"/>
  <c r="G123" i="10"/>
  <c r="F123" i="10"/>
  <c r="E123" i="10"/>
  <c r="D123" i="10"/>
  <c r="C123" i="10"/>
  <c r="B123" i="10"/>
  <c r="A123" i="10"/>
  <c r="H122" i="10"/>
  <c r="G122" i="10"/>
  <c r="F122" i="10"/>
  <c r="E122" i="10"/>
  <c r="D122" i="10"/>
  <c r="C122" i="10"/>
  <c r="B122" i="10"/>
  <c r="A122" i="10"/>
  <c r="H121" i="10"/>
  <c r="G121" i="10"/>
  <c r="F121" i="10"/>
  <c r="E121" i="10"/>
  <c r="D121" i="10"/>
  <c r="C121" i="10"/>
  <c r="B121" i="10"/>
  <c r="A121" i="10"/>
  <c r="H120" i="10"/>
  <c r="G120" i="10"/>
  <c r="F120" i="10"/>
  <c r="E120" i="10"/>
  <c r="D120" i="10"/>
  <c r="C120" i="10"/>
  <c r="B120" i="10"/>
  <c r="A120" i="10"/>
  <c r="H119" i="10"/>
  <c r="G119" i="10"/>
  <c r="F119" i="10"/>
  <c r="E119" i="10"/>
  <c r="D119" i="10"/>
  <c r="C119" i="10"/>
  <c r="B119" i="10"/>
  <c r="A119" i="10"/>
  <c r="H118" i="10"/>
  <c r="G118" i="10"/>
  <c r="F118" i="10"/>
  <c r="E118" i="10"/>
  <c r="D118" i="10"/>
  <c r="C118" i="10"/>
  <c r="B118" i="10"/>
  <c r="A118" i="10"/>
  <c r="H117" i="10"/>
  <c r="G117" i="10"/>
  <c r="F117" i="10"/>
  <c r="E117" i="10"/>
  <c r="D117" i="10"/>
  <c r="C117" i="10"/>
  <c r="B117" i="10"/>
  <c r="A117" i="10"/>
  <c r="H116" i="10"/>
  <c r="G116" i="10"/>
  <c r="F116" i="10"/>
  <c r="E116" i="10"/>
  <c r="D116" i="10"/>
  <c r="C116" i="10"/>
  <c r="B116" i="10"/>
  <c r="A116" i="10"/>
  <c r="H115" i="10"/>
  <c r="G115" i="10"/>
  <c r="F115" i="10"/>
  <c r="E115" i="10"/>
  <c r="D115" i="10"/>
  <c r="C115" i="10"/>
  <c r="B115" i="10"/>
  <c r="A115" i="10"/>
  <c r="H114" i="10"/>
  <c r="F114" i="10"/>
  <c r="E114" i="10"/>
  <c r="D114" i="10"/>
  <c r="C114" i="10"/>
  <c r="B114" i="10"/>
  <c r="A114" i="10"/>
  <c r="H113" i="10"/>
  <c r="G113" i="10"/>
  <c r="F113" i="10"/>
  <c r="E113" i="10"/>
  <c r="D113" i="10"/>
  <c r="C113" i="10"/>
  <c r="B113" i="10"/>
  <c r="A113" i="10"/>
  <c r="H112" i="10"/>
  <c r="G112" i="10"/>
  <c r="F112" i="10"/>
  <c r="E112" i="10"/>
  <c r="D112" i="10"/>
  <c r="C112" i="10"/>
  <c r="B112" i="10"/>
  <c r="A112" i="10"/>
  <c r="H111" i="10"/>
  <c r="G111" i="10"/>
  <c r="F111" i="10"/>
  <c r="E111" i="10"/>
  <c r="D111" i="10"/>
  <c r="C111" i="10"/>
  <c r="B111" i="10"/>
  <c r="A111" i="10"/>
  <c r="H110" i="10"/>
  <c r="G110" i="10"/>
  <c r="F110" i="10"/>
  <c r="E110" i="10"/>
  <c r="D110" i="10"/>
  <c r="C110" i="10"/>
  <c r="B110" i="10"/>
  <c r="A110" i="10"/>
  <c r="H109" i="10"/>
  <c r="G109" i="10"/>
  <c r="F109" i="10"/>
  <c r="E109" i="10"/>
  <c r="D109" i="10"/>
  <c r="C109" i="10"/>
  <c r="B109" i="10"/>
  <c r="A109" i="10"/>
  <c r="H108" i="10"/>
  <c r="G108" i="10"/>
  <c r="F108" i="10"/>
  <c r="E108" i="10"/>
  <c r="D108" i="10"/>
  <c r="C108" i="10"/>
  <c r="B108" i="10"/>
  <c r="A108" i="10"/>
  <c r="H107" i="10"/>
  <c r="G107" i="10"/>
  <c r="F107" i="10"/>
  <c r="E107" i="10"/>
  <c r="D107" i="10"/>
  <c r="C107" i="10"/>
  <c r="B107" i="10"/>
  <c r="A107" i="10"/>
  <c r="H106" i="10"/>
  <c r="G106" i="10"/>
  <c r="F106" i="10"/>
  <c r="E106" i="10"/>
  <c r="D106" i="10"/>
  <c r="C106" i="10"/>
  <c r="B106" i="10"/>
  <c r="A106" i="10"/>
  <c r="H105" i="10"/>
  <c r="G105" i="10"/>
  <c r="F105" i="10"/>
  <c r="E105" i="10"/>
  <c r="D105" i="10"/>
  <c r="C105" i="10"/>
  <c r="B105" i="10"/>
  <c r="A105" i="10"/>
  <c r="H104" i="10"/>
  <c r="G104" i="10"/>
  <c r="F104" i="10"/>
  <c r="E104" i="10"/>
  <c r="D104" i="10"/>
  <c r="C104" i="10"/>
  <c r="B104" i="10"/>
  <c r="A104" i="10"/>
  <c r="H103" i="10"/>
  <c r="G103" i="10"/>
  <c r="F103" i="10"/>
  <c r="E103" i="10"/>
  <c r="D103" i="10"/>
  <c r="C103" i="10"/>
  <c r="B103" i="10"/>
  <c r="A103" i="10"/>
  <c r="H102" i="10"/>
  <c r="G102" i="10"/>
  <c r="F102" i="10"/>
  <c r="E102" i="10"/>
  <c r="D102" i="10"/>
  <c r="C102" i="10"/>
  <c r="B102" i="10"/>
  <c r="A102" i="10"/>
  <c r="H101" i="10"/>
  <c r="G101" i="10"/>
  <c r="F101" i="10"/>
  <c r="E101" i="10"/>
  <c r="D101" i="10"/>
  <c r="C101" i="10"/>
  <c r="B101" i="10"/>
  <c r="A101" i="10"/>
  <c r="H100" i="10"/>
  <c r="G100" i="10"/>
  <c r="F100" i="10"/>
  <c r="E100" i="10"/>
  <c r="D100" i="10"/>
  <c r="C100" i="10"/>
  <c r="B100" i="10"/>
  <c r="A100" i="10"/>
  <c r="H99" i="10"/>
  <c r="G99" i="10"/>
  <c r="F99" i="10"/>
  <c r="E99" i="10"/>
  <c r="D99" i="10"/>
  <c r="C99" i="10"/>
  <c r="B99" i="10"/>
  <c r="A99" i="10"/>
  <c r="H98" i="10"/>
  <c r="G98" i="10"/>
  <c r="F98" i="10"/>
  <c r="E98" i="10"/>
  <c r="D98" i="10"/>
  <c r="C98" i="10"/>
  <c r="B98" i="10"/>
  <c r="A98" i="10"/>
  <c r="H97" i="10"/>
  <c r="G97" i="10"/>
  <c r="F97" i="10"/>
  <c r="E97" i="10"/>
  <c r="D97" i="10"/>
  <c r="C97" i="10"/>
  <c r="B97" i="10"/>
  <c r="A97" i="10"/>
  <c r="H96" i="10"/>
  <c r="G96" i="10"/>
  <c r="F96" i="10"/>
  <c r="E96" i="10"/>
  <c r="D96" i="10"/>
  <c r="C96" i="10"/>
  <c r="B96" i="10"/>
  <c r="A96" i="10"/>
  <c r="H95" i="10"/>
  <c r="G95" i="10"/>
  <c r="F95" i="10"/>
  <c r="E95" i="10"/>
  <c r="D95" i="10"/>
  <c r="C95" i="10"/>
  <c r="B95" i="10"/>
  <c r="A95" i="10"/>
  <c r="H94" i="10"/>
  <c r="G94" i="10"/>
  <c r="F94" i="10"/>
  <c r="E94" i="10"/>
  <c r="D94" i="10"/>
  <c r="C94" i="10"/>
  <c r="B94" i="10"/>
  <c r="A94" i="10"/>
  <c r="H93" i="10"/>
  <c r="G93" i="10"/>
  <c r="F93" i="10"/>
  <c r="E93" i="10"/>
  <c r="D93" i="10"/>
  <c r="C93" i="10"/>
  <c r="B93" i="10"/>
  <c r="A93" i="10"/>
  <c r="H92" i="10"/>
  <c r="G92" i="10"/>
  <c r="F92" i="10"/>
  <c r="E92" i="10"/>
  <c r="D92" i="10"/>
  <c r="C92" i="10"/>
  <c r="B92" i="10"/>
  <c r="A92" i="10"/>
  <c r="H91" i="10"/>
  <c r="G91" i="10"/>
  <c r="F91" i="10"/>
  <c r="E91" i="10"/>
  <c r="D91" i="10"/>
  <c r="C91" i="10"/>
  <c r="B91" i="10"/>
  <c r="A91" i="10"/>
  <c r="H90" i="10"/>
  <c r="G90" i="10"/>
  <c r="F90" i="10"/>
  <c r="E90" i="10"/>
  <c r="D90" i="10"/>
  <c r="C90" i="10"/>
  <c r="B90" i="10"/>
  <c r="A90" i="10"/>
  <c r="H89" i="10"/>
  <c r="G89" i="10"/>
  <c r="F89" i="10"/>
  <c r="E89" i="10"/>
  <c r="D89" i="10"/>
  <c r="C89" i="10"/>
  <c r="B89" i="10"/>
  <c r="A89" i="10"/>
  <c r="H88" i="10"/>
  <c r="F88" i="10"/>
  <c r="E88" i="10"/>
  <c r="D88" i="10"/>
  <c r="C88" i="10"/>
  <c r="B88" i="10"/>
  <c r="A88" i="10"/>
  <c r="H87" i="10"/>
  <c r="G87" i="10"/>
  <c r="F87" i="10"/>
  <c r="E87" i="10"/>
  <c r="D87" i="10"/>
  <c r="C87" i="10"/>
  <c r="B87" i="10"/>
  <c r="A87" i="10"/>
  <c r="H86" i="10"/>
  <c r="G86" i="10"/>
  <c r="F86" i="10"/>
  <c r="E86" i="10"/>
  <c r="D86" i="10"/>
  <c r="C86" i="10"/>
  <c r="B86" i="10"/>
  <c r="A86" i="10"/>
  <c r="H85" i="10"/>
  <c r="G85" i="10"/>
  <c r="F85" i="10"/>
  <c r="E85" i="10"/>
  <c r="D85" i="10"/>
  <c r="C85" i="10"/>
  <c r="B85" i="10"/>
  <c r="A85" i="10"/>
  <c r="H84" i="10"/>
  <c r="G84" i="10"/>
  <c r="F84" i="10"/>
  <c r="E84" i="10"/>
  <c r="D84" i="10"/>
  <c r="C84" i="10"/>
  <c r="B84" i="10"/>
  <c r="A84" i="10"/>
  <c r="H83" i="10"/>
  <c r="G83" i="10"/>
  <c r="F83" i="10"/>
  <c r="E83" i="10"/>
  <c r="D83" i="10"/>
  <c r="C83" i="10"/>
  <c r="B83" i="10"/>
  <c r="A83" i="10"/>
  <c r="H82" i="10"/>
  <c r="G82" i="10"/>
  <c r="F82" i="10"/>
  <c r="E82" i="10"/>
  <c r="D82" i="10"/>
  <c r="C82" i="10"/>
  <c r="B82" i="10"/>
  <c r="A82" i="10"/>
  <c r="H81" i="10"/>
  <c r="G81" i="10"/>
  <c r="F81" i="10"/>
  <c r="E81" i="10"/>
  <c r="D81" i="10"/>
  <c r="C81" i="10"/>
  <c r="B81" i="10"/>
  <c r="A81" i="10"/>
  <c r="H80" i="10"/>
  <c r="G80" i="10"/>
  <c r="F80" i="10"/>
  <c r="E80" i="10"/>
  <c r="D80" i="10"/>
  <c r="C80" i="10"/>
  <c r="B80" i="10"/>
  <c r="A80" i="10"/>
  <c r="H79" i="10"/>
  <c r="G79" i="10"/>
  <c r="F79" i="10"/>
  <c r="E79" i="10"/>
  <c r="D79" i="10"/>
  <c r="C79" i="10"/>
  <c r="B79" i="10"/>
  <c r="A79" i="10"/>
  <c r="H78" i="10"/>
  <c r="G78" i="10"/>
  <c r="F78" i="10"/>
  <c r="E78" i="10"/>
  <c r="D78" i="10"/>
  <c r="C78" i="10"/>
  <c r="B78" i="10"/>
  <c r="A78" i="10"/>
  <c r="H77" i="10"/>
  <c r="G77" i="10"/>
  <c r="F77" i="10"/>
  <c r="E77" i="10"/>
  <c r="D77" i="10"/>
  <c r="C77" i="10"/>
  <c r="B77" i="10"/>
  <c r="A77" i="10"/>
  <c r="H76" i="10"/>
  <c r="G76" i="10"/>
  <c r="F76" i="10"/>
  <c r="E76" i="10"/>
  <c r="D76" i="10"/>
  <c r="C76" i="10"/>
  <c r="B76" i="10"/>
  <c r="A76" i="10"/>
  <c r="H75" i="10"/>
  <c r="G75" i="10"/>
  <c r="F75" i="10"/>
  <c r="E75" i="10"/>
  <c r="D75" i="10"/>
  <c r="C75" i="10"/>
  <c r="B75" i="10"/>
  <c r="A75" i="10"/>
  <c r="H74" i="10"/>
  <c r="G74" i="10"/>
  <c r="F74" i="10"/>
  <c r="E74" i="10"/>
  <c r="D74" i="10"/>
  <c r="C74" i="10"/>
  <c r="B74" i="10"/>
  <c r="A74" i="10"/>
  <c r="H73" i="10"/>
  <c r="G73" i="10"/>
  <c r="F73" i="10"/>
  <c r="E73" i="10"/>
  <c r="D73" i="10"/>
  <c r="C73" i="10"/>
  <c r="B73" i="10"/>
  <c r="A73" i="10"/>
  <c r="H72" i="10"/>
  <c r="G72" i="10"/>
  <c r="F72" i="10"/>
  <c r="E72" i="10"/>
  <c r="D72" i="10"/>
  <c r="C72" i="10"/>
  <c r="B72" i="10"/>
  <c r="A72" i="10"/>
  <c r="H71" i="10"/>
  <c r="G71" i="10"/>
  <c r="F71" i="10"/>
  <c r="E71" i="10"/>
  <c r="D71" i="10"/>
  <c r="C71" i="10"/>
  <c r="B71" i="10"/>
  <c r="A71" i="10"/>
  <c r="H70" i="10"/>
  <c r="G70" i="10"/>
  <c r="F70" i="10"/>
  <c r="E70" i="10"/>
  <c r="D70" i="10"/>
  <c r="C70" i="10"/>
  <c r="B70" i="10"/>
  <c r="A70" i="10"/>
  <c r="H69" i="10"/>
  <c r="G69" i="10"/>
  <c r="F69" i="10"/>
  <c r="E69" i="10"/>
  <c r="D69" i="10"/>
  <c r="C69" i="10"/>
  <c r="B69" i="10"/>
  <c r="A69" i="10"/>
  <c r="H68" i="10"/>
  <c r="G68" i="10"/>
  <c r="F68" i="10"/>
  <c r="E68" i="10"/>
  <c r="D68" i="10"/>
  <c r="C68" i="10"/>
  <c r="B68" i="10"/>
  <c r="A68" i="10"/>
  <c r="H67" i="10"/>
  <c r="G67" i="10"/>
  <c r="F67" i="10"/>
  <c r="E67" i="10"/>
  <c r="D67" i="10"/>
  <c r="C67" i="10"/>
  <c r="B67" i="10"/>
  <c r="A67" i="10"/>
  <c r="H66" i="10"/>
  <c r="G66" i="10"/>
  <c r="F66" i="10"/>
  <c r="E66" i="10"/>
  <c r="D66" i="10"/>
  <c r="C66" i="10"/>
  <c r="B66" i="10"/>
  <c r="A66" i="10"/>
  <c r="H65" i="10"/>
  <c r="F65" i="10"/>
  <c r="E65" i="10"/>
  <c r="D65" i="10"/>
  <c r="C65" i="10"/>
  <c r="B65" i="10"/>
  <c r="A65" i="10"/>
  <c r="H64" i="10"/>
  <c r="G64" i="10"/>
  <c r="F64" i="10"/>
  <c r="E64" i="10"/>
  <c r="D64" i="10"/>
  <c r="C64" i="10"/>
  <c r="B64" i="10"/>
  <c r="A64" i="10"/>
  <c r="H63" i="10"/>
  <c r="G63" i="10"/>
  <c r="F63" i="10"/>
  <c r="E63" i="10"/>
  <c r="D63" i="10"/>
  <c r="C63" i="10"/>
  <c r="B63" i="10"/>
  <c r="A63" i="10"/>
  <c r="H62" i="10"/>
  <c r="G62" i="10"/>
  <c r="F62" i="10"/>
  <c r="E62" i="10"/>
  <c r="D62" i="10"/>
  <c r="C62" i="10"/>
  <c r="B62" i="10"/>
  <c r="A62" i="10"/>
  <c r="H61" i="10"/>
  <c r="G61" i="10"/>
  <c r="F61" i="10"/>
  <c r="E61" i="10"/>
  <c r="D61" i="10"/>
  <c r="C61" i="10"/>
  <c r="B61" i="10"/>
  <c r="A61" i="10"/>
  <c r="H60" i="10"/>
  <c r="G60" i="10"/>
  <c r="F60" i="10"/>
  <c r="E60" i="10"/>
  <c r="D60" i="10"/>
  <c r="C60" i="10"/>
  <c r="B60" i="10"/>
  <c r="A60" i="10"/>
  <c r="H59" i="10"/>
  <c r="G59" i="10"/>
  <c r="F59" i="10"/>
  <c r="E59" i="10"/>
  <c r="D59" i="10"/>
  <c r="C59" i="10"/>
  <c r="B59" i="10"/>
  <c r="A59" i="10"/>
  <c r="H58" i="10"/>
  <c r="G58" i="10"/>
  <c r="F58" i="10"/>
  <c r="E58" i="10"/>
  <c r="D58" i="10"/>
  <c r="C58" i="10"/>
  <c r="B58" i="10"/>
  <c r="A58" i="10"/>
  <c r="H57" i="10"/>
  <c r="G57" i="10"/>
  <c r="F57" i="10"/>
  <c r="E57" i="10"/>
  <c r="D57" i="10"/>
  <c r="C57" i="10"/>
  <c r="B57" i="10"/>
  <c r="A57" i="10"/>
  <c r="H56" i="10"/>
  <c r="G56" i="10"/>
  <c r="F56" i="10"/>
  <c r="E56" i="10"/>
  <c r="D56" i="10"/>
  <c r="C56" i="10"/>
  <c r="B56" i="10"/>
  <c r="A56" i="10"/>
  <c r="H55" i="10"/>
  <c r="G55" i="10"/>
  <c r="F55" i="10"/>
  <c r="E55" i="10"/>
  <c r="D55" i="10"/>
  <c r="C55" i="10"/>
  <c r="B55" i="10"/>
  <c r="A55" i="10"/>
  <c r="H54" i="10"/>
  <c r="G54" i="10"/>
  <c r="F54" i="10"/>
  <c r="E54" i="10"/>
  <c r="D54" i="10"/>
  <c r="C54" i="10"/>
  <c r="B54" i="10"/>
  <c r="A54" i="10"/>
  <c r="H53" i="10"/>
  <c r="G53" i="10"/>
  <c r="F53" i="10"/>
  <c r="E53" i="10"/>
  <c r="D53" i="10"/>
  <c r="C53" i="10"/>
  <c r="B53" i="10"/>
  <c r="A53" i="10"/>
  <c r="H52" i="10"/>
  <c r="G52" i="10"/>
  <c r="F52" i="10"/>
  <c r="E52" i="10"/>
  <c r="D52" i="10"/>
  <c r="C52" i="10"/>
  <c r="B52" i="10"/>
  <c r="A52" i="10"/>
  <c r="H51" i="10"/>
  <c r="G51" i="10"/>
  <c r="F51" i="10"/>
  <c r="E51" i="10"/>
  <c r="D51" i="10"/>
  <c r="C51" i="10"/>
  <c r="B51" i="10"/>
  <c r="A51" i="10"/>
  <c r="H50" i="10"/>
  <c r="G50" i="10"/>
  <c r="F50" i="10"/>
  <c r="E50" i="10"/>
  <c r="D50" i="10"/>
  <c r="C50" i="10"/>
  <c r="B50" i="10"/>
  <c r="A50" i="10"/>
  <c r="H49" i="10"/>
  <c r="G49" i="10"/>
  <c r="F49" i="10"/>
  <c r="E49" i="10"/>
  <c r="D49" i="10"/>
  <c r="C49" i="10"/>
  <c r="B49" i="10"/>
  <c r="A49" i="10"/>
  <c r="H48" i="10"/>
  <c r="G48" i="10"/>
  <c r="F48" i="10"/>
  <c r="E48" i="10"/>
  <c r="D48" i="10"/>
  <c r="C48" i="10"/>
  <c r="B48" i="10"/>
  <c r="A48" i="10"/>
  <c r="H47" i="10"/>
  <c r="G47" i="10"/>
  <c r="F47" i="10"/>
  <c r="E47" i="10"/>
  <c r="D47" i="10"/>
  <c r="C47" i="10"/>
  <c r="B47" i="10"/>
  <c r="A47" i="10"/>
  <c r="H46" i="10"/>
  <c r="G46" i="10"/>
  <c r="F46" i="10"/>
  <c r="E46" i="10"/>
  <c r="D46" i="10"/>
  <c r="C46" i="10"/>
  <c r="B46" i="10"/>
  <c r="A46" i="10"/>
  <c r="H45" i="10"/>
  <c r="G45" i="10"/>
  <c r="F45" i="10"/>
  <c r="E45" i="10"/>
  <c r="D45" i="10"/>
  <c r="C45" i="10"/>
  <c r="B45" i="10"/>
  <c r="A45" i="10"/>
  <c r="H44" i="10"/>
  <c r="G44" i="10"/>
  <c r="F44" i="10"/>
  <c r="E44" i="10"/>
  <c r="D44" i="10"/>
  <c r="C44" i="10"/>
  <c r="B44" i="10"/>
  <c r="A44" i="10"/>
  <c r="H43" i="10"/>
  <c r="G43" i="10"/>
  <c r="F43" i="10"/>
  <c r="E43" i="10"/>
  <c r="D43" i="10"/>
  <c r="C43" i="10"/>
  <c r="B43" i="10"/>
  <c r="A43" i="10"/>
  <c r="H42" i="10"/>
  <c r="G42" i="10"/>
  <c r="F42" i="10"/>
  <c r="E42" i="10"/>
  <c r="D42" i="10"/>
  <c r="C42" i="10"/>
  <c r="B42" i="10"/>
  <c r="A42" i="10"/>
  <c r="H41" i="10"/>
  <c r="G41" i="10"/>
  <c r="F41" i="10"/>
  <c r="E41" i="10"/>
  <c r="D41" i="10"/>
  <c r="C41" i="10"/>
  <c r="B41" i="10"/>
  <c r="A41" i="10"/>
  <c r="H40" i="10"/>
  <c r="G40" i="10"/>
  <c r="F40" i="10"/>
  <c r="E40" i="10"/>
  <c r="D40" i="10"/>
  <c r="C40" i="10"/>
  <c r="B40" i="10"/>
  <c r="A40" i="10"/>
  <c r="H39" i="10"/>
  <c r="G39" i="10"/>
  <c r="F39" i="10"/>
  <c r="E39" i="10"/>
  <c r="D39" i="10"/>
  <c r="C39" i="10"/>
  <c r="B39" i="10"/>
  <c r="A39" i="10"/>
  <c r="H38" i="10"/>
  <c r="G38" i="10"/>
  <c r="F38" i="10"/>
  <c r="E38" i="10"/>
  <c r="D38" i="10"/>
  <c r="C38" i="10"/>
  <c r="B38" i="10"/>
  <c r="A38" i="10"/>
  <c r="H37" i="10"/>
  <c r="G37" i="10"/>
  <c r="F37" i="10"/>
  <c r="E37" i="10"/>
  <c r="D37" i="10"/>
  <c r="C37" i="10"/>
  <c r="B37" i="10"/>
  <c r="A37" i="10"/>
  <c r="H36" i="10"/>
  <c r="G36" i="10"/>
  <c r="F36" i="10"/>
  <c r="E36" i="10"/>
  <c r="D36" i="10"/>
  <c r="C36" i="10"/>
  <c r="B36" i="10"/>
  <c r="A36" i="10"/>
  <c r="H35" i="10"/>
  <c r="G35" i="10"/>
  <c r="F35" i="10"/>
  <c r="E35" i="10"/>
  <c r="D35" i="10"/>
  <c r="C35" i="10"/>
  <c r="B35" i="10"/>
  <c r="A35" i="10"/>
  <c r="H34" i="10"/>
  <c r="G34" i="10"/>
  <c r="F34" i="10"/>
  <c r="E34" i="10"/>
  <c r="D34" i="10"/>
  <c r="C34" i="10"/>
  <c r="B34" i="10"/>
  <c r="A34" i="10"/>
  <c r="H33" i="10"/>
  <c r="G33" i="10"/>
  <c r="F33" i="10"/>
  <c r="E33" i="10"/>
  <c r="D33" i="10"/>
  <c r="C33" i="10"/>
  <c r="B33" i="10"/>
  <c r="A33" i="10"/>
  <c r="H32" i="10"/>
  <c r="G32" i="10"/>
  <c r="F32" i="10"/>
  <c r="E32" i="10"/>
  <c r="D32" i="10"/>
  <c r="C32" i="10"/>
  <c r="B32" i="10"/>
  <c r="A32" i="10"/>
  <c r="H31" i="10"/>
  <c r="G31" i="10"/>
  <c r="F31" i="10"/>
  <c r="E31" i="10"/>
  <c r="D31" i="10"/>
  <c r="C31" i="10"/>
  <c r="B31" i="10"/>
  <c r="A31" i="10"/>
  <c r="H30" i="10"/>
  <c r="G30" i="10"/>
  <c r="F30" i="10"/>
  <c r="E30" i="10"/>
  <c r="D30" i="10"/>
  <c r="C30" i="10"/>
  <c r="B30" i="10"/>
  <c r="A30" i="10"/>
  <c r="H29" i="10"/>
  <c r="G29" i="10"/>
  <c r="F29" i="10"/>
  <c r="E29" i="10"/>
  <c r="D29" i="10"/>
  <c r="C29" i="10"/>
  <c r="B29" i="10"/>
  <c r="A29" i="10"/>
  <c r="H28" i="10"/>
  <c r="G28" i="10"/>
  <c r="F28" i="10"/>
  <c r="E28" i="10"/>
  <c r="D28" i="10"/>
  <c r="C28" i="10"/>
  <c r="B28" i="10"/>
  <c r="A28" i="10"/>
  <c r="H27" i="10"/>
  <c r="G27" i="10"/>
  <c r="F27" i="10"/>
  <c r="E27" i="10"/>
  <c r="D27" i="10"/>
  <c r="C27" i="10"/>
  <c r="B27" i="10"/>
  <c r="A27" i="10"/>
  <c r="H26" i="10"/>
  <c r="G26" i="10"/>
  <c r="F26" i="10"/>
  <c r="E26" i="10"/>
  <c r="D26" i="10"/>
  <c r="C26" i="10"/>
  <c r="B26" i="10"/>
  <c r="A26" i="10"/>
  <c r="H25" i="10"/>
  <c r="G25" i="10"/>
  <c r="F25" i="10"/>
  <c r="E25" i="10"/>
  <c r="D25" i="10"/>
  <c r="C25" i="10"/>
  <c r="B25" i="10"/>
  <c r="A25" i="10"/>
  <c r="H24" i="10"/>
  <c r="G24" i="10"/>
  <c r="F24" i="10"/>
  <c r="E24" i="10"/>
  <c r="D24" i="10"/>
  <c r="C24" i="10"/>
  <c r="B24" i="10"/>
  <c r="A24" i="10"/>
  <c r="H23" i="10"/>
  <c r="G23" i="10"/>
  <c r="F23" i="10"/>
  <c r="E23" i="10"/>
  <c r="D23" i="10"/>
  <c r="C23" i="10"/>
  <c r="B23" i="10"/>
  <c r="A23" i="10"/>
  <c r="H22" i="10"/>
  <c r="G22" i="10"/>
  <c r="F22" i="10"/>
  <c r="E22" i="10"/>
  <c r="D22" i="10"/>
  <c r="C22" i="10"/>
  <c r="B22" i="10"/>
  <c r="A22" i="10"/>
  <c r="H21" i="10"/>
  <c r="G21" i="10"/>
  <c r="F21" i="10"/>
  <c r="E21" i="10"/>
  <c r="D21" i="10"/>
  <c r="C21" i="10"/>
  <c r="B21" i="10"/>
  <c r="A21" i="10"/>
  <c r="H20" i="10"/>
  <c r="G20" i="10"/>
  <c r="F20" i="10"/>
  <c r="E20" i="10"/>
  <c r="D20" i="10"/>
  <c r="C20" i="10"/>
  <c r="B20" i="10"/>
  <c r="A20" i="10"/>
  <c r="H19" i="10"/>
  <c r="G19" i="10"/>
  <c r="F19" i="10"/>
  <c r="E19" i="10"/>
  <c r="D19" i="10"/>
  <c r="C19" i="10"/>
  <c r="B19" i="10"/>
  <c r="A19" i="10"/>
  <c r="H18" i="10"/>
  <c r="G18" i="10"/>
  <c r="F18" i="10"/>
  <c r="E18" i="10"/>
  <c r="D18" i="10"/>
  <c r="C18" i="10"/>
  <c r="B18" i="10"/>
  <c r="A18" i="10"/>
  <c r="H17" i="10"/>
  <c r="G17" i="10"/>
  <c r="F17" i="10"/>
  <c r="E17" i="10"/>
  <c r="D17" i="10"/>
  <c r="C17" i="10"/>
  <c r="B17" i="10"/>
  <c r="A17" i="10"/>
  <c r="H16" i="10"/>
  <c r="G16" i="10"/>
  <c r="F16" i="10"/>
  <c r="E16" i="10"/>
  <c r="D16" i="10"/>
  <c r="C16" i="10"/>
  <c r="B16" i="10"/>
  <c r="A16" i="10"/>
  <c r="H15" i="10"/>
  <c r="G15" i="10"/>
  <c r="F15" i="10"/>
  <c r="E15" i="10"/>
  <c r="D15" i="10"/>
  <c r="C15" i="10"/>
  <c r="B15" i="10"/>
  <c r="A15" i="10"/>
  <c r="H14" i="10"/>
  <c r="G14" i="10"/>
  <c r="F14" i="10"/>
  <c r="E14" i="10"/>
  <c r="D14" i="10"/>
  <c r="C14" i="10"/>
  <c r="B14" i="10"/>
  <c r="A14" i="10"/>
  <c r="H13" i="10"/>
  <c r="G13" i="10"/>
  <c r="F13" i="10"/>
  <c r="E13" i="10"/>
  <c r="D13" i="10"/>
  <c r="C13" i="10"/>
  <c r="B13" i="10"/>
  <c r="A13" i="10"/>
  <c r="H12" i="10"/>
  <c r="G12" i="10"/>
  <c r="F12" i="10"/>
  <c r="E12" i="10"/>
  <c r="D12" i="10"/>
  <c r="C12" i="10"/>
  <c r="B12" i="10"/>
  <c r="A12" i="10"/>
  <c r="H11" i="10"/>
  <c r="G11" i="10"/>
  <c r="F11" i="10"/>
  <c r="E11" i="10"/>
  <c r="D11" i="10"/>
  <c r="C11" i="10"/>
  <c r="B11" i="10"/>
  <c r="A11" i="10"/>
  <c r="H10" i="10"/>
  <c r="G10" i="10"/>
  <c r="F10" i="10"/>
  <c r="E10" i="10"/>
  <c r="D10" i="10"/>
  <c r="C10" i="10"/>
  <c r="B10" i="10"/>
  <c r="A10" i="10"/>
  <c r="H9" i="10"/>
  <c r="G9" i="10"/>
  <c r="F9" i="10"/>
  <c r="E9" i="10"/>
  <c r="D9" i="10"/>
  <c r="C9" i="10"/>
  <c r="B9" i="10"/>
  <c r="A9" i="10"/>
  <c r="H8" i="10"/>
  <c r="F8" i="10"/>
  <c r="E8" i="10"/>
  <c r="D8" i="10"/>
  <c r="C8" i="10"/>
  <c r="B8" i="10"/>
  <c r="A8" i="10"/>
  <c r="H7" i="10"/>
  <c r="G7" i="10"/>
  <c r="F7" i="10"/>
  <c r="E7" i="10"/>
  <c r="D7" i="10"/>
  <c r="C7" i="10"/>
  <c r="B7" i="10"/>
  <c r="A7" i="10"/>
  <c r="H6" i="10"/>
  <c r="G6" i="10"/>
  <c r="F6" i="10"/>
  <c r="E6" i="10"/>
  <c r="D6" i="10"/>
  <c r="C6" i="10"/>
  <c r="B6" i="10"/>
  <c r="A6" i="10"/>
  <c r="H5" i="10"/>
  <c r="G5" i="10"/>
  <c r="F5" i="10"/>
  <c r="E5" i="10"/>
  <c r="D5" i="10"/>
  <c r="C5" i="10"/>
  <c r="B5" i="10"/>
  <c r="A5" i="10"/>
  <c r="H4" i="10"/>
  <c r="G4" i="10"/>
  <c r="F4" i="10"/>
  <c r="E4" i="10"/>
  <c r="D4" i="10"/>
  <c r="C4" i="10"/>
  <c r="B4" i="10"/>
  <c r="A4" i="10"/>
  <c r="H3" i="10"/>
  <c r="G3" i="10"/>
  <c r="F3" i="10"/>
  <c r="E3" i="10"/>
  <c r="D3" i="10"/>
  <c r="C3" i="10"/>
  <c r="B3" i="10"/>
  <c r="A3" i="10"/>
  <c r="H2" i="10"/>
  <c r="G2" i="10"/>
  <c r="F2" i="10"/>
  <c r="E2" i="10"/>
  <c r="D2" i="10"/>
  <c r="C2" i="10"/>
  <c r="B2" i="10"/>
  <c r="A2" i="10"/>
  <c r="H1" i="10"/>
  <c r="G1" i="10"/>
  <c r="F1" i="10"/>
  <c r="E1" i="10"/>
  <c r="D1" i="10"/>
  <c r="C1" i="10"/>
  <c r="B1" i="10"/>
  <c r="A1" i="10"/>
</calcChain>
</file>

<file path=xl/sharedStrings.xml><?xml version="1.0" encoding="utf-8"?>
<sst xmlns="http://schemas.openxmlformats.org/spreadsheetml/2006/main" count="2190" uniqueCount="935">
  <si>
    <t>Điều kiện nhận bằng tốt nghiệp là gì?</t>
  </si>
  <si>
    <t>Các điều kiện để ra trường ?</t>
  </si>
  <si>
    <r>
      <rPr>
        <sz val="11"/>
        <color theme="1"/>
        <rFont val="Calibri"/>
      </rPr>
      <t xml:space="preserve">Những sinh viên hội đủ các điều kiện sau đây thì được xét công nhận tốt nghiệp
theo từng ngành đào tạo:
- Cho đến thời điểm xét công nhận tốt nghiệp không bị truy cứu trách nhiệm hình
sự hoặc không đang trong thời gian bị kỷ luật ở mức đình chỉ học tập.
- Tích lũy đủ số học phần được đánh giá đạt theo quy định của chương trình đào
tạo tương ứng.
- Có điểm trung bình chung tích lũy toàn khóa học đạt từ 2.00 trở lên.
- Được đánh giá đạt trong kỳ thi hay đồ án tốt nghiệp.
- Có chứng chỉ giáo dục quốc phòng, thể chất và đánh giá đạt trong kỳ khảo sát
tiếng Anh, tin học của trường.
Khảo sát Anh văn Tin học đầu ra chỉ yêu cầu với hệ Đại học.
( </t>
    </r>
    <r>
      <rPr>
        <u/>
        <sz val="11"/>
        <color rgb="FF1155CC"/>
        <rFont val="Calibri"/>
      </rPr>
      <t>https://hssv.duytan.edu.vn/Home/ArticleDetail/vn/163/1900</t>
    </r>
    <r>
      <rPr>
        <sz val="11"/>
        <color theme="1"/>
        <rFont val="Calibri"/>
      </rPr>
      <t xml:space="preserve"> )</t>
    </r>
  </si>
  <si>
    <t>Chuẩn đầu ra tốt nghiệp của Trường có khó không? Em nghe nói, ở Duy Tân vào thì dễ nhưng ra thì rất khó.</t>
  </si>
  <si>
    <t>Điều kiện để ra trường và nhận bằng tốt nghiệp ?</t>
  </si>
  <si>
    <t>Ra trường ở DTU có khó khong ạ?</t>
  </si>
  <si>
    <t>Điều kiện để được làm capstone là gì?</t>
  </si>
  <si>
    <t>Làm thế nào để chọn và đăng ký đề tài đồ án tốt nghiệp?</t>
  </si>
  <si>
    <r>
      <t xml:space="preserve">Điều kiện ra trường mỗi ngành sẽ có môn tiên quyết khác nhau, yêu cầu PHẢI hoàn thành môn tiến quyết trước khi đăng ký capstone 1:
Chương trình CMU . 
1. Điều kiện tiên quyết:
Capstone 1: bao gồm các môn tiên quyết sau:
- Ngành SE (TPM) : Software Project Management (CMU-IS 432) , Requirements Engineering (CMU-SE 214) , Software Testing (Verification &amp; Validation) (CMU-SE 303) [hoặc Software Measurements &amp; Analysis (CMU-CS 462)]
- Ngành IS (TTT) :   Fundamentals of Computing 2 (CMU-CS 316) , Software Project Management (CMU-IS 432) , Requirements Engineering (CMU-SE 214) , Software Testing (Verification &amp; Validation) (CMU-SE 303) [hoặc Software Measurements &amp; Analysis (CMU-CS 462)]
Capstone 2: với điều kiện tiên quyết là hoàn thành capstone 1
2. Cách tổ chức:
Capstone 1: Các sinh viên sẽ được chia theo điểm gpa thành các nhóm từ 3-4 sinh viên, với mỗi mentor mỗi nhóm đễ hướng dẫn sinh viên hoàn thiện ĐATN
Capstone 2: Sinh viên sẽ tự chọn các nhóm, mỗi nhóm một mentor hướng dẫn
3: Tiêu chí chấm: sẽ có nhiều tiêu chí khác nhau, nhưng khác biệt chính giữa cap1 và cap2 ở, phần trăm đánh giá sán phẩm và tài liệu
Capstone 1: Tài liệu và sản phẩm tỉ lệ lần lượt là 60%/40% số điểm
Capstone 2: Tài liệu và sản phẩm tỉ lệ lần lượt là 50%/50% số điểm
4. Thanh toán:
Capstone 1: sẽ tính như một môn học vì vậy, các em chỉ cần đăng ký
Capstone 2: các em cần nộp lệ phí BẢO VỆ KHÓA LUẬN , chi tiết trong đường dẫn dưới đây
( </t>
    </r>
    <r>
      <rPr>
        <u/>
        <sz val="11"/>
        <color rgb="FF1155CC"/>
        <rFont val="Calibri"/>
      </rPr>
      <t>https://is.duytan.edu.vn/announcements/quyet-dinh-vv-ban-hanh-muc-thu-le-phi-datn-bv</t>
    </r>
    <r>
      <rPr>
        <sz val="11"/>
        <color theme="1"/>
        <rFont val="Calibri"/>
        <scheme val="minor"/>
      </rPr>
      <t xml:space="preserve"> )
Đây chỉ là tổng quan về capstone 1 và capstone 2, nên có điều gì thắc mắc hay sai sót em có thể liên hệ mentor hoặc CVHT
Cách để làm và thông tin tham khảo lin</t>
    </r>
    <r>
      <rPr>
        <u/>
        <sz val="11"/>
        <color rgb="FF1155CC"/>
        <rFont val="Calibri"/>
      </rPr>
      <t>k sau:
https://kdtqt.duytan.edu.vn/Home/ArticleDetail/vn/40/167/huong-dan-du-an-capstone</t>
    </r>
    <r>
      <rPr>
        <sz val="11"/>
        <color theme="1"/>
        <rFont val="Calibri"/>
        <scheme val="minor"/>
      </rPr>
      <t xml:space="preserve">-phan-1 
</t>
    </r>
    <r>
      <rPr>
        <u/>
        <sz val="11"/>
        <color rgb="FF1155CC"/>
        <rFont val="Calibri"/>
      </rPr>
      <t>https://kdtqt.duytan.edu.vn/Home/ArticleDetail/vn/40/166/hoc-trong-du-an-capstone-bai-2</t>
    </r>
  </si>
  <si>
    <t>Giới thiệu capstone 1 và Capstone 2</t>
  </si>
  <si>
    <t>đồ án Cap 1 hoặc cap2 thì em có được tự chọn mentor không ạ hay là được sự sắp xếp của trường?</t>
  </si>
  <si>
    <t>Cap1 có cần nộp tiền không ?</t>
  </si>
  <si>
    <t>Capstone 1 và capstone 2 tổ chức thế nào ?</t>
  </si>
  <si>
    <t>Cap1 khác gì cap 2</t>
  </si>
  <si>
    <t>So sánh capstone 1 và Capstone 2</t>
  </si>
  <si>
    <t>Sinh viên CMU có cần thi tin học không ?</t>
  </si>
  <si>
    <t>Làm sao để miễn tin học ?</t>
  </si>
  <si>
    <r>
      <t xml:space="preserve">Để tốt nghiệp các tất cả sinh viên phải hoàn thành các chứng chỉ giáo dục quốc phòng, thể chất và đánh giá đạt trong kỳ khảo sát
tiếng Anh, tin học của trường trong đó:
Tin học:
** Thi khảo sát Tin học đầu ra: 1 năm tổ chức 4 đợt, không ôn thi chỉ đăng ký thi.
Cách đăng ký: nộp lệ phí thi khảo sát tại phòng KHTC (137 Nguyễn Văn Linh)
Nếu không muốn thi khảo sát thì có các cách sau để miễn khảo sát:
- Có chứng chỉ do trường ĐH Duy Tân cấp gồm: chứng chỉ kỹ thuật viên tin học,
chứng chỉ ứng dụng CNTT nâng cao theo quy định tại thông tư 03/2014/TT-BTTTT.
Sinh viên tham khảo thông tin tại: http://tttinhoc.duytan.edu.vn/
- Hoặc có Chứng chỉ MOS (ít nhất đạt 3 kỹ năng: Word, Excel, Powerpoint);
Chứng nhận IP, AP, FE do bộ Khoa học và Công nghệ cấp. Sinh viên tham khảo thông
tin tại: http://ltc.org.vn/ hoặc: https://www.facebook.com/ltcdtu
- Hoặc có bằng Trung cấp Tin học trở lên;
 - Hoặc sinh viên ngành IT như CMU, khoa học máy tính hay CNPM
Đề cương tham khảo: </t>
    </r>
    <r>
      <rPr>
        <u/>
        <sz val="11"/>
        <color rgb="FF1155CC"/>
        <rFont val="Calibri"/>
      </rPr>
      <t>https://kdtqt.duytan.edu.vn/Home/ArticleDetail/vn/40/6450</t>
    </r>
  </si>
  <si>
    <t>CNPM có cần thi tin học đàu ra không ?</t>
  </si>
  <si>
    <t>những chứng chỉ nào để bỏ qua đầu ra tin học ?</t>
  </si>
  <si>
    <t>Khi nào học quân sự ?</t>
  </si>
  <si>
    <t>khóa tụi em chuẩn bị học quân sự tới đây đúng không ạ. tại có nhiều tin không rõ quá nên em nhắn cô thử ạ?</t>
  </si>
  <si>
    <t>Mỗi kỳ hè trường sẽ tổ chức dạy và học môn GDQP-AN, mỗi đợt sẽ có các khoa khác nhau tham gia. Chia làm 2 khối xen kẽ học Lý thuyết và Thực hành:
Mỗi kỳ sẽ tổ chức trong vòng 1 tháng. Chi tiết về
Lý thuyết: Học Online thông qua tài khoản Zoom, Thi tập trung tại các phòng
học Khu 3,5ha Hòa Khánh nam (lịch học, lịch thi và tài khoản học chi tiết cập nhật sau)
Thực hành: Học trực tiếp tại 2 cơ sở của Trung tâm GDQP – AN, Trường ĐH.
Thể dục Thể thao (lịch học, lịch thi chi tiết cập nhật sau)
- Cơ sở Trung tâm GDQPAN: số 122 đường Hoàng Minh Thảo, phường Hòa
Khánh Nam, quận Liên Chiểu, TP Đà Nẵng
- Cơ sở Trường Đại học TDTT Đà Nẵng: số 44 đường Dũng Sĩ Thanh Khê,
quận Thanh Khê, TP Đà Nẵng
Chi tiết tham khảo file dưới đây.
( https://khoaluat.duytan.edu.vn/media/15809/gdqp-đợt-2.pdf )</t>
  </si>
  <si>
    <t>Học quân sự ở nơi nào ạ?</t>
  </si>
  <si>
    <t>Làm sao đăng ký học quân sự ạ?</t>
  </si>
  <si>
    <t>Học phí của kỳ học quân sự bao nhiêu ạ?</t>
  </si>
  <si>
    <t>Đầu ra tiếng anh của trường đào tạo quốc tế bao nhiêu ?</t>
  </si>
  <si>
    <t>Trường mình toeic thì cần bao nhiêu điểm để tốt nghiệp được ạ?</t>
  </si>
  <si>
    <r>
      <t xml:space="preserve">Để tốt nghiệp các tất cả sinh viên phải hoàn thành các chứng chỉ giáo dục quốc phòng, thể chất và đánh giá đạt trong kỳ khảo sát
tiếng Anh, tin học của trường trong đó:
Tiếng anh:
Thi khảo sát Anh đầu ra: 1 năm tổ chức 4 đợt, không ôn thi chỉ đăng ký thi.
Cách đăng ký: nộp lệ phí thi khảo sát tại phòng Kế hoạch Tài chính (137 Nguyễn Văn
Linh) 
Nếu không muốn thi khảo sát thì có các cách sau để miễn khảo sát:
- Có chứng chỉ Toeic 450 chứng chỉ Toeic 470 thời hạn cấp không quá 2 năm tính đến ngày xét công nhận tốt nghiệp;
- Hoặc có chứng chỉ IELTS 4.5 thời hạn cấp không quá 2 năm tính đến ngày xét
công nhận tốt nghiệp;
- Hoặc có chứng chỉ TOEFL 470 ITP 53 iBT (với thời hạn cấp không quá 2 năm tínhđến ngày xét công nhận tốt nghiệp.
- Hoặc có bằng Cử nhân Anh văn.
- Hoặc tham gia lớp luyện thi TOEIC 4 KỸ NĂNG tại trung tâm ngoại ngữ của Trường.
Đề cương tham khảo đường dẫn sau:
( </t>
    </r>
    <r>
      <rPr>
        <u/>
        <sz val="11"/>
        <color rgb="FF1155CC"/>
        <rFont val="Calibri"/>
      </rPr>
      <t>https://kdtqt.duytan.edu.vn/Home/ArticleDetail/vn/40/6450</t>
    </r>
    <r>
      <rPr>
        <sz val="11"/>
        <color theme="1"/>
        <rFont val="Calibri"/>
        <scheme val="minor"/>
      </rPr>
      <t xml:space="preserve"> </t>
    </r>
  </si>
  <si>
    <t>Đầu ra tiếng anh ngành mình là bao nhiêu ạ?</t>
  </si>
  <si>
    <t>Cách để miễn giảm thi khảo sát</t>
  </si>
  <si>
    <t>Sinh viên đào tạo quốc tế có cần thi tiếng anh không ?</t>
  </si>
  <si>
    <t>nên học eilts hay toeic?</t>
  </si>
  <si>
    <t>Có thể học các ngôn ngữ khác ngoài tiếng anh để ra trường không?</t>
  </si>
  <si>
    <t>Học tiếng nhật để xét tốt nghiệp được không ?</t>
  </si>
  <si>
    <t>Về ngôn ngữ thay thế cho khảo sát tiếng anh ra trường như nhật, hàn hay trung. Bạn nên liên hệ với Cố vấn học tập để biết thêm chi tiết</t>
  </si>
  <si>
    <t>Cách xét loại bằng tốt nghiệp ?</t>
  </si>
  <si>
    <t>Việc trao bằng là dựa vào điểm của thang 10 hay thang 4 vậy thầy.?</t>
  </si>
  <si>
    <r>
      <t xml:space="preserve">Xếp hạng học lực:
- Hạng tốt nghiệp được xác định theo điểm trung bình chung tích lũy của toàn
khoá học (quy đổi về thang điểm 4,00), như sau:
a) Loại xuất sắc: Điểm trung bình chung tích lũy từ 3,60 đến 4,00;
b) Loại giỏi: Điểm trung bình chung tích lũy từ 3,20 đến 3,59;
c) Loại khá: Điểm trung bình chung tích lũy từ 2,50 đến 3,19;
d) Loại trung bình: Điểm trung bình chung tích lũy từ 2,00 đến 2,49.
- Chi tiết về cách quy đổi 10, 4 và cách tính điểm gpa, tham khảo link sau
( </t>
    </r>
    <r>
      <rPr>
        <u/>
        <sz val="11"/>
        <color rgb="FF1155CC"/>
        <rFont val="Calibri"/>
      </rPr>
      <t>https://bang2.duytan.edu.vn/Home/ArticleDetail/vn/64/1639/bang-quy-doi-cac-thang-diem-va-xep-loai-diem-hoc-phan</t>
    </r>
    <r>
      <rPr>
        <sz val="11"/>
        <color theme="1"/>
        <rFont val="Calibri"/>
        <scheme val="minor"/>
      </rPr>
      <t xml:space="preserve"> )</t>
    </r>
  </si>
  <si>
    <t>Show cho em list điểm quy đổi từ thang 10 ra thang 4 và thang chữ cũng như loại bằng sẽ nhận tương ứng.?</t>
  </si>
  <si>
    <t>Xét tốt nghiệp có cần nộp học phí ?</t>
  </si>
  <si>
    <t>Cách tính điểm gpa?</t>
  </si>
  <si>
    <t>Cách đạt bằng tốt nghiệp các loại ?</t>
  </si>
  <si>
    <t>Cách quy đổi điểm gpa 4 sang điểm 10 ?</t>
  </si>
  <si>
    <t>Điều kiện để nghiên cứu khoa học ?</t>
  </si>
  <si>
    <t>Làm thế nào để tham gia vào các dự án nghiên cứu hoặc các nhóm nghiên cứu?</t>
  </si>
  <si>
    <t>Nghiên cứu khoa học là hoạt động khoa học, nơi em cũng các bạn cùng nhau phát triển dự án mang tính học thuật và bảo vệ trước hội đồng nghiên cứu khoa học và hội đồng bảo vệ capstone. Để được hỗ trợ tốt nhất em nên liên hệ với giảng viên cốc vấn học tập hoặc mentor của em.</t>
  </si>
  <si>
    <t>Chương trình CMU có yêu cầu thực tập không ?</t>
  </si>
  <si>
    <t>Quy trình và yêu cầu về việc thực hiện thực tập trong chương trình học?</t>
  </si>
  <si>
    <t>Sau khi làm xong capstone 2 để được xét tốt nghiệp, sinh viên được yêu cầu minh chứng tham gia thực tập tại các công ty, hay doanh nghiệp</t>
  </si>
  <si>
    <t>Đầu ra có cần phải thực tập công ty ?</t>
  </si>
  <si>
    <t>Thông tin về sự kiện tốt nghiệp thế nào ?</t>
  </si>
  <si>
    <t>Hỏi cách đăng ký tham dự các buổi Lễ/sự kiện, các yêu cầu thời gian, địa điểm, trang phục…?</t>
  </si>
  <si>
    <r>
      <t xml:space="preserve">Đối với sinh viên đào tạo quốc tế lễ tố nghiệp sẽ vào tầm tháng 6, 12 sau khi hoàn thành ĐATN,
Nơi tổ chức: tòa nhà hội trường tầng 6, 03 Quang trung, Đà nẵng
Tuy có thể có sự thay đổi về thời gian, trang phuc hay địa điểm, vì vậy em nên theo dõi ở trang trường ĐTQT 
</t>
    </r>
    <r>
      <rPr>
        <u/>
        <sz val="11"/>
        <color rgb="FF1155CC"/>
        <rFont val="Calibri"/>
      </rPr>
      <t>https://www.facebook.com/khoadaotaoquocte</t>
    </r>
    <r>
      <rPr>
        <sz val="11"/>
        <color theme="1"/>
        <rFont val="Calibri"/>
        <scheme val="minor"/>
      </rPr>
      <t xml:space="preserve"> )
Hoặc liên hệ với CVHT để biết thêm chi tiết</t>
    </r>
  </si>
  <si>
    <t>Tốt nghiệp mặ trang phục gì ?</t>
  </si>
  <si>
    <t>Cách thức, thời gian địa điểm nhận bằng, giấy khen, đồ được cấp phát,…?</t>
  </si>
  <si>
    <t>Lấy bằng ở đâu ?</t>
  </si>
  <si>
    <t>Thông tin chi tiết về các giấy khen, cấp đồ hoặc các hoạt động khác sẽ được cập nhật chi tiết trên fanpage của trường ĐTQT hoặc liên hệ Cố vấn học tập để biết được</t>
  </si>
  <si>
    <t>Làm sao biết mình bằng gì ?</t>
  </si>
  <si>
    <t>Cách quy đổi điểm duy tân ?</t>
  </si>
  <si>
    <r>
      <t xml:space="preserve">Dựa trên điểm gpa của trên thang điểm 4, ta có thể xếp loại như sau
- Hạng tốt nghiệp được xác định theo điểm trung bình chung tích lũy của toàn
khoá học (quy đổi về thang điểm 4,00), như sau:
a) Loại xuất sắc: Điểm trung bình chung tích lũy từ 3,60 đến 4,00;
b) Loại giỏi: Điểm trung bình chung tích lũy từ 3,20 đến 3,59;
c) Loại khá: Điểm trung bình chung tích lũy từ 2,50 đến 3,19;
d) Loại trung bình: Điểm trung bình chung tích lũy từ 2,00 đến 2,49.
- Hạng tốt nghiệp của những sinh viên có kết quả học tập toàn khoá loại xuất
sắc và giỏi sẽ bị giảm đi một mức, nếu rơi vào một trong các trường hợp sau:
a) Có khối lượng của các học phần phải thi lại (học lại, học ghép) vượt quá 5% so
với tổng số tín chỉ quy định cho toàn chương trình;
b) Đã bị kỷ luật từ mức cảnh cáo trở lên trong thời gian học.
Thông tin chi tiết về quy đổi điểm 4 sang 10 và thông tin khác.
tham khảo đường dẫn dưới đây: </t>
    </r>
    <r>
      <rPr>
        <u/>
        <sz val="11"/>
        <color rgb="FF1155CC"/>
        <rFont val="Calibri"/>
      </rPr>
      <t>https://bang2.duytan.edu.vn/uploads/66d25526-ee3a-4e91-94fd-775f76110164_bangquydoicacthangdiemvaxeploaidiemhocphan2016.pdf</t>
    </r>
    <r>
      <rPr>
        <sz val="11"/>
        <color theme="1"/>
        <rFont val="Calibri"/>
        <scheme val="minor"/>
      </rPr>
      <t xml:space="preserve"> </t>
    </r>
  </si>
  <si>
    <t>cách xét điểm duy tân ?</t>
  </si>
  <si>
    <t>Nhóm câu hỏi</t>
  </si>
  <si>
    <t>Câu hỏi</t>
  </si>
  <si>
    <t>Câu trả lời</t>
  </si>
  <si>
    <t>Quy trình nhận bằng tốt nghiệp tại Đại học Duy Tân là gì</t>
  </si>
  <si>
    <t>Tôi cần chuẩn bị những giấy tờ và thủ tục gì để nhận bằng tốt nghiệp?</t>
  </si>
  <si>
    <t xml:space="preserve">Trường Đào tạo Quốc tế thông báo đến Sinh viên có tên trong danh sách công nhận tốt nghiệp tháng đó trên các nguồn như trang chủ hoặc diễn đàn (https://www.facebook.com/khoadaotaoquocte), tiếp theo bạn phải làm các thủ tục theo các bước sau để được nhận Bằng TN (gốc):
Bước 1: Liên hệ phòng KH-TC - 137 Nguyễn Văn Linh để làm thủ tục thanh toán ra trường (đóng lệ phí 900.000đ).
Bước 2: Đến Vp Đoàn Thanh niên - P.425 cơ sở K7/25 Quang Trung để xác nhận.
Bước 3: Đến Phòng Công tác HSSV - P.214 cơ sở K7/25 Quang Trung - để rút Hồ sơ sinh viên và ký xác nhận vào giấy thanh toán ra trường.
Bước 4: Đến Văn Phòng Trường ĐTQT - P.204G cơ sở 120 Hoàng Minh Thảo để ký xác nhận tốt nghiệp và nhận bằng.
Link tham khảo (https://is.duytan.edu.vn/announcements/thong-bao-nhan-bang-tot-nghiep-dot-thang-12)
</t>
  </si>
  <si>
    <t>Có cần phải đóng phí hoặc chi phí nào khi nhận bằng tốt nghiệp không?</t>
  </si>
  <si>
    <t>Tôi có thể yêu cầu bằng tốt nghiệp bằng cách nào?</t>
  </si>
  <si>
    <t>Ai là người liên hệ nếu tôi có thắc mắc hoặc vấn đề liên quan đến việc nhận bằng tốt nghiệp?</t>
  </si>
  <si>
    <t>Tôi cần chuẩn bị những giấy tờ gì khi nhận bằng tốt nghiệp từ Đại học Duy Tân?</t>
  </si>
  <si>
    <t>Yêu cầu cụ thể về các tài liệu và giấy tờ cần thiết để đảm bảo quá trình nhận bằng tốt nghiệp diễn ra một cách thuận lợi nhất là gì?</t>
  </si>
  <si>
    <t>Tôi cần mang theo các giấy tờ gốc hay bản sao khi nhận bằng tốt nghiệp?</t>
  </si>
  <si>
    <t>Làm thế nào để xác minh danh tính và thông tin của tôi khi nhận bằng tốt nghiệp?</t>
  </si>
  <si>
    <t>Có các thủ tục đặc biệt nào mà tôi cần phải tuân theo khi nhận bằng tốt nghiệp không?</t>
  </si>
  <si>
    <t>Tôi cần phải đóng phí hay chi trả bất kỳ khoản nào khi nhận bằng tốt nghiệp không?</t>
  </si>
  <si>
    <t>Làm thế nào để biết thời gian và địa điểm nhận bằng tốt nghiệp?</t>
  </si>
  <si>
    <t>Ai là người liên hệ hoặc địa điểm nào tôi có thể liên hệ nếu tôi có thắc mắc hoặc cần hỗ trợ khi chuẩn bị cho quá trình nhận bằng tốt nghiệp?</t>
  </si>
  <si>
    <t>Tôi cần tuân theo bất kỳ hướng dẫn hay hạn chế nào khác khi nhận bằng tốt nghiệp không?</t>
  </si>
  <si>
    <t>Điều kiện và cách làm đơn phúc khảo bài thi?</t>
  </si>
  <si>
    <t>Làm sao để chấm lại bài thi ?</t>
  </si>
  <si>
    <t>Khi nhận được kết quả bài thi mà thí sinh cảm thấy không đúng với năng lực của mình thì thí sinh có thể làm đơn xin phúc khảo bài thi trong thời hạn 10 NGÀY kể từ ngày niêm yết kết quả của kỳ thi.
Sinh viên làm in đơn theo đường dẫn dưới đây và gửi qua Phòng đào tạo ở Tầng 2 Phan Thanh
https://kdtqt.duytan.edu.vn/Home/ArticleDetail/vn/61/5991/mau-don-xin-xem-lai-ket-qua-bai-thi-ket-thuc-hoc-phan )</t>
  </si>
  <si>
    <t>Em thấy điểm thi không đúng làm sao để chấm lại ?</t>
  </si>
  <si>
    <t>Làm bài tốt mà giảng viên chấm sai thì làm sao ?</t>
  </si>
  <si>
    <t>Điều kiện và cách làm giấy tạm hoãn nghĩa vụ quân sự?</t>
  </si>
  <si>
    <t>Làm sao có thể bỏ qua nghĩa vụ quân sự</t>
  </si>
  <si>
    <t>Điều kiện để tạm hoãn nghĩa vụ quân sự:
- Đầu tiền đang trong thời gian thời gian đào tọa tại trường theo đúng khung trương trình như  4 năm cử nhân, 5 năm kỷ sư hoăc 6,7 năm đối với bác sỹ và dược
- Không trong diện bỏ học 
- Đóng học phí và làm đúng vai trò của một sinh viên
Cách nhận giấy xác nhận: 
- Sinh viên vào MYDTU =&gt; chọn mục Đăng ký cấp giây xác nhận  =&gt; Đăng ký giấy xác nhận
- Xem thời gian, đúng giờ đến Phòng Công tác sinh viên , Tầng 2 Quang trung để lấy và nộp lên phường để xác nhận</t>
  </si>
  <si>
    <t>em bị phường kêu làm sao để tạm hoãn nghĩ vụ?</t>
  </si>
  <si>
    <t>Em muốn làm đơn tạm hoãn quân sự làm sao đây?</t>
  </si>
  <si>
    <t>Điều kiện và cách làm đơn học vượt ?</t>
  </si>
  <si>
    <t>Quy định và điều kiện để đăng ký vượt tín chỉ và số lượng tối đa có thể vượt?</t>
  </si>
  <si>
    <r>
      <t xml:space="preserve">Điều kiện để học vượt:
- Sinh viên phải đạt số điểm khá trở lên
- Phải là sinh viên năm ba
Các bước làm đơn 
- Bước 1: Sinh viên tải mẫu đơn về điền đầy đủ thông tin vào.
- Bước 2: Sinh viên gửi đơn cho CVHT của mình để được tư vấn và xét duyệt, sau đó nộp đơn về VP Viện để được tiếp nhận và xử lý
</t>
    </r>
    <r>
      <rPr>
        <u/>
        <sz val="11"/>
        <color rgb="FF1155CC"/>
        <rFont val="Calibri"/>
      </rPr>
      <t>https://kdtqt.duytan.edu.vn/Home/ArticleDetail/vn/61/5980/mau-don-xin-phep-hoc-vuot</t>
    </r>
    <r>
      <rPr>
        <sz val="11"/>
        <color theme="1"/>
        <rFont val="Calibri"/>
        <scheme val="minor"/>
      </rPr>
      <t xml:space="preserve"> </t>
    </r>
  </si>
  <si>
    <t>Đăng ki học nhiều hơn số chỉ tối đa được không ?</t>
  </si>
  <si>
    <t>Điều kiện và cách làm đơn chuyển ngành</t>
  </si>
  <si>
    <t>Học không nổi muốn đổi ngành thì làm kiểu gì ?</t>
  </si>
  <si>
    <r>
      <rPr>
        <sz val="11"/>
        <color rgb="FF000000"/>
        <rFont val="Calibri"/>
      </rPr>
      <t xml:space="preserve">SV được xem xét chuyển ngành học khác nếu có đủ các điều kiện sau:
- Đã tham dự kỳ thi tuyển sinh theo đề chung và có kết quả thi bằng hoặc cao hơn điểm trúng tuyển của ngành xin chuyển đến.
- Không phải là SV năm thứ nhất hoặc năm cuối của thời gian thiết kế khóa học (xem chi tiết trong Quy chế đào tạo theo học chế - - tín chỉ của Trường).
- Không trong thời gian bị kỷ luật từ cảnh cáo trở lên.
- Đạt số tín chỉ tích lũy tối thiểu và có điểm trung bình chung tích lũy theo quy định.
- Được sự chấp thuận của hai Trưởng khoa chuyển đến và chuyển đi.
- Ngành chuyển phải năm trong chương trình như CMU, CSU hay PSU
Lưu ý: Thời gian nộp đơn chuyển ngành: 2 tuần đầu tiên của mỗi học kỳ.
Các bước làm đơn chuyển ngành:
- Bước 1: Sinh viên tải mẫu đơn về điền đầy đủ thông tin vào.
- Bước 2: Sinh viên gửi đơn cho CVHT của mình để được tư vấn và xét duyệt, sau đó nộp đơn về VP Viện để được tiếp nhận và xử lý
Sau khi chuyển ngành sinh viên có thể chuyển điểm những môn có cùng mã môn
</t>
    </r>
    <r>
      <rPr>
        <u/>
        <sz val="11"/>
        <color rgb="FF1155CC"/>
        <rFont val="Calibri"/>
      </rPr>
      <t>https://kdtqt.duytan.edu.vn/Home/ArticleDetail/vn/61/5989/mau-don-xin-chuyen-nganh-hoc</t>
    </r>
    <r>
      <rPr>
        <sz val="11"/>
        <color rgb="FF000000"/>
        <rFont val="Calibri"/>
      </rPr>
      <t xml:space="preserve"> </t>
    </r>
  </si>
  <si>
    <t>Hướng dẫn chuyển ngành học?</t>
  </si>
  <si>
    <t>Năm 1 kì 2 có được chuyển ngành không?</t>
  </si>
  <si>
    <t>Chuyển ngành học có mất thêm thời gian đào tạo không?</t>
  </si>
  <si>
    <t>Tín chỉ môn học khi chuyển ngành?</t>
  </si>
  <si>
    <t>Sau khi chuyển ngành thì có cần học lại các tín chỉ không?</t>
  </si>
  <si>
    <t>Sau khi chuyển ngành thì có cần học lại các môn không?</t>
  </si>
  <si>
    <t>Có được đổi ngành không ?</t>
  </si>
  <si>
    <t>Điều kiện chuyển điểm và cách?</t>
  </si>
  <si>
    <r>
      <t xml:space="preserve">Để chuyển điểm giữa các môn thì môn đó phải có cùng mã môn
Ví dụ không thể chuyển như CMUCS301 và CS303
Quy trình làm đơn chuyển điểm:
ước 1: Sinh viên tải mẫu đơn về điền đầy đủ thông tin vào.
Bước 2: Sinh viên gửi đơn cho CVHT của mình để được tư vấn và xét duyệt, sau đó nộp đơn về VP Viện để được tiếp nhận và xử lý.
Ghi chú: Trường hợp dịch bệnh, sinh viên chưa thể gửi đơn trực tiếp về VP Viện được thì chụp ảnh đơn của mình và thực hiện như sau:
Sau khi chuyển điểm thành công thì sv không cần học lại những môn đó
</t>
    </r>
    <r>
      <rPr>
        <u/>
        <sz val="11"/>
        <color rgb="FF1155CC"/>
        <rFont val="Calibri"/>
      </rPr>
      <t>https://docs.google.com/document/d/1C7fLWKQ2tFSV3oHBgaJ0j8WgGJ9et0T_/edit?usp=sharing&amp;ouid=110232582114687422531&amp;rtpof=true&amp;sd=true</t>
    </r>
    <r>
      <rPr>
        <sz val="11"/>
        <color theme="1"/>
        <rFont val="Calibri"/>
        <scheme val="minor"/>
      </rPr>
      <t xml:space="preserve"> )</t>
    </r>
  </si>
  <si>
    <t>Có cần học lại những môn đã học không sau khi chuyển ngành không ?</t>
  </si>
  <si>
    <t>Quy định về việc chấp nhận các tín chỉ từ các khóa học trước đây?</t>
  </si>
  <si>
    <t>Chuyển điểm xong có học lại không ?</t>
  </si>
  <si>
    <t>Điều kiện và cách học lại môn học ?</t>
  </si>
  <si>
    <t>Em rớt môn giờ làm sao ?</t>
  </si>
  <si>
    <t>- Để đăng ký một môn học, SV phải thỏa các điều kiện về môn tiên quyết, môn học trước, môn song hành và các điều kiện ràng buộc khác.
- Đăng ký những môn có trong khung chương trình
- Tổng số tín chỉ đăng ký và số tín chỉ còn lại phải dưới 20+1 với HK thường
Và dưới 12 với HK hè
Hướng dẫn đăng kí và hủy môn: 
- Bước 1: Tạo danh sách các môn muốn đăng ký trên excel
- Bước 2: Kiểm tra những môn rớt môn tiên quyết do nhà trường đăng ký như OOP C++ và hủy tín chỉ đó
- Bước 3: Vào cource tín và tìm các môn học cần đăng ký hoặc gặp giảng viên cố vấn đề lên danh sách
- Bước 5: Đợi thời gian và đăng ký trên MYDTU
Lưu ý: Kế hoạch học lại, học cải thiện cho sinh năm 1, năm 2 và năm 3 được bố trí vào học kỳ hè. Kế hoạch học lại, học cải thiện sinh viên năm 4 có thể bố trí ngoài học kỳ hè, phụ thuộc vào kế hoạch tốt nghiệp.</t>
  </si>
  <si>
    <t>Cách đăng kí tín chỉ để học lại?</t>
  </si>
  <si>
    <t>Khi bị rớt một tín chỉ thì làm sao để qua tín chỉ đó?</t>
  </si>
  <si>
    <t>Làm thế nào để đăng ký học lại các môn không đạt kết quả?</t>
  </si>
  <si>
    <t>Quy trình và điều kiện để thi lại một môn học?</t>
  </si>
  <si>
    <t>Điều kiện và cách để đăng ký tín chỉ ?</t>
  </si>
  <si>
    <t>Cách làm đơn ghép lớp ?</t>
  </si>
  <si>
    <r>
      <t xml:space="preserve">Điều kiện đăng ký
- Để đăng ký một môn học, SV phải thỏa các điều kiện về môn tiên quyết, môn học trước, môn song hành và các điều kiện ràng buộc khác.
- Đăng ký những môn có trong khung chương trình
- Tổng số tín chỉ đăng ký và số tín chỉ còn lại phải dưới 20+1 với HK thường
Và dưới 12 với HK hè
Nếu thỏa mãn điều kiện
Các bước làm đơn
- Bước 1: Sinh viên tải mẫu đơn dưới đây về điền đầy đủ thông tin vào.
- Bước 2: Sinh viên gửi đơn cho CVHT của mình để được tư vấn và xét duyệt, sau đó nộp đơn về VP Viện để được tiếp nhận và xử lý
</t>
    </r>
    <r>
      <rPr>
        <u/>
        <sz val="11"/>
        <color rgb="FF1155CC"/>
        <rFont val="Calibri"/>
      </rPr>
      <t>https://kdtqt.duytan.edu.vn/Home/ArticleDetail/vn/61/5983/mau-phieu-dang-ky-mon-hoc</t>
    </r>
    <r>
      <rPr>
        <sz val="11"/>
        <color theme="1"/>
        <rFont val="Calibri"/>
        <scheme val="minor"/>
      </rPr>
      <t xml:space="preserve"> </t>
    </r>
  </si>
  <si>
    <t>Điều kiện và cách để đăng ký môn học ?</t>
  </si>
  <si>
    <t>Cách để đăng ký khi hết lớp ?</t>
  </si>
  <si>
    <t>tất cả các môn đã được đăng kí hết và mình không còn môn để đăng kí?</t>
  </si>
  <si>
    <t>Làm sao để đăng kí thêm tín chỉ khi bị trùng môn ?</t>
  </si>
  <si>
    <t>cách đăng ký tín chỉ thêm?</t>
  </si>
  <si>
    <t>Lớp đăng ký bị trùng làm sao đây</t>
  </si>
  <si>
    <t>Điều kiện và cách làm đơn bảo lưu ?</t>
  </si>
  <si>
    <t>Để bảo lưu cần điều kiện gì không ?</t>
  </si>
  <si>
    <r>
      <t xml:space="preserve"> Sinh viên được xin nghỉ học tạm thời và bảo lưu kết quả đã học trong các trường hợp sau
- Được điều động vào lực lượng vũ trang;
- Được cơ quan có thẩm quyền điều động, đại diện quốc gia để tham dự các kỳ thi, giải đấu quốc tế;
- Bị ốm, thai sản hoặc tai nạn phải điều trị thời gian dài và có chứng nhận của cơ sở khám, chữa bệnh có thẩm quyền;
- Vì lý do cá nhân khác nhưng đã học tối thiểu 01 học kỳ và không thuộc các trường hợp bị xem xét buộc thôi học hoặc kỷ luật.
Lưu ý:
- Thời gian nghỉ học tạm thời vì nhu cầu cá nhân sẽ được tính vào thời gian học chính thức.
Nếu thỏa mãn các điều kiện:
- Bước 1: Sinh viên tải mẫu đơn dưới đây về điền đầy đủ thông tin vào.
- Bước 2: Sinh viên gửi đơn cho CVHT để nhận được hướng dẫn các bước, sau đó nộp đơn về VP Viện để được tiếp nhận và xử lý
</t>
    </r>
    <r>
      <rPr>
        <u/>
        <sz val="11"/>
        <color rgb="FF1155CC"/>
        <rFont val="Calibri"/>
      </rPr>
      <t>https://kdtqt.duytan.edu.vn/Home/ArticleDetail/vn/61/5985/mau-don-xin-bao-luu-ket-qua-hoc-tap</t>
    </r>
    <r>
      <rPr>
        <sz val="11"/>
        <color theme="1"/>
        <rFont val="Calibri"/>
        <scheme val="minor"/>
      </rPr>
      <t xml:space="preserve"> 
Lưu ý: hạn bảo lưu tối đa 2 năm, sau 2 năm sẽ xem như thôi học. Vì vậy sinh viên cần đăng ký nhập học</t>
    </r>
  </si>
  <si>
    <t>Nhà có việc nên cần bảo lưu?</t>
  </si>
  <si>
    <t>cách làm đơn bảo lưu ở đâu?</t>
  </si>
  <si>
    <t>Khi nào bảo lưu được ?</t>
  </si>
  <si>
    <t>Muốn đi du học nên cần bảo lưu kết quả ?</t>
  </si>
  <si>
    <t>Điều kiện và cách học lại ?</t>
  </si>
  <si>
    <t>Bây giờ muốn học lại thì phải làm sao ?</t>
  </si>
  <si>
    <r>
      <t xml:space="preserve"> Sinh viên được học lại trong trường hớp:
- Học sinh xin học lại sau thời gian nghỉ nhưng còn trong độ tuổi quy định của từng cấp học. 
Quy trình:
Bước 1: Sinh viên tải mẫu đơn về điền đầy đủ thông tin vào.
Bước 2: Liên hệ Công an địa phương (phường, xã) nơi cư trú hoặc nơi công tác để xác nhận về tư cách công dân.
Bước 3: Nộp file gốc về trường ĐTQT(Phòng  201 -  HKN tòa nhà G) để tiếp nhận và xử lý đơn.
</t>
    </r>
    <r>
      <rPr>
        <u/>
        <sz val="11"/>
        <color rgb="FF1155CC"/>
        <rFont val="Calibri"/>
      </rPr>
      <t>https://kdtqt.duytan.edu.vn/Home/ArticleDetail/vn/61/5986/mau-don-xin-hoc-lai</t>
    </r>
    <r>
      <rPr>
        <sz val="11"/>
        <color theme="1"/>
        <rFont val="Calibri"/>
        <scheme val="minor"/>
      </rPr>
      <t xml:space="preserve"> </t>
    </r>
  </si>
  <si>
    <t>Cách đăng kí môn học bị rớt?</t>
  </si>
  <si>
    <t>Cách làm đơn xin học lại ?</t>
  </si>
  <si>
    <t>Học lại sau khi bảo lưu cần giấy tờ gì?</t>
  </si>
  <si>
    <t>Cách đổi lớp sinh hoạt ?</t>
  </si>
  <si>
    <t>Cách chuyển lớp sinh hoạt ?</t>
  </si>
  <si>
    <t>Sinh viên cần gặp CVHT, để hướng dẫn làm đơn viết tay chi tiết để chuyển lớp sinh hoạt</t>
  </si>
  <si>
    <t>Có thể chuyển lớp sinh hoạt không?</t>
  </si>
  <si>
    <t>Do lịch cấn nên em muốn, chuyển qua lơp sính hoạt khác ?</t>
  </si>
  <si>
    <t>Điều kiện và cách đổi lớp học môn tiếng anh ?</t>
  </si>
  <si>
    <t>Cách đổi môn lập trình cơ sở?</t>
  </si>
  <si>
    <r>
      <t xml:space="preserve">Điều kiện đổi lớp:
- Đầu tiên không phải sinh viên năm nhất
- Đang trong 2 tuần hoc đầu tiên
- Không bị trùng lịch học
Nêu tất cả đều kiện trên thỏa mạn:
- Bước 1: Đầu tiền in 1 tờ đơn đường link đính kèm dưới đây
- Bước 2: Gặp giảng viên cố vấn học tập để hướng dẫn chi tiết
</t>
    </r>
    <r>
      <rPr>
        <u/>
        <sz val="11"/>
        <color rgb="FF1155CC"/>
        <rFont val="Calibri"/>
      </rPr>
      <t>https://kdtqt.duytan.edu.vn/Home/ArticleDetail/vn/61/5981/mau-don-xin-chuyen-lop-hoc</t>
    </r>
  </si>
  <si>
    <t>cách học lớp môn khác ?</t>
  </si>
  <si>
    <t>Muốn chuyển lớp học khác?</t>
  </si>
  <si>
    <t>Làm  sao để chuyển lớp mã lớp khác ?</t>
  </si>
  <si>
    <t>Em muốn học lớp với bạn làm sao để chuyển lớp ?</t>
  </si>
  <si>
    <t>Lớp học khác gì lớp sinh hoặc ?</t>
  </si>
  <si>
    <t>Làm sao phần biệt lớp học hay sinh hoạt ?</t>
  </si>
  <si>
    <t>Lớp học sẽ là lớp em đăng kí tín chỉ và học các môn cùng với các sinh viên cùng hay khác lớp khác, nói đúng hơn mã môn
Lớp sinh hoạt là lớp cố vấn, cùng với những sinh viên cùng chuyên ngành
CMUTPM: Công nghệ phần mềm
CMUTTT: Hệ thống thông tin
CMUTAM: Bảo mật mạng
Như lớp sinh hoạt: K28CMUTPM1, K27CMUTTT và lớp học CMUCS301 BIS</t>
  </si>
  <si>
    <t>CMUTPM, CMUTTT, CMUTAM là gì ?</t>
  </si>
  <si>
    <t>Lớp sinh hoạt là gì ?</t>
  </si>
  <si>
    <t>Lớp học là gì ?</t>
  </si>
  <si>
    <t>Điều kiện và Cách làm đơn tạm hoãn thi và ghép thi ?</t>
  </si>
  <si>
    <t>cách làm đơn về các vấn đề không mong muốn ( lở buổi thi, ốm không đi thi dc vvv....)?</t>
  </si>
  <si>
    <r>
      <t xml:space="preserve">Trường hợp vì lý do cá nhân (trùng giờ thi, lý do sức khỏe, …), sinh viên không thể tham dự kỳ thi kết thúc học phần đúng tiến độ. Sinh viên phải đăng ký thi ghép các khóa khác tại P. Đào tạo vào các đợt thi gần nhất có học phần tổ chức thi.
Các bước để làm đơn:
Bước 1: sinh viên hoàn thành học phí của môn xin hoãn, điền đơn xin hoãn thi (theo mẫu) kèm các giấy tờ cần thiết, gửi văn trường đào tạo quốc tế để phê duyệt.
Bước 2: sinh viên nộp đơn tại P. Đào tạo, kèm theo các giấy tờ, chứng từ cần thiết (giấy nhập viện, giấy chứng nhận điều trị bệnh lâu dài, giấy xác nhận của địa phương, …). P. Đào tạo xét duyệt đồng ý cho sinh viên hoãn thi nếu sinh viên thỏa điều kiện.
Bước 3: sinh viên theo dõi lịch thi của các đợt tiếp theo, nếu có tổ chức môn thi của môn xin hoãn thi, sinh viên mang theo đơn xin hoãn thi đã được duyệt đến phòng Đào tạo để đăng ký thi ghép
</t>
    </r>
    <r>
      <rPr>
        <u/>
        <sz val="11"/>
        <color rgb="FF1155CC"/>
        <rFont val="Calibri"/>
      </rPr>
      <t>https://docs.google.com/document/d/1Jr86LorFIMX4HqkwmQcvRWX4Tm9XUcPw/edit?usp=sharing&amp;ouid=110232582114687422531&amp;rtpof=true&amp;sd=true</t>
    </r>
    <r>
      <rPr>
        <sz val="11"/>
        <color theme="1"/>
        <rFont val="Calibri"/>
        <scheme val="minor"/>
      </rPr>
      <t xml:space="preserve"> 
</t>
    </r>
  </si>
  <si>
    <t>Giờ thi bị trùng làm đơn nào đây ?</t>
  </si>
  <si>
    <t>bị trùng lịch thi làm sao để hoãn thi và thi giờ khác ?</t>
  </si>
  <si>
    <t>viện xếp lịch cho bọn e bị trùng h phải làm sao ạ?</t>
  </si>
  <si>
    <t>Em bị ốm làm sao để nghỉ thi ?</t>
  </si>
  <si>
    <t>Nhà có việc đột xuất em làm đơn gì để thi đợt thi khác đây ?</t>
  </si>
  <si>
    <t>Anh em học chung có miễn giảm học phí không?</t>
  </si>
  <si>
    <t xml:space="preserve"> Em muốn đăng ký giảm học phí với điều kiện là hai anh em học chung trường thì chiều nay em lên làm được không ạ?</t>
  </si>
  <si>
    <t>Trường sẽ miễn giảm học phí đối với những trường hợp sau:
- Sinh viên có hộ khẩu ở phường xã đặc biệt khó khắn
- Sinh viên thuộc hộ diện nghoèo
- Sinh viên thuộc hộ diện nghoèo trong năm
- Sinh viên song bằng tại trường
- Sinh viên mồ côi gia đình hoặc mô côi (cha) mẹ trong diện nghoèo
- Sinh viên bị khuyết tật
- Có 2 anh em ruột cùng học tại trường
- Con em ruột cán bộ đang công tác tại trường
Nếu em thuộc các diện trên đến Phòng Công tác Sinh viên để nộp hồ sơ xin miễn giảm. 
Thông tin về miễn giảm học phí bạn có thể tham khảo vào đường link dưới đây,
(  https://hssv.duytan.edu.vn/Home/ArticleDetail/vn/165/1944  )</t>
  </si>
  <si>
    <t>Em thuộc hộ nghoèo làm sao để miễn giảm học phí ?</t>
  </si>
  <si>
    <t>Cách giảm học phí?</t>
  </si>
  <si>
    <t>Có cách nào giảm học phí ngoài học bổng không?</t>
  </si>
  <si>
    <t>Điều kiện để miễn giảm học phí ?</t>
  </si>
  <si>
    <t>Làm đơn giảm học phí thì lên khoa gặp ai vậy cô?</t>
  </si>
  <si>
    <t>Có hỗ trợ nào cho sinh viên có nhu cầu đặc biệt hoặc khuyết tật không?</t>
  </si>
  <si>
    <t>cách làm đơn xin giảm học phí?</t>
  </si>
  <si>
    <t>Điều kiện và cách làm đơn giảm học phí ?</t>
  </si>
  <si>
    <t>Làm sao để vay tiền theo diễn sinh viên</t>
  </si>
  <si>
    <t>cách làm đơn vay vốn sinh viên ?</t>
  </si>
  <si>
    <t>Cách nhận giấy xác nhận: 
- Sinh viên vào MYDTU =&gt; chọn mục Đăng ký cấp giây xác nhận  =&gt; Đăng ký giấy xác nhận
- Xem thời gian, đúng giờ đến Phòng Công tác sinh viên , Tầng 2 Quang trung để lấy</t>
  </si>
  <si>
    <t>làm sao để vay vốn ?</t>
  </si>
  <si>
    <t>Học lại có ảnh hưởng gì không ?</t>
  </si>
  <si>
    <t>Học lại có bị hạ bằng không ?</t>
  </si>
  <si>
    <t>Nếu không đủ điều kiện qua môn hoặc điểm trung bình môn học chưa cao, sinh viên đại học có thể đăng ký học lại để cải thiện điểm số. Tuy nhiên, nếu học lại quá nhiều môn, sinh viên có thể sẽ bị hạ bằng
Với khối lượng của các học phần phải học lại vượt quá 5% so với tổng số tín chỉ quy định cho toàn chương trình</t>
  </si>
  <si>
    <t>Rớt nhiều môn và đăng ký lại có ảnh hưởng gì đến điểm gpa không ?</t>
  </si>
  <si>
    <t>Điều kiện và cách làm đơn thôi học ?</t>
  </si>
  <si>
    <t>Nhà có chuyện đột xuất nên không thể đi học được ?</t>
  </si>
  <si>
    <r>
      <t xml:space="preserve">Bước 1: Sinh viên tải mẫu đơn về điền đầy đủ thông tin vào.
Bước 2: Sinh viên gửi đơn cho CVHT của mình để được tư vấn và xét duyệt, sau đó nộp đơn về VP Viện để được tiếp nhận và xử lý.
Lưu ý : Sinh viên xin thôi học vì lý do cá nhân, trừ trường hợp bị xem xét buộc thôi học hoặc xem xét kỷ luật. Những sinh viên này muốn quay trở lại học phải dự tuyển đầu vào như những thí sinh khác.
</t>
    </r>
    <r>
      <rPr>
        <u/>
        <sz val="11"/>
        <color rgb="FF1155CC"/>
        <rFont val="Calibri"/>
      </rPr>
      <t>https://kdtqt.duytan.edu.vn/Home/ArticleDetail/vn/61/5987/mau-don-xin-thoi-hoc</t>
    </r>
    <r>
      <rPr>
        <sz val="11"/>
        <color theme="1"/>
        <rFont val="Calibri"/>
        <scheme val="minor"/>
      </rPr>
      <t xml:space="preserve"> </t>
    </r>
  </si>
  <si>
    <t>Muốn xin thôi học do không đủ tiền nên làm đơn gì ?</t>
  </si>
  <si>
    <t>Làm sao để xin thôi học ?</t>
  </si>
  <si>
    <t>Cách làm đơn mở lớp ?</t>
  </si>
  <si>
    <t>Làm sao để học khi chưa có lớp nào mở ?</t>
  </si>
  <si>
    <r>
      <t xml:space="preserve">Điều kiện để mở lớp: 
- Có chữ ký các sinh viên đăng ký lớp học tối thiểu 12 sinh viên
- Có giảng viên tham dự giảng dạy
- Trước thời gian bắt đầu học kỳ mới của năm
- Các sinh viên không trùng lịch học
Nếu thỏa mãn các điều kiện:
- Bước 1: Sinh viên tải mẫu đơn dưới đây về điền đầy đủ thông tin vào.
- Bước 2: Sinh viên gửi đơn cho trường khoa để xác nhận , sau đó nộp đơn về VP Viện để được tiếp nhận và xử lý
</t>
    </r>
    <r>
      <rPr>
        <u/>
        <sz val="11"/>
        <color rgb="FF1155CC"/>
        <rFont val="Calibri"/>
      </rPr>
      <t>https://docs.google.com/document/d/1gWqWDyalXr-HFYJ6-Bn4M7Rtv53BXCaO/edit?usp=sharing&amp;ouid=110232582114687422531&amp;rtpof=true&amp;sd=true</t>
    </r>
    <r>
      <rPr>
        <sz val="11"/>
        <color theme="1"/>
        <rFont val="Calibri"/>
        <scheme val="minor"/>
      </rPr>
      <t xml:space="preserve"> </t>
    </r>
  </si>
  <si>
    <t>Cần bao nhiêu sinh viên để mở lớp ?</t>
  </si>
  <si>
    <t>tại sao đã viết đơn mở lớp mà không thể mở lớp ?</t>
  </si>
  <si>
    <t>Học kì không có môn làm sao để có lớp ?</t>
  </si>
  <si>
    <t>BHYT nộp ở đâu ?</t>
  </si>
  <si>
    <t>Làm thế nào để đăng ký và sử dụng các dịch vụ bảo hiểm y tế ?</t>
  </si>
  <si>
    <t>Sau khi nhận được thông báo từ CVHT, lớp trường, bí thư lớp hoặc trên fanpage của trường. Sinh viên đến phòng  tài chính  nộp tiền 137 Nguyễn Văn Linh
Sau khi trường lập danh sách theo từng đợt trong vòng 3-4 tháng sinh viên có thể khám và chữa bệnh bằng BHYT thông qua CCCD và app VSSCI được tích hợp
Lưu ý : sinh viên không cần lên để lấy thẻ BHYT</t>
  </si>
  <si>
    <t>Lấy thẻ BHYT ở đâu ?</t>
  </si>
  <si>
    <t>Khi nào thì lấy được thẻ BHYT ?</t>
  </si>
  <si>
    <t>Nộp trễ tiền BHYT ở đâu ?</t>
  </si>
  <si>
    <t>Làm sao để truyển trường</t>
  </si>
  <si>
    <t>Cách chuyển trường ra hà nội ?</t>
  </si>
  <si>
    <r>
      <t xml:space="preserve">Điều kiên:
a) Không đang là sinh viên trình độ năm thứ nhất hoặc năm cuối khóa, không thuộc diện bị xem xét buộc thôi học và còn đủ thời gian học tập theo quy định tại khoản 5 Điều 2 của Quy chế này;
b) Sinh viên đạt điều kiện trúng tuyển của chương trình, ngành đào tạo cùng khóa tuyển sinh tại nơi chuyển đến;
c) Nơi chuyển đến có đủ các điều kiện bảo đảm chất lượng, chưa vượt quá năng lực đào tạo đối với chương trình, ngành đào tạo đó theo quy định hiện hành của Bộ Giáo dục và Đào tạo;
d) Được sự đồng ý của hiệu trưởng cơ sở đào tạo xin chuyển đi và cơ sở đào tạo xin chuyển đến.
Nếu năm trong trường hợp trên:
Bước 1: Sinh viên tải mẫu đơn về điền đầy đủ thông tin vào.
Bước 2: Sinh viên gửi đơn cho CVHT của mình để được tư vấn và xét duyệt, sau đó nộp đơn về VP Viện để được tiếp nhận và xử lý.
</t>
    </r>
    <r>
      <rPr>
        <u/>
        <sz val="11"/>
        <color rgb="FF1155CC"/>
        <rFont val="Calibri"/>
      </rPr>
      <t>https://kdtqt.duytan.edu.vn/Home/ArticleDetail/vn/61/5988/mau-don-xin-chuyen-truong</t>
    </r>
    <r>
      <rPr>
        <sz val="11"/>
        <color theme="1"/>
        <rFont val="Calibri"/>
        <scheme val="minor"/>
      </rPr>
      <t xml:space="preserve"> </t>
    </r>
  </si>
  <si>
    <t>Muốn chuyển đến trường làm sao đây ?</t>
  </si>
  <si>
    <t>Đơn xin chuyển trường viết thế nào ?</t>
  </si>
  <si>
    <t>Cách làm đơn xem xét tham dự tốt nghiệp đtqt ?</t>
  </si>
  <si>
    <t>Đơn để xét tham dự kháo luận là gì ?</t>
  </si>
  <si>
    <r>
      <t xml:space="preserve">Mẫu đơn xét tham dự Tốt nghiệp (download file đính kèm) . (dành cho sinh viên đăng ký xét tham gia các hình thức tốt nghiệp như: thực tập, khoá luận, đồ án, thi tốt nghiệp,....)1. Đối với đơn tham dự tốt nghiệp (Khóa cũ về tham dự)
Các bước để tham dự và xét tốt nghiệp:
Bước 1: Sinh viên tải mẫu đơn về điền đầy đủ thông tin vào (theo từng thể loại đăng ký).
Bước 2: Liên hệ Công an địa phương (phường, xã) nơi cư trú hoặc nơi công tác để xác nhận về tư cách công dân.
Bước 3: Nộp file gốc về VP trường ĐTQT (Phòng 201  - Hòa Khánh Nam tòa nhà G) để tiếp nhận và xử lý đơn.
*** Sinh viên tốt nghiệp "sớm" chỉ cần điền vào đơn và nộp về VP Viện.
Lưu ý: sinh viên theo dõi trên fanpage trường để nộp đúng hạn vì con dấu chỉ có hiệu lực 1 tháng kể từ ngày đóng dấu.
</t>
    </r>
    <r>
      <rPr>
        <u/>
        <sz val="11"/>
        <color rgb="FF1155CC"/>
        <rFont val="Calibri"/>
      </rPr>
      <t>https://kdtqt.duytan.edu.vn/Home/ArticleDetail/vn/61/5984/mau-don-xet-tham-du-tot-nghiep</t>
    </r>
    <r>
      <rPr>
        <sz val="11"/>
        <color theme="1"/>
        <rFont val="Calibri"/>
        <scheme val="minor"/>
      </rPr>
      <t xml:space="preserve"> </t>
    </r>
  </si>
  <si>
    <t>Cách làm đơn xét tham dự tốt nghiệp ?</t>
  </si>
  <si>
    <t>Điều kiện và cách hủy môn đã đăng ký ?</t>
  </si>
  <si>
    <t>Cách hủy môn tín chỉ ?</t>
  </si>
  <si>
    <r>
      <t xml:space="preserve">Điều kiện hủy môn:
- Trong 2 tuần đầu tiên của học kỳ
Cách làm đơn:
- Sinh viên cam kết sau khi Rút môn học phải đảm bảo đủ số tín chỉ tối thiểu của học kỳ. 
cách làm đơn
Bước 1: Sinh viên tải mẫu đơn về điền đầy đủ thông tin vào.
Bước 2: Sinh viên gửi đơn cho CVHT của mình để được tư vấn và xét duyệt, sau đó nộp đơn về VP Viện để được tiếp nhận và xử lý.
</t>
    </r>
    <r>
      <rPr>
        <u/>
        <sz val="11"/>
        <color rgb="FF1155CC"/>
        <rFont val="Calibri"/>
      </rPr>
      <t>https://kdtqt.duytan.edu.vn/Home/ArticleDetail/vn/61/5982/mau-don-xin-rut-bot-hoc-phan-dang-ky</t>
    </r>
    <r>
      <rPr>
        <sz val="11"/>
        <color theme="1"/>
        <rFont val="Calibri"/>
        <scheme val="minor"/>
      </rPr>
      <t xml:space="preserve"> </t>
    </r>
  </si>
  <si>
    <t>Cách hủy lý thuyết môn hóa ?</t>
  </si>
  <si>
    <t>Cách hủy thực hành môn hóa</t>
  </si>
  <si>
    <t>cách rút tín chỉ ?</t>
  </si>
  <si>
    <t>Làm sao để rút môn học ?</t>
  </si>
  <si>
    <t>Khi nào nhận được thông báo ?</t>
  </si>
  <si>
    <t>Sao tôi chưa nhận được thông báo ?</t>
  </si>
  <si>
    <t>Để biết được đơn từ của sv thành công không, sv phải kiểm tra trên mydtu, hoặc Phòng đào tạo sẽ thông báo đến sv hoặc giảng viên CVHT</t>
  </si>
  <si>
    <t>Có vấn đề gì với đơn từ tôi, mà tôi chưa nhận được thông báo ?</t>
  </si>
  <si>
    <t>Thông tin về ký túc xá duy tân ?</t>
  </si>
  <si>
    <t>Trường có xây kí túc xá trong tương lai không?</t>
  </si>
  <si>
    <r>
      <rPr>
        <sz val="11"/>
        <color theme="1"/>
        <rFont val="Calibri"/>
      </rPr>
      <t xml:space="preserve">Ký Túc xá sinh viên DMC 579 Đà Nẵng (với 2 cơ sở tại quận Liên Chiểu và quận Ngũ Hành Sơn) được đánh giá là một Ký Túc xá hiện đại với hệ thống các block chung cư 5 tầng được xây dựng đồng bộ với các công trình hạ tầng kỹ thuật khác Ngoài việc được sinh hoạt và học tập trong một môi trường chất lượng, khi đăng ký vào ở tại Ký Túc xá , sinh viên Đại học Duy Tân còn được quản lý nội trú bằng hệ thống tự động rất an toàn. Sinh viên Duy Tân cũng sẽ được tham gia các hoạt động xã hội và tìm kiếm cơ hội việc làm trong các hoạt động của Ký Túc xá.
Thông tin chi tiết liên hệ: 0914082679 (Thầy Nguyễn Thôi) hoặc 0905120909 (Thầy Nguyễn Văn Thái)
</t>
    </r>
    <r>
      <rPr>
        <u/>
        <sz val="11"/>
        <color rgb="FF1155CC"/>
        <rFont val="Calibri"/>
      </rPr>
      <t>http://ktxdn.vn</t>
    </r>
    <r>
      <rPr>
        <sz val="11"/>
        <color theme="1"/>
        <rFont val="Calibri"/>
      </rPr>
      <t xml:space="preserve"> </t>
    </r>
  </si>
  <si>
    <t>Làm sao để đăng ký ktx ở duy tân</t>
  </si>
  <si>
    <t>Kí túc xá Duy Tân có cung cấp các dịch vụ hỗ trợ sinh viên như tư vấn học tập, y tế, hoặc tâm lý không?</t>
  </si>
  <si>
    <t>Kí túc xá Duy Tân có kế hoạch mở rộng hoặc xây mới trong tương lai không?</t>
  </si>
  <si>
    <t>Kí túc xá Duy Tân cung cấp những tiện nghi và dịch vụ gì cho sinh viên?</t>
  </si>
  <si>
    <t>Kí túc xá duy tân ở đâu ?</t>
  </si>
  <si>
    <t>Để đăng ký ở kí túc xá Duy Tân, sinh viên cần chuẩn bị những giấy tờ và thủ tục gì?</t>
  </si>
  <si>
    <t>Ký túc xá duy tân xa không ?</t>
  </si>
  <si>
    <t>Văn phòng của Đào tạo quốc tế ở đâu?</t>
  </si>
  <si>
    <t>Văn phòng của cmu ở đâu?</t>
  </si>
  <si>
    <t>Tầng 2 tòa nhà G, cơ sở Hòa Khánh Nam, Hoàng Minh Thảo</t>
  </si>
  <si>
    <t>Khoa quốc tế nằm ở đâu vậy ạ?</t>
  </si>
  <si>
    <t>Văn phòng psu xa không ?</t>
  </si>
  <si>
    <t>Làm sao để liên hệ thầy cô?</t>
  </si>
  <si>
    <t>Làm sao để biết được thông tin giảng viên</t>
  </si>
  <si>
    <t>Thông tin giảng viên sẽ được đăng lên ở trang chủ của khoa hay viện giảng viên đó, phần NHÂN SỰ. 
Nếu là sinh viên, bạn có thể truy cập vào phần đánh giá giảng viên để lấy thông tin hoặc đê cương môn học
Sinh viên liên hệ với giảng viên giảng dạy môn đó khi gặp vấn đề đến điểm số học tập, xin nghỉ, cách nộp bài hay các vấn đề trong qua trình giảng dạy</t>
  </si>
  <si>
    <t>Thầy nam dạy môn toán số điện thoại là gì ?</t>
  </si>
  <si>
    <t>Điểm thành phần bị sai làm sao để liên hệ giảng viên ?</t>
  </si>
  <si>
    <t>Cách để xin giảng viên nghỉ</t>
  </si>
  <si>
    <t>Cách nộp bài?</t>
  </si>
  <si>
    <t>Tại sao điểm thi học kỳ hiện trễ vậy ?</t>
  </si>
  <si>
    <t>Quy tắc về nghỉ học và làm thế nào để xin nghỉ khi cần thiết?</t>
  </si>
  <si>
    <t>Cách nộp bài tập?</t>
  </si>
  <si>
    <t>cách làm bài tập ?</t>
  </si>
  <si>
    <t>Cách cập nhật điểm ?</t>
  </si>
  <si>
    <t>Thư viện hoạt động lúc mấy giờ?</t>
  </si>
  <si>
    <t>Duy tân có thư viện nào</t>
  </si>
  <si>
    <t>Thư viện duy tân là nơi sinh viên đến học tập, mượn sách hay học nhóm. Thời gian mở quy định:
7:00 AM - 9:00 PM từ thứ 2 đến thứ 7
7:00 AM - 5:00 PM chủ nhật
+ Cơ sở 254 Nguyễn Văn Linh (Tầng 6): Tài liệu đại cương, khối ngành kinh tế (quản trị kinh doanh, ngân hàng, kế toán,..)  và du lịch
+ Cơ sở 03 Quang Trung (Phòng 601): Tài liệu đại cương và các khối ngành xây dựng, kiến trúc, y dược, điều dưỡng, khoa học xã hội &amp; nhân văn, môi trường, công nghệ thông tin, điện tử viễn thông, ngoại ngữ,...
Để được sử dụng Thư viện, bạn đọc vui lòng mang theo Thẻ sinh viên. Đối với bạn đọc ngoài trường khi đến Thư viện xuất trình Thẻ CMND.Mọi chi tiết xin vui lòng liên hệ số điện thoại: 0511.3827111 (601); 0511.3650403 (105); Email: thuvienduytan@gmail.com</t>
  </si>
  <si>
    <t>Cần gì khi đến thư viện?</t>
  </si>
  <si>
    <t>Công dụng của thư viện trường ?</t>
  </si>
  <si>
    <t>Xem thông tin nghi học ở đâu?</t>
  </si>
  <si>
    <t>Thông tin về nghỉ học xem ở đâu ?</t>
  </si>
  <si>
    <r>
      <t xml:space="preserve">Thông tin về thay đổi lịch học do các sự kiện như thiên tai lũ lụ, lễ têt v.v. Các em theo dõi trên
Thông tin chi tiết liên hệ đến giảng viên giảng dạy môn đó hoặc CVHT
</t>
    </r>
    <r>
      <rPr>
        <u/>
        <sz val="11"/>
        <color rgb="FF1155CC"/>
        <rFont val="Calibri"/>
      </rPr>
      <t>https://www.facebook.com/khoadaotaoquocte</t>
    </r>
    <r>
      <rPr>
        <sz val="11"/>
        <color theme="1"/>
        <rFont val="Calibri"/>
        <scheme val="minor"/>
      </rPr>
      <t xml:space="preserve"> </t>
    </r>
  </si>
  <si>
    <t>Thông báo nghỉ học do bão là cô hay trường đăng lên ạ?</t>
  </si>
  <si>
    <t>Lấy thông tin nghỉ học do thiên tai như bão lũ lụt thì lấy ở đâu ?</t>
  </si>
  <si>
    <t>Khi nào lịch mới thay đổi ?</t>
  </si>
  <si>
    <t>Khi nào có lịch học mới vậy ạ?</t>
  </si>
  <si>
    <t>Sau khi kết thúc kết thúc kỳ thi giai đoạn hoặc, kết thúc thi kết thúc kỳ, trong 2 tuần, thì lịch sẽ được cập nhật</t>
  </si>
  <si>
    <t>Lịch học khi nào lên lớp ?</t>
  </si>
  <si>
    <t>Sinh viên năm nhất khi nào đi ngoại khóa hay thăm doanh nghiệp ?</t>
  </si>
  <si>
    <t>Trường có kế hoạch nào cho năm nhất đi thăm quan trải nghiệm các doanh nghiệp không?</t>
  </si>
  <si>
    <r>
      <t xml:space="preserve">Thông tin về các sự kiện hoạt động sẽ được CVHT thông báo hoặc theo dõi fanpage của trường 
</t>
    </r>
    <r>
      <rPr>
        <u/>
        <sz val="11"/>
        <color rgb="FF1155CC"/>
        <rFont val="Calibri"/>
      </rPr>
      <t>https://www.facebook.com/khoadaotaoquocte</t>
    </r>
  </si>
  <si>
    <t>Khi nào sinh viên năm nhất hay năm hai đi thăm có thể đi thăm doanh nghiệp ?</t>
  </si>
  <si>
    <t>Sinh viên có những hoạt động ngoại khóa và câu lạc bộ nào ?</t>
  </si>
  <si>
    <t>Có các cơ hội tham gia các hoạt động ngoại khóa và câu lạc bộ sinh viên không?</t>
  </si>
  <si>
    <r>
      <t>Duy tân có nhiều câu lạc bộ khác nhau, các em có thể liên hệ để đăng ký thông qua đường dẫn dưới đây.</t>
    </r>
    <r>
      <rPr>
        <sz val="11"/>
        <color rgb="FF000000"/>
        <rFont val="Calibri"/>
      </rPr>
      <t xml:space="preserve">
</t>
    </r>
    <r>
      <rPr>
        <u/>
        <sz val="11"/>
        <color rgb="FF0563C1"/>
        <rFont val="Calibri"/>
      </rPr>
      <t xml:space="preserve">https://www.facebook.com/100064349243516/posts/8051289508276832/
</t>
    </r>
    <r>
      <rPr>
        <sz val="11"/>
        <color theme="1"/>
        <rFont val="Calibri"/>
        <scheme val="minor"/>
      </rPr>
      <t xml:space="preserve">Ngoài ra còn có các hoạt động sự kiện sinh viên có thể theo dõi và tham gia trên fanpage của trường:
( </t>
    </r>
    <r>
      <rPr>
        <u/>
        <sz val="11"/>
        <color rgb="FF1155CC"/>
        <rFont val="Calibri"/>
      </rPr>
      <t>https://www.facebook.com/khoadaotaoquocte</t>
    </r>
    <r>
      <rPr>
        <sz val="11"/>
        <color theme="1"/>
        <rFont val="Calibri"/>
        <scheme val="minor"/>
      </rPr>
      <t xml:space="preserve"> )</t>
    </r>
  </si>
  <si>
    <t>trường mình có câu lạc bộ gì không ạ?</t>
  </si>
  <si>
    <t>Làm thế nào để tham gia vào các sự kiện và hoạt động cộng đồng của trường?</t>
  </si>
  <si>
    <t>Cách tham gia các sự kiện ở trưởng ?</t>
  </si>
  <si>
    <t>Cách tham gia các câu lạc bộ của trường ?</t>
  </si>
  <si>
    <t>trường mình có câu lạc bộ gì không và cách tham gia?</t>
  </si>
  <si>
    <t>chatbox được tạo nên bởi ai</t>
  </si>
  <si>
    <t>Ai tạo chatbot</t>
  </si>
  <si>
    <t>Chatbot được tạo bởi thầy Võ Đình Hiếu thuộc trường Đào tạo quốc tế, khoa CNPM CMU.
Với mục tiêu hỗ trợ giải đáp câu hỏi sinh viên và nâng cao công tác cố vấn học tập</t>
  </si>
  <si>
    <t>Mục đích, ý nghĩa tạo chatbot cố vấn</t>
  </si>
  <si>
    <t>Tạo sao tạo ra chatbot</t>
  </si>
  <si>
    <t>Điểm nổi bật chương trình CMU là gì ?</t>
  </si>
  <si>
    <t>Điểm nổi bật của chương trình CMU, của trường mình so với các trường khác là gì ạ ?</t>
  </si>
  <si>
    <t xml:space="preserve"> Chương trình Công nghệ phần mềm CMU/An ninh mạng CMU là chương trình nhập khẩu của đại học Carnegie Mellon, top 4 đào tạo IT của Mỹ. Đây là chương trình đã được kiểm định quốc tế của Mỹ, điều này có nghĩa là bằng tốt nghiệp từ các chương trình này được quốc tế công nhận, thuận lợi cho em có thể đi học cao hơn ở nước ngoài.
- Chương trình được tổ chức giảng dạy lớp học nhỏ, dưới 40 sinh viên 1 lớp (các chương trình đại trà là 70-100 sv/ lớp), lớp nhỏ giảng dạy chất lượng; được giảng dạy bởi đội ngũ giảng viên nhiều kinh nghiệm; được đào tạo từ CMU và các nước tiên tiến. GV tận tụy và tâm huyết.
- Về chương trình học thì như thầy/cô đã nói ban đầu, chương trình CMU là chương trình chuyển giao quốc tế, tất cả chương trình, giáo án, phương pháp dạy được chuyển giao từ  Carnegiee Mellon chứ không phải chương trình của Việt Nam.  Chương trình học CMU rất thực tiễn, đào tạo hướng kỹ năng và khả năng thích ứng với thực tiễn, được đánh giá cao trên toàn thế giới</t>
  </si>
  <si>
    <t>Làm thế nào để truy cập tài nguyên thư viện và nền tảng học trực tuyến?</t>
  </si>
  <si>
    <t>Làm thế nào để đăng ký và sử dụng các tiện ích và dịch vụ trên campus?</t>
  </si>
  <si>
    <t>Để truy cập vào được các ứng dụng hoặc nâng cao quyền hạn , các em đăng nhập vào email của DTU
MYDTU =&gt; Ứng dụng. Hoặc liên hệ CVHT để biết thêm chi tiết</t>
  </si>
  <si>
    <t>Em muốn dùng các ưng dụng miễn phí do nhà trường cung cấp ?</t>
  </si>
  <si>
    <t>Tài nguyên hay ứng dụng nào miễn phí ?</t>
  </si>
  <si>
    <t>Trường có phòng bàn tư vấn tâm lý không ?</t>
  </si>
  <si>
    <t>Có chương trình hỗ trợ tâm lý cho sinh viên không?</t>
  </si>
  <si>
    <t>Nếu có bất cứ vấn đề gì liên quan đến việc học hành giấy tờ, thông tin hoặc tấm lý sinh viên đầu tiên liên hệ với giảng viên cố vấn học tập</t>
  </si>
  <si>
    <t>Tâm lý em bất ổn tư vấn với ai ?</t>
  </si>
  <si>
    <t xml:space="preserve">Em bị vấn đề tâm lý nên liên hệ với ai ? </t>
  </si>
  <si>
    <t>Sinh viên học bao nhiêu kỳ ?</t>
  </si>
  <si>
    <t>Mình sẽ học bao nhiêu kỳ ?</t>
  </si>
  <si>
    <t>Sinh viên trường đào tạo quốc té sẽ học tổng cộng 4 năm, 8 kì chính thức hay bắt buộc, không tính học kì hè.
Số năm học sẽ dựa trên số tín chỉ cần hoàn thành trong năm.</t>
  </si>
  <si>
    <t>Sinh viên sẽ phải học mấy năm ?</t>
  </si>
  <si>
    <t>Cách xem lịch thi ?</t>
  </si>
  <si>
    <t>Làm sao để cập Nhật lịch thi nhanh nhất và có thông báo luôn hay sao hả thầy ? Tại em vô đào tạo gần cuối ngày thi thì bị mất danh sách thi luôn thầy , khung giờ thì theo thứ tự mà vẫn không có luôn thầy</t>
  </si>
  <si>
    <r>
      <t xml:space="preserve">Để xem lịch thi và kiểm tra danh sách thì.
Làm theo các bước sau:
Lịch thi:
</t>
    </r>
    <r>
      <rPr>
        <u/>
        <sz val="11"/>
        <color rgb="FF1155CC"/>
        <rFont val="Calibri"/>
      </rPr>
      <t>https://pdaotao.duytan.edu.vn/home/Default.aspx?lang=VN</t>
    </r>
    <r>
      <rPr>
        <sz val="11"/>
        <color theme="1"/>
        <rFont val="Calibri"/>
        <scheme val="minor"/>
      </rPr>
      <t xml:space="preserve"> 
- Truy cập vào đường link trên để đến thông báo phòng đào tạo</t>
    </r>
  </si>
  <si>
    <t>Lịch kiểm tra tìm ở đâu và khi nào có danh sách phòng thi?</t>
  </si>
  <si>
    <t>Cách xem lịch thi, phòng thi?</t>
  </si>
  <si>
    <t>Thông báo danh sách thi ở đâu?</t>
  </si>
  <si>
    <t>Ra trường thì có đi nghĩa vụ quân sự không ?</t>
  </si>
  <si>
    <t>Ra trường mà còn trong độ tuổi đi nghĩa vụ thì sao ạ?</t>
  </si>
  <si>
    <t xml:space="preserve"> Sinh viên trong độ tuổi thực hiện nghĩa vụ quân sự thì không được miễn mà chỉ có thể tạm hoãn. Thời gian tạm hoãn được tính trong một khóa đào tạo như 4 năm hay 6,7 với y và dược. Không tính các trường hợp học lại và bảo lưu
30 Luật Nghĩa vụ quân sự 2015:
Công dân đủ 18 tuổi được gọi nhập ngũ; độ tuổi gọi nhập ngũ từ đủ 18 tuổi đến hết 25 tuổi; công dân được đào tạo trình độ cao đẳng, đại học đã được tạm hoãn gọi nhập ngũ thì độ tuổi gọi nhập ngũ đến hết 27 tuổi.
Chừ khi em nằm trong trường hợp sau:
a) Con của liệt sĩ, con của thương binh hạng một;
b) Một anh hoặc một em trai của liệt sĩ;
c) Một con của thương binh hạng hai; một con của bệnh binh suy giảm khả năng lao động từ 81% trở lên; một con của người nhiễm chất độc da cam suy giảm khả năng lao động từ 81 % trở lên;
d) Người làm công tác cơ yếu không phải là quân nhân, Công an nhân dân;
đ) Cán bộ, công chức, viên chức, thanh niên xung phong được điều động đến công tác, làm việc ở vùng có điều kiện kinh tế - xã hội đặc biệt khó khăn theo quy định của pháp luật từ 24 tháng trở lên.
</t>
  </si>
  <si>
    <t xml:space="preserve">Đi học có bị kêu nghãi vự quân sự không? </t>
  </si>
  <si>
    <t>Làm sao để miễn nghĩa vự quân sự ?</t>
  </si>
  <si>
    <t>Ra trường có bị kêu nghĩa vụ quân sự không ?</t>
  </si>
  <si>
    <t>Cách làm lại thẻ sinh viên?</t>
  </si>
  <si>
    <t>Mất thẻ sinh viên thì làm lại như thế nào?</t>
  </si>
  <si>
    <t>Để làm lại thẻ sinh viên các em đến Phòng công tác sinh viên tầng 2 Quang Trung để nộp tiền và làm lại thẻ</t>
  </si>
  <si>
    <t>Làm rơi thẻ sinh viên làm sao để làm lại ?</t>
  </si>
  <si>
    <t>Em bị hư thẻ rồi làm sao để làm</t>
  </si>
  <si>
    <t>Tìm thông tin nộp thẻ giữ xe ở đâu?</t>
  </si>
  <si>
    <t>cách nộp tiền thẻ giữ xe?</t>
  </si>
  <si>
    <r>
      <t xml:space="preserve">Trường Đại học Duy Tân thông báo v/v triển khai hệ thống thanh toán giữ xe bằng thẻ SV:
       ⏰ Thời gian áp dụng hệ thống giữ xe: bắt đầu từ ngày 25/03/2024
       ⏰ Thời gian SV có thể nạp tiền vào tài khoản định danh cá nhân: từ ngày thông báo
       ✅ Mức phí giữ xe: xe máy/xe máy điện 2.000 đồng/lượt, xe đạp miễn phí
       ✅ Thời gian giữ xe: trong ngày từ 6h00 đến 21h00, không giữ xe qua đêm
👉 Sinh viên xem hướng dẫn cách nạp tiền tại:
( </t>
    </r>
    <r>
      <rPr>
        <u/>
        <sz val="11"/>
        <color rgb="FF1155CC"/>
        <rFont val="Calibri"/>
      </rPr>
      <t>https://is.duytan.edu.vn/announcements/thong-bao-vv-huong-dan-nop-tien-giu-xe-vao-vi</t>
    </r>
    <r>
      <rPr>
        <sz val="11"/>
        <color theme="1"/>
        <rFont val="Calibri"/>
        <scheme val="minor"/>
      </rPr>
      <t xml:space="preserve"> )</t>
    </r>
  </si>
  <si>
    <t>Khi nào nộp tiền giữ xe ?</t>
  </si>
  <si>
    <t>Cách thanh toán tiên giữ xe ?</t>
  </si>
  <si>
    <t>Cách sử dụng mydtu ?</t>
  </si>
  <si>
    <t>Cách sử tối ưu mydtu?</t>
  </si>
  <si>
    <t>Để sử dụng mydtu các em đăng nhập vào mydtu chọn mục =&gt; Hướng dẫn Sử dụng MyDTU</t>
  </si>
  <si>
    <t>Có tài liệu hướng dẫn sử dụng mdytu không ?</t>
  </si>
  <si>
    <t>Chương trình CMU có phải du học tại chỗ ?</t>
  </si>
  <si>
    <t>Bằng tốt nghiệp các ngành thuộc trường Đào tạo Quốc tế thì nước ngoài cấp phải không?</t>
  </si>
  <si>
    <t>Chương trình Công nghệ phần mềm CMU/An ninh mạng CMU là chương trình chuyển giao từ đại học Carnegie Mellon, top 4 đào tạo IT của Mỹ. Đây là chương trình đã được kiểm định quốc tế của Mỹ, điều này có nghĩa là bằng tốt nghiệp từ các chương trình này được quốc tế công nhận, thuận lợi cho em có thể đi học cao hơn ở nước ngoài.</t>
  </si>
  <si>
    <t>Bằng CMU có phải của nước ngoài ?</t>
  </si>
  <si>
    <t>Làm sao để lấy thông tin trường</t>
  </si>
  <si>
    <t>Fanpage của trường mình là page nào?</t>
  </si>
  <si>
    <t>Thông tin về các sự kiện hoạt động sẽ được CVHT thông báo hoặc theo dõi fanpage của trường 
https://www.facebook.com/khoadaotaoquocte</t>
  </si>
  <si>
    <t>Thông tin về fan page trường</t>
  </si>
  <si>
    <t>Thông tin về các đơn từ và cập nhật mới nhât ở đầu</t>
  </si>
  <si>
    <t>Làm sao để theo dõi các sự kiện của trường</t>
  </si>
  <si>
    <t>Hỏi về thời hạn đào tạo, thời hạn nộp các loại đơn từ, thời hạn các chương trình, thông báo, kế hoạch của nhà trường.</t>
  </si>
  <si>
    <t xml:space="preserve">Làm sao để mua áo quần thể dục ? </t>
  </si>
  <si>
    <t>Mua áo quần thể dục ở đâu ?</t>
  </si>
  <si>
    <t>Thầy ơi muốn mua đồ thể dục thì mua ở đâu vậy thầy</t>
  </si>
  <si>
    <t>Đồng phục trường mình có giá bao nhiêu?</t>
  </si>
  <si>
    <t>Trường có hỗ trợ tìm trọ không ?</t>
  </si>
  <si>
    <t>Muốn tìm trọ liên lạc với ai ?</t>
  </si>
  <si>
    <t>Sinh viên mong muốn tìm trọ khi ngày đầu nhập học liên hệ với đoàn thanh niên duy tân để nhận hỗ trợ</t>
  </si>
  <si>
    <t>Tìm trọ liên hệ với ai ở trường ?</t>
  </si>
  <si>
    <t>Tìm trọ ở đâu đây</t>
  </si>
  <si>
    <t>Cơ hội du học và thực tập nước ngoài ?</t>
  </si>
  <si>
    <t>Học các ngành thuộc Trường Đào tạo Quốc tế thì có được đi trao đổi ở nước ngoài không?</t>
  </si>
  <si>
    <t>Trường có cung cấp cơ hội thực tập hoặc làm việc với các công ty công nghệ phần mềm hàng đầu không?</t>
  </si>
  <si>
    <t>Trường Đại học Quốc tế thường duy trì mối quan hệ chặt chẽ với doanh nghiệp để tạo cơ hội việc làm và thực tập cho sinh viên năm 3 và năm 4. Dưới đây là một số cách mà trường có thể hợp tác với doanh nghiệp để cung cấp cơ hội cho sinh viên:
Tổ chức Job Fair và seminar phỏng vấn: Trường có thể tổ chức các sự kiện như Job Fair hoặc seminar phỏng vấn hàng năm, nơi các doanh nghiệp có thể tìm kiếm và tuyển dụng sinh viên tài năng. Đây là cơ hội tốt để sinh viên gặp gỡ và làm quen với các nhà tuyển dụng.
Chương trình thực tập quốc tế: Trường có thể hợp tác với các doanh nghiệp để cung cấp các chương trình thực tập quốc tế cho sinh viên. Các chương trình này có thể bao gồm cả thực tập và làm việc tại các công ty ở nhật hay hàn.
Hỗ trợ du học và làm việc nước ngoài: Trường có thể cung cấp thông tin và hỗ trợ cho sinh viên muốn du học hoặc làm việc ở nước ngoài. Điều này có thể bao gồm việc tư vấn về các chương trình du học, cơ hội thực tập hoặc việc làm, và các thủ tục xin visa.
Xây dựng mạng lưới liên kết: Trường có thể xây dựng mạng lưới liên kết với các doanh nghiệp trong và ngoài nước để tạo ra các cơ hội thực tập và việc làm cho sinh viên. Điều này có thể thông qua việc thiết lập các chương trình hợp tác, hội thảo và sự kiện networking.</t>
  </si>
  <si>
    <t>Cơ hội việc làm sau nào như thế nào ạ ?</t>
  </si>
  <si>
    <t>Nên chọn công ty nào để thực tập trong ngành IT ?</t>
  </si>
  <si>
    <t>Làm thế nào để đăng ký thực tập ngắn hạn hoặc chương trình thực tập nghề nghiệp?</t>
  </si>
  <si>
    <t>Học xong ra trường có việc làm không? Và lương bao nhiêu?</t>
  </si>
  <si>
    <t>học xong ngành công nghệ phần mềm thì nên chọn công ty nào để vào thực tập hiệu quả?</t>
  </si>
  <si>
    <t>Có cơ hội thực tập hoặc tham gia dự án nghiên cứu không?</t>
  </si>
  <si>
    <t>Sau khi tốt nghiệp DTU thì mình sẽ thực tập ở đâu?</t>
  </si>
  <si>
    <t>Ngành Kỹ Thuật Phần Mềm học năm thứ mấy là có thể tự tin đi test thực tập ?</t>
  </si>
  <si>
    <t>Ngành IT khi nào nên đi thực tập ?</t>
  </si>
  <si>
    <t>Học phí ngành CMU thuộc trường đào tạo quốc tế là bao nhiêu ?</t>
  </si>
  <si>
    <t>Làm thế nào để biết tổng chi phí học phí của một năm học tại trường Đại học Duy Tân cho sinh viên tham gia chương trình CMU?</t>
  </si>
  <si>
    <r>
      <rPr>
        <sz val="11"/>
        <color theme="1"/>
        <rFont val="Calibri"/>
      </rPr>
      <t xml:space="preserve">Chương trình CMU (Carnegie Mellon University) bao gồm 3 ngành tương ứng với mức học phí một kì không chênh lệch nhau. Cập nhật mới nhất K29 (2023-2024) là
- Công nghệ phần mềm: 16,000,000 VND
- Bảo mật mạng: 16,000,000 VND
- Hệ thống thông tin: 16,000.000 VND
</t>
    </r>
    <r>
      <rPr>
        <sz val="11"/>
        <color rgb="FFFF0000"/>
        <rFont val="Calibri"/>
      </rPr>
      <t xml:space="preserve">Thông tin chi tiết về học phí, tín chỉ dưới đây:
</t>
    </r>
    <r>
      <rPr>
        <sz val="11"/>
        <color theme="1"/>
        <rFont val="Calibri"/>
      </rPr>
      <t xml:space="preserve">( </t>
    </r>
    <r>
      <rPr>
        <u/>
        <sz val="11"/>
        <color rgb="FF1155CC"/>
        <rFont val="Calibri"/>
      </rPr>
      <t>https://drive.google.com/file/d/1gFE3lRo-eTtYRQvMn_IxIsrjzHVLDxr7/view?usp=sharing</t>
    </r>
    <r>
      <rPr>
        <sz val="11"/>
        <color theme="1"/>
        <rFont val="Calibri"/>
      </rPr>
      <t xml:space="preserve"> )</t>
    </r>
  </si>
  <si>
    <t>Trong số các chương trình đào tạo quốc tế tại Đại học Duy Tân, chương trình CMU có mức học phí nào là cao nhất?</t>
  </si>
  <si>
    <t>Chi phí học phí cho một học kỳ của chương trình CMU tại trường Đại học Duy Tân là bao nhiêu?</t>
  </si>
  <si>
    <t>Học phí ngành Công nghệ Phần mềm tại CMU là bao nhiêu?</t>
  </si>
  <si>
    <t>Học phí của ngành Công nghệ Phần mềm ở Carnegie Mellon University là bao nhiêu?</t>
  </si>
  <si>
    <t>Cần phải trả bao nhiêu tiền để học ngành Công nghệ Phần mềm tại CMU?</t>
  </si>
  <si>
    <t>Chi phí học phí hàng năm cho sinh viên ngành Công nghệ Phần mềm ở CMU là bao nhiêu?</t>
  </si>
  <si>
    <t>Học phí chương trình trình CMU ngành Hệ thống Thông tin là bao nhiêu?</t>
  </si>
  <si>
    <t>Ngành Hệ thống Thông tin tại CMU có chi phí học là bao nhiêu?</t>
  </si>
  <si>
    <t>Chi phí học của chương trình Hệ thống Thông tin tại CMU là bao nhiêu tiền?</t>
  </si>
  <si>
    <t>Chương trình CMU của trường đào tạo quốc tế có học phí là bao nhiêu?</t>
  </si>
  <si>
    <t>Trong trường đào tạo quốc tế, chương trình CMU có mức học phí là bao nhiêu?</t>
  </si>
  <si>
    <t>Học phí của chương trình CMU tại trường đào tạo quốc tế là bao nhiêu?</t>
  </si>
  <si>
    <t>Chương trình CMU của trường đào tạo quốc tế có chi phí học là bao nhiêu tiền?</t>
  </si>
  <si>
    <t>Chi phí học của chương trình CMU tại trường đào tạo quốc tế là bao nhiêu?</t>
  </si>
  <si>
    <t>Chương trình CMU tại trường đào tạo quốc tế có học phí cao nhất trong các chương trình khác không?</t>
  </si>
  <si>
    <t>Mức học phí của chương trình CMU trong trường đào tạo quốc tế so với các chương trình khác như thế nào?</t>
  </si>
  <si>
    <t>Bao nhiêu tiền là học phí cho chương trình CMU ngành Bảo mật Mạng?</t>
  </si>
  <si>
    <t>Chi phí học của chương trình Bảo mật Mạng tại CMU là bao nhiêu?</t>
  </si>
  <si>
    <t>Học phí của ngành Bảo mật Mạng trong chương trình CMU là bao nhiêu?</t>
  </si>
  <si>
    <t>Ngành Bảo mật Mạng trong chương trình CMU có mức học phí là bao nhiêu tiền?</t>
  </si>
  <si>
    <t>Trong các chương trình đào tạo của CMU, ngành Bảo mật Mạng có chi phí học là bao nhiêu?</t>
  </si>
  <si>
    <t>Bảo mật Mạng là một trong những ngành của CMU có chi phí học là bao nhiêu?</t>
  </si>
  <si>
    <t>Học phí của chương trình Bảo mật Mạng tại CMU so với các ngành khác như thế nào?</t>
  </si>
  <si>
    <t>Học phí của ngành Hệ thống Thông tin trong chương trình CMU là bao nhiêu?</t>
  </si>
  <si>
    <t>Hệ thống Thông tin là một trong những ngành của CMU có chi phí học bao nhiêu?</t>
  </si>
  <si>
    <t>Trong số các ngành trong chương trình CMU, ngành Hệ thống Thông tin có mức học phí là bao nhiêu?</t>
  </si>
  <si>
    <t>Hệ thống Thông tin tại CMU có chi phí học cao nhất trong các chương trình khác không?</t>
  </si>
  <si>
    <t>Thông tin về các loại học phí, phí học kỳ và cách thanh toán ?</t>
  </si>
  <si>
    <t>Học phí An ninh mạng CMU của trường?</t>
  </si>
  <si>
    <t xml:space="preserve">Học phí chương trình trình CMU ngành hệ thống thông tin bao nhiêu </t>
  </si>
  <si>
    <t>Học phí của kỳ học ngành CMU bao nhiêu ?</t>
  </si>
  <si>
    <t>Ngoài học phí thì còn phí gì trong quá trình học không ?</t>
  </si>
  <si>
    <t>Các chi phí khi học tại trường ?</t>
  </si>
  <si>
    <t>Khi nhập học vào trường em sẽ đóng học phí kì một năm một và trong qua trình học chỉ có đóng thêm  trang phục thể dục  và BHYT.</t>
  </si>
  <si>
    <t>Ngoài học phí thì còn phí gì trong quá trình học ngành CMU không ?</t>
  </si>
  <si>
    <t>Các phụ phsi đi kèm nào không ?</t>
  </si>
  <si>
    <t>Học duy tân nhiều tiền không ?</t>
  </si>
  <si>
    <t>Học phí trường đào tạo quốc tế là bao nhiêu ?</t>
  </si>
  <si>
    <t>Chi tiết học phí ngành PSU?</t>
  </si>
  <si>
    <r>
      <rPr>
        <sz val="11"/>
        <color theme="1"/>
        <rFont val="Calibri"/>
      </rPr>
      <t xml:space="preserve">Trường đào tạo quốc tế bao gồm 3 chương trình
CMU (Carnegie Mellon University) cập nhật mới nhất K29 (2023-2024) là
- Công nghệ phần mềm: 16,000,000 VND
- Bảo mật mạng: 16,000,000 VND
- Hệ thống thông tin: 16,000.000 VND
Đại học Penn State bao gồm 3 ngành:
- Quản trị kinh doanh : 15.020.000
-Tài chính - ngân hàng : 13.980.000
- Kế toán kiểm toán :13.980.000
 California State University Fullerton :
- Xây dựng dân dụng : 13.020.000
- Kiến trức công trình : 13.020.000
Thông tin chi tiết về học phí, tín chỉ dưới đây:
( </t>
    </r>
    <r>
      <rPr>
        <u/>
        <sz val="11"/>
        <color rgb="FF1155CC"/>
        <rFont val="Calibri"/>
      </rPr>
      <t>https://drive.google.com/file/d/1gFE3lRo-eTtYRQvMn_IxIsrjzHVLDxr7/view?usp=sharing</t>
    </r>
    <r>
      <rPr>
        <sz val="11"/>
        <color theme="1"/>
        <rFont val="Calibri"/>
      </rPr>
      <t xml:space="preserve"> )</t>
    </r>
  </si>
  <si>
    <t>trường có thu thêm học phí ?</t>
  </si>
  <si>
    <t>Học phí của kỳ học bao nhiêu ?</t>
  </si>
  <si>
    <t>CSU học phí bao nhiêu ?</t>
  </si>
  <si>
    <t>Học phí có tăng theo từng năm không ?</t>
  </si>
  <si>
    <t>Có sự thay đổi về chi phí học của chương trình CMU tại trường đào tạo quốc tế không?</t>
  </si>
  <si>
    <r>
      <rPr>
        <sz val="11"/>
        <color theme="1"/>
        <rFont val="Calibri"/>
      </rPr>
      <t xml:space="preserve">Học phí trong cùng khóa đó sẽ không tăng , nhưng mỗi khóa sẽ có sẽ có sự chênh lệch riêng. Như khóa K26 và K28 sẽ có mức học phí riêng
Tuy nhiên mức tăng sẽ không quá 10%.
Thông tin chi tiết
 ( </t>
    </r>
    <r>
      <rPr>
        <u/>
        <sz val="11"/>
        <color rgb="FF1155CC"/>
        <rFont val="Calibri"/>
      </rPr>
      <t>https://khoaxaydung.duytan.edu.vn/media/87217/ve-viec-thu-nop-hoc-phi-cua-truong-dai-hoc-duy-tan-thang-12-2022.pdf</t>
    </r>
    <r>
      <rPr>
        <sz val="11"/>
        <color theme="1"/>
        <rFont val="Calibri"/>
      </rPr>
      <t xml:space="preserve"> )</t>
    </r>
  </si>
  <si>
    <t>Chi phí học có thay đổi từ khi bắt đầu đến nay không?</t>
  </si>
  <si>
    <t>Chi phí học có tăng lên hay giảm đi so với những năm trước đó?</t>
  </si>
  <si>
    <t>Học phí ngành mình các khoá sau có tăng không ạ</t>
  </si>
  <si>
    <t>Năm sau trường có tăng học phí không ạ?</t>
  </si>
  <si>
    <t>Học phí có tăng theo từng kỳ, từng năm không?</t>
  </si>
  <si>
    <t>Học phí trường mình có cố định không thầy?</t>
  </si>
  <si>
    <t>Học phí ngành mình các khoá sau có tăng không ạ?</t>
  </si>
  <si>
    <t>Học phí có tăng không và cách kiểm tra thông tin học phí ?</t>
  </si>
  <si>
    <t>Vị trí của thông tin chi tiết về sự thay đổi học phí nằm ở đâu?</t>
  </si>
  <si>
    <t>Để cập nhật về thông tin học phí các em vào MYDTU, phần HỌC PHÍ và HÓA ĐƠN để biết được số tiền phải trả.
Hoặc liên hệ với CVHT để biết thêm chi tiết.
Học phí trong cùng khóa đó sẽ không tăng , nhưng mỗi khóa sẽ có sẽ có sự chênh lệch riêng. Như khóa K26 và K28 sẽ có mức học phí riêng
Tuy nhiên mức tăng sẽ không quá 10%.
Thông tin chi tiết
 ( https://khoaxaydung.duytan.edu.vn/media/87217/ve-viec-thu-nop-hoc-phi-cua-truong-dai-hoc-duy-tan-thang-12-2022.pdf )</t>
  </si>
  <si>
    <t>Có thể cho biết thông tin về học phí nằm vị  trí nào?</t>
  </si>
  <si>
    <t>Trường có cung cấp thông tin chi tiết về sự thay đổi này không?</t>
  </si>
  <si>
    <t>Có kế hoạch tăng học phí trong tương lai không và làm thế nào để sinh viên được thông báo trước?</t>
  </si>
  <si>
    <t>Có những nguồn thông tin nào mà tôi có thể tra cứu để biết thêm về sự thay đổi trong chi phí học của trường?</t>
  </si>
  <si>
    <t>Có thông tin cụ thể về sự thay đổi học phí này không?</t>
  </si>
  <si>
    <t>Tôi nên tìm thông tin về sự thay đổi học phí ở đâu thông tin nào?</t>
  </si>
  <si>
    <t>Tôi nên liên hệ với ai để biết thông tin chi tiết về sự thay đổi trong chi phí học?</t>
  </si>
  <si>
    <t>Cách để thanh toán học phí</t>
  </si>
  <si>
    <t>Trường có chấp nhận các phương thức thanh toán nào cho việc nộp học phí?</t>
  </si>
  <si>
    <t>1. Đối với Sinh viên các Khóa đang theo học tại Trường (ngoại trừ khóa K28 nhập học lần đầu theo Giấy gọi nhập học năm học 2022-2023):
- Nộp học phí theo thông tin hướng dẫn tại myduytan của học viên, sinh viên
- Chuyển khoản nộp học phí vào hệ thống các tài khoản Ngân hàng của Trường
- Nộp học phí bằng tiền mặt trực tiếp tại hệ thống các Ngân hàng theo thông tin mục 2 bên dưới. (Lưu ý: Không nộp tiền mặt trực tiếp tại Trường).
2. Thông tin Ngân hàng giao dịch học phí:
Học viên, sinh viên nộp học phí vào hệ thống tài khoản Ngân hàng của Trường theo các nội dung: Nộp tiền học phí Học kỳ ……cho sinh viên ……… Mã số SV: …………”
- Đơn vị thụ hưởng: TRƯỜNG ĐẠI HỌC DUY TÂN
a/ Ngân hàng Nông nghiệp và phát triển nông thôn Việt Nam (Agribank)
- Số tài khoản: 2007 2010 04621
- Tại ngân hàng: Nông nghiệp &amp; PTNT (Agribank) CN.Ông Ích Khiêm–Nam Đà Nẵng
Hoặc:
b/ Ngân hàng TMCP Công thương Việt Nam (Vietinbank)
- Số tài khoản: 1180 0018 1119
- Tại ngân hàng: Ngân hàng TMCP Công Thương (Vietinbank) CN Đà Nẵng</t>
  </si>
  <si>
    <t>Có hệ thống thanh toán trực tuyến nào được sử dụng để nộp học phí?</t>
  </si>
  <si>
    <t>Trường có hỗ trợ thanh toán học phí trực tuyến không?</t>
  </si>
  <si>
    <t>Có thể thanh toán học phí bằng tiền mặt tại truờng không?</t>
  </si>
  <si>
    <t>Nộp học phí ở đâu và nộp bao nhiêu?</t>
  </si>
  <si>
    <t>Cách nộp học phí?</t>
  </si>
  <si>
    <t>Học phí có được nộp bằng tiền mặt kể từ kỳ 2 hay không?</t>
  </si>
  <si>
    <t>Có chấp nhận thanh toán học phí bằng thẻ tín dụng hoặc thẻ ghi nợ không?</t>
  </si>
  <si>
    <t>Có thể nộp học phí muộn không ?</t>
  </si>
  <si>
    <t>Nộp muộn học phí có thể là bao lâu?</t>
  </si>
  <si>
    <t xml:space="preserve">Để Kết thúc thời gian thu học phí theo quy định trong học kỳ, Ban Đào tạo Sau đại học để tạm đóng tài khoản myDTU của SV chưa nộp học phí cho đến khi SV hoàn thành nghĩa vụ. SV nộp học phí muộn trong vòng 7 ngày kể từ ngày hết hạn theo quy định sẽ bị trừ điểm rèn luyện trong học kỳ tương ứng.
SV không đóng học phí sau 15 ngày kể từ ngày hết hạn nộp học phí theo quy định xem như tự ý bỏ học và phải nhận điểm F cho các học phần đã đăng ký.
Trong trường hợp có hoàn cảnh đặc biệt SV có đơn xin nộp muộn học phí, trường có ý kiến đồng ý và Hiệu trưởng/Phó Hiệu trưởng phụ trách phê duyệt.
Lưu ý: sinh viên phải liên hệ với CVHT nếu có bất cứ vấn đề gì để làm đơn xin gia hạn học phí 
</t>
  </si>
  <si>
    <t>Em chậm học phí 2 tháng có sao không?</t>
  </si>
  <si>
    <t>Hạn cuối để nộp học phí?</t>
  </si>
  <si>
    <t>Nộp muộn có bị gì không ?</t>
  </si>
  <si>
    <t>Làm đơn xin gia hạn thời gian nộp học phí ?</t>
  </si>
  <si>
    <t>Xét học bổng theo hình thức nào?</t>
  </si>
  <si>
    <t>Trường sẽ có học bổng đối với những sinh viên nào?</t>
  </si>
  <si>
    <r>
      <t xml:space="preserve">Trường Đại học Duy Tân ban hành các mức học bổng cho những thí sinh trúng tuyển vào các chương Tiên tiến &amp; Quốc tế của Trường Đại học Duy Tân năm 2024 như sau:
Cấp học bổng TOÀN PHẦN (100% học phí toàn khóa học) cho những thí sinh đăng ký vào học bất kỳ chuyên ngành nào của chương trình Tiên tiến &amp; Quốc tế CMU, PSU, CSU, PNU có tổng điểm xét tuyển 3 môn từ Kỳ thi THPT năm 2024 đạt từ 25 điểm trở lên, cụ thể:
gành Công nghệ Phần mềm chuẩn CMU: 5 Suất
Ngành An ninh Mạng chuẩn CMU: 5 Suất
Ngành Hệ thống Thông tin Quản lý chuẩn CMU: 5 Suất
Ngành Quản trị Kinh doanh chuẩn PSU: 5 Suất
Ngành Tài chính Ngân hàng chuẩn PSU: 5 Suất
Ngành Kế toán (&amp;Kiểm toán) chuẩn PSU: 5 Suất
Ngành Xây dựng Dân dụng &amp; Công nghiệp chuẩn CSU: 5 Suất
Ngành Kiến trúc Công trình chuẩn CSU: 5 Suất
Trong quá trình học sẽ có những bổng đứng đầu khóa hoặc đứng đầu toàn trường. Không chỉ thế còn có các học bỗng khác được các công ty hay doanh nghiệp tài trợ.
( </t>
    </r>
    <r>
      <rPr>
        <u/>
        <sz val="11"/>
        <color rgb="FF1155CC"/>
        <rFont val="Calibri"/>
      </rPr>
      <t>https://duytan.edu.vn/tuyen-sinh/Page/SchollashipViewDetail.aspx?id=90</t>
    </r>
    <r>
      <rPr>
        <sz val="11"/>
        <color theme="1"/>
        <rFont val="Calibri"/>
        <scheme val="minor"/>
      </rPr>
      <t xml:space="preserve"> )</t>
    </r>
  </si>
  <si>
    <t>Số điểm tối thiểu để được học bổng là bao nhiêu ?</t>
  </si>
  <si>
    <t>Học ở Duy Tân, có những loại học bổng nào, hằng năm có được xét học bổng cho sinh viên xuất sắc không?</t>
  </si>
  <si>
    <t>Có những nguồn tài trợ và hỗ trợ tài chính nào cho sinh viên?</t>
  </si>
  <si>
    <t>Làm thế nào để có học bổng?</t>
  </si>
  <si>
    <t xml:space="preserve">Trường Đại học Duy Tân có cung cấp các học bổng và trợ cấp học phí cho sinh viên không? </t>
  </si>
  <si>
    <t>Quy định về chính sách học bổng và cách đăng ký?</t>
  </si>
  <si>
    <t>Muốn đạt học bổng thì cần những điều kiện gì ạ ?</t>
  </si>
  <si>
    <t>Điều kiện cần và đủ để có học bổng của DTU là gì vậy ạ?</t>
  </si>
  <si>
    <t>Em cần chuẩn bị như thế nào để xin học bổng trong ngành này?</t>
  </si>
  <si>
    <t>Mydtu bị lỗi ?</t>
  </si>
  <si>
    <t>Đã nạp học phí cho trường nhưng vẫn bị khoá tài khoản do quên kèm mssv?</t>
  </si>
  <si>
    <t>Có bất cứ vấn đề gì liên quan đến MYDTU các em liên hệ đến Phòng đào tạo tầng 2 209 Phan thanh, liên hệ thầy Quang Huy để xử lý</t>
  </si>
  <si>
    <t>Nộp học phí trễ làm sao để mở mydtu ?</t>
  </si>
  <si>
    <t>Nộp học phí trễ thì làm sao để mở lại tài khoản mydtu ạ?</t>
  </si>
  <si>
    <t>Quên mật khẩu mydtu thì làm như thế nào ạ?</t>
  </si>
  <si>
    <t>Mydtu bị khóa làm sao để mở ?</t>
  </si>
  <si>
    <t>Mydtu cái số dư học phí còn thì e cần đóng học phí nữa k ạ?</t>
  </si>
  <si>
    <r>
      <t xml:space="preserve">Trường sẽ miễn giảm học phí đối với những trường hợp sau:
- Sinh viên có hộ khẩu ở phường xã đặc biệt khó khắn
- Sinh viên thuộc hộ diện nghoèo
- Sinh viên thuộc hộ diện nghoèo trong năm
- Sinh viên song bằng tại trường
- Sinh viên mồ côi gia đình hoặc mô côi (cha) mẹ trong diện nghoèo
- Sinh viên bị khuyết tật
- Con của thương binh liệt sĩ
- Có 2 anh em ruột cùng học tại trường
- Con em ruột cán bộ đang công tác tại trường
Nếu em thuộc các diện trên thì hãy liên hệ với CVHT để hướng dẫn làm giấy tờ .
Thông tin về miễn giảm học phí bạn có thể tham khảo vào đường link dưới đây,
( </t>
    </r>
    <r>
      <rPr>
        <u/>
        <sz val="11"/>
        <color rgb="FF0563C1"/>
        <rFont val="Calibri"/>
      </rPr>
      <t>https://hssv.duytan.edu.vn/Home/ArticleDetail/vn/165/1944</t>
    </r>
    <r>
      <rPr>
        <sz val="11"/>
        <color theme="1"/>
        <rFont val="Calibri"/>
        <scheme val="minor"/>
      </rPr>
      <t xml:space="preserve"> )</t>
    </r>
  </si>
  <si>
    <t>Trường có những chính sách hoặc chương trình nào nhằm hỗ trợ sinh viên có hoàn cảnh khó khăn không? Ví dụ như hỗ trợ cho chi phí ăn ở, sách vở, hay chi phí sinh hoạt hàng ngày?</t>
  </si>
  <si>
    <t>Em có giấy tờ hộ nghoèo làm sao để làm đơn miễm giảm ?</t>
  </si>
  <si>
    <t xml:space="preserve"> Làm đơn xin giảm học phí như nào thầy?</t>
  </si>
  <si>
    <t>Nhà trường có trợ cấp nào cho sinh viên không ?</t>
  </si>
  <si>
    <t>Cách tín tiền số tín chỉ ?</t>
  </si>
  <si>
    <t>Một chỉ bao nhiêu ?</t>
  </si>
  <si>
    <t>Để tín số tiền phải trả cho mỗi chỉ:
Tiền mỗi chỉ = 16 / học phí mỗi kỳ
Chi tiết 
( https://drive.google.com/file/d/1gFE3lRo-eTtYRQvMn_IxIsrjzHVLDxr7/view?usp=sharing )</t>
  </si>
  <si>
    <t>Số tiền phải trả một chỉ ?</t>
  </si>
  <si>
    <t>Làm sao để tính tiền một chỉ</t>
  </si>
  <si>
    <t>Số tín chỉ sinh viên phải trả là bao nhiêu ?</t>
  </si>
  <si>
    <t>Nộp học phí nhưng quên kèm theo thông tin cá nhân có bị sao không ?</t>
  </si>
  <si>
    <t>Quên ghi thông tin khi nôp học phí ?</t>
  </si>
  <si>
    <t xml:space="preserve">Những vấn đề liên quan đến việc đóng học phí sinh viên lên hệ đến Kế hoạch - Phòng tài chính 137 Nguyễn Văn Linh </t>
  </si>
  <si>
    <t>Làm sao lấy hóa đơn học phí ?</t>
  </si>
  <si>
    <t>Văn phòng nộp học phí ở đâu?</t>
  </si>
  <si>
    <t>Cách nộp học phí trực tiếp</t>
  </si>
  <si>
    <t>Em nộp thiếu làm sao để nộp tiếp ?</t>
  </si>
  <si>
    <t xml:space="preserve">bb </t>
  </si>
  <si>
    <t>Làm sao để đánh giá rèn luyện trên mydtu?</t>
  </si>
  <si>
    <t>đánh giá kết quả rèn luyện của sinh viên hk1 là mình tự làm hả?</t>
  </si>
  <si>
    <r>
      <rPr>
        <sz val="11"/>
        <color theme="1"/>
        <rFont val="Calibri"/>
      </rPr>
      <t xml:space="preserve">Để đánh giá điểm rèn luyện, bạn cần vào tùy chọn CỐ VẤN HỌC TẬP trên Mydtu và chọn Đánh giá rèn luyện. Chi tiết cách tự đánh giá bạn truy cập vào link sổ tay sinh viên dưới đây và tải file hướng dẫn
 ( </t>
    </r>
    <r>
      <rPr>
        <u/>
        <sz val="11"/>
        <color rgb="FF1155CC"/>
        <rFont val="Calibri"/>
      </rPr>
      <t>https://hssv.duytan.edu.vn/Home/ArticleDetail/vn/172/1879/)</t>
    </r>
  </si>
  <si>
    <t>Cách đánh giá điểm rèn luyện ?</t>
  </si>
  <si>
    <t>Em không biết đánh giá điểm rèn luyện ở đâu ?</t>
  </si>
  <si>
    <t>Đánh giá hoạt động là 10 hay 20 ?</t>
  </si>
  <si>
    <t>Mục đánh giá như thế nào ?</t>
  </si>
  <si>
    <t>Tham gia tình nguyện đánh giá bao nhiêu điểm rèn luyện ?</t>
  </si>
  <si>
    <t>Khi nào mở lại đánh giá rèn luyện vậy ?</t>
  </si>
  <si>
    <t>Không đánh giá rèn luyện trong 1 học kì có mở lại không?</t>
  </si>
  <si>
    <t>Thông tin về thời gian đánh giá điểm rèn luyện và bổ sung sẽ được thông báo trên FB của trường Đào tọa quốc tế ( https://www.facebook.com/khoadaotaoquocte )  hoặc thông báo giảng viên cố vấn.</t>
  </si>
  <si>
    <t>Bao giờ mình đăng kí bổ sung đánh giá rèn luyện lại vậy thầy</t>
  </si>
  <si>
    <t>Thời gian mở đánh giá rèn luyện ?</t>
  </si>
  <si>
    <t>Xem thời gian đánh giá bổ sung ở đâu?</t>
  </si>
  <si>
    <t>Chuyện gì xảy ra khi không đánh giá điểm rèn luyện ?</t>
  </si>
  <si>
    <t>Tại sao mình phải đánh giá điểm rèn luyện</t>
  </si>
  <si>
    <r>
      <t xml:space="preserve">Điểm hạnh kiểm kỳ đó sẽ xuống kém. Việc rèn luyện kém sẽ ảnh hưởng đến.
Đầu tiên đến xét duyệt học bổng, miễn giảm học phí, xét khen thưởng,
Ngoài ra nếu, sinh viên bị xếp loại rèn luyện yếu, kém trong hai học kỳ liên tiếp thì phải tạm ngừng học ít nhất một học kỳ ở học kỳ tiếp theo và nếu bị xếp loại rèn luyện yếu, kém hai học kỳ liên tiếp lần thứ hai thì sẽ bị buộc thôi học.
Thông tin chi tiết trong file đính kèm ( </t>
    </r>
    <r>
      <rPr>
        <u/>
        <sz val="11"/>
        <color rgb="FF1155CC"/>
        <rFont val="Calibri"/>
      </rPr>
      <t>https://hssv.duytan.edu.vn/Home/ArticleDetail/vn/163/2024</t>
    </r>
    <r>
      <rPr>
        <sz val="11"/>
        <color theme="1"/>
        <rFont val="Calibri"/>
        <scheme val="minor"/>
      </rPr>
      <t xml:space="preserve"> )</t>
    </r>
  </si>
  <si>
    <t xml:space="preserve"> Quên đánh giá rèn luyện có bị gì không thầy?</t>
  </si>
  <si>
    <t>Quên chấm điểm rèn luyện có ảnh hưởng điểm không ?</t>
  </si>
  <si>
    <t>Không khai báo ngoại trú đánh giá điểm rèn luyện được không ?</t>
  </si>
  <si>
    <t>Không khai báo ngoại trú có ảnh hưởng gì không ?</t>
  </si>
  <si>
    <r>
      <t xml:space="preserve">Bạn có thể đánh giá rèn luyện bỏ qua bước khai báo ngoại trú, tuy nhiên nhiên việc không khai báo sẽ ảnh hưởng đến điểm rèn luyện sinh viên cuối kỳ
Thông tin chi tiết trong file đính kèm ( </t>
    </r>
    <r>
      <rPr>
        <u/>
        <sz val="11"/>
        <color rgb="FF1155CC"/>
        <rFont val="Calibri"/>
      </rPr>
      <t>https://hssv.duytan.edu.vn/Home/ArticleDetail/vn/156/2146/</t>
    </r>
    <r>
      <rPr>
        <sz val="11"/>
        <color theme="1"/>
        <rFont val="Calibri"/>
        <scheme val="minor"/>
      </rPr>
      <t xml:space="preserve"> )</t>
    </r>
  </si>
  <si>
    <t>Không khai ngoại trú làm không chấm điểm rèn luyện được làm sao đây ?</t>
  </si>
  <si>
    <t>Khi nào mở khai báo ngoại trú ?</t>
  </si>
  <si>
    <t>Thời gian mở khai báo</t>
  </si>
  <si>
    <t>Thông tin về thời gian đánh giá điểm rèn luyện, khai báo ngoại trụ và bổ sung sẽ được thông báo trên FB của trường Đào tọa quốc tế ( https://www.facebook.com/khoadaotaoquocte )  hoặc thông báo từ giảng viên cố vấn.</t>
  </si>
  <si>
    <t>Làm sao để biết thời gian chấm điểm rèn luyện và khai báo ngoại trú ?</t>
  </si>
  <si>
    <t>Khi nào điểm rèn luyện mở ra ?</t>
  </si>
  <si>
    <t>Khai báo ngoại trú ở đâu ?</t>
  </si>
  <si>
    <t>Tích lũy điểm là gì?</t>
  </si>
  <si>
    <t>Làm sao để tích lũy điểm?</t>
  </si>
  <si>
    <t>Điểm trung bình tích lũy (GPA - Grade Point Average) là điểm để đánh giá thành tích học tập của sinh viên trong suốt thời gian học tập tại Trường.</t>
  </si>
  <si>
    <t>Điểm tích lũy là gi</t>
  </si>
  <si>
    <t>Điểm trung bình tích lũy</t>
  </si>
  <si>
    <t>Điểm quy đổi là gì?</t>
  </si>
  <si>
    <t>Cách để cải thiện điểm rèn luyện ?</t>
  </si>
  <si>
    <t>Khi em tham gia các hoạt động ngoại khác kiểu như hiến máu hay tham gia các cuộc thi cho trường mà vẫn không được cộng điểm thêm rèn luyyeenj làm cách nào để phản hồi để có thể cộng điểm rèn luyện ?</t>
  </si>
  <si>
    <r>
      <rPr>
        <sz val="11"/>
        <color rgb="FF000000"/>
        <rFont val="Calibri"/>
      </rPr>
      <t xml:space="preserve"> Điểm rèn luyện sẽ được cập nhật trong thời gian tự chấm điểm , sinh viên với năng nổ tham gia các hoạt dộng, học tập tốt sẽ được tăng điểm, tham gia BHYT, chấm điểm đúng hạn. Chi tiết mỗi mục ở đường link dưới đây 
( </t>
    </r>
    <r>
      <rPr>
        <u/>
        <sz val="11"/>
        <color rgb="FF1155CC"/>
        <rFont val="Calibri"/>
      </rPr>
      <t>https://hssv.duytan.edu.vn/Home/ArticleDetail/vn/163/1253</t>
    </r>
    <r>
      <rPr>
        <sz val="11"/>
        <color rgb="FF000000"/>
        <rFont val="Calibri"/>
      </rPr>
      <t xml:space="preserve"> )</t>
    </r>
  </si>
  <si>
    <t>Làm sao nâng cao điểm rèn luyện ?</t>
  </si>
  <si>
    <t>Một học kỳ gồm bao nhiêu chỉ ?</t>
  </si>
  <si>
    <t>Một sinh viên được phép đăng ký bao nhiêu tin chỉ 1 kỳ ?</t>
  </si>
  <si>
    <t>Số tín chỉ sinh viên đăng ký tối thiểu là 14 và tối đa là 20 + 1, bao gồm 20 chỉ các môn, với thêm 1 chỉ thể dục.
Riêng kì hè đăng kí tối đa là 12 chỉ</t>
  </si>
  <si>
    <t>Tối đa bao nhiêu tín chỉ một sinh viên có thể đăng ký trong một kỳ học?</t>
  </si>
  <si>
    <t>Giới hạn số tín chỉ cho mỗi kỳ học là bao nhiêu?</t>
  </si>
  <si>
    <t>Có hạn chế gì về số lượng tín chỉ mà một sinh viên có thể đăng ký trong một kỳ học không?</t>
  </si>
  <si>
    <t>Có bất kỳ hạn chế nào về số lượng tín chỉ mà một sinh viên có thể đăng ký không?</t>
  </si>
  <si>
    <t>Số tín chỉ tối thiểu là bao nhiêu ?</t>
  </si>
  <si>
    <t>Tôi có thể đăng kí 21 được không ?</t>
  </si>
  <si>
    <t>Tôi có thể đăng kí trên 21 được không ?</t>
  </si>
  <si>
    <t>Học kỳ hè đăng ký được tối đa bao nhiêu chỉ ?</t>
  </si>
  <si>
    <t>Học lại có ảnh hưởng đến điểm tổng không ?</t>
  </si>
  <si>
    <t>Điểm học lại sẽ tính như thế nào?</t>
  </si>
  <si>
    <t>Điểm của học phần học lại/cải thiện sẽ tính vào kỳ học lần thứ nhất, theo đó, hồ sơ của sinh viên sẽ được ghi nhận điểm của toàn bộ các lần học và điểm trung bình chung học tập/ trung bình chung tích lũy sẽ sử dụng điểm cao nhất trong tất cả các lần học của sinh viên.</t>
  </si>
  <si>
    <t>Em học lại môn điểm bị thấp hơn có làm sao không. Lấy điểm nào?</t>
  </si>
  <si>
    <t xml:space="preserve">Sinh viên cmu cần bao nhiêu chỉ để tốt nghiệp? </t>
  </si>
  <si>
    <t>Tổng một khoá học bao nhiêu tín chỉ</t>
  </si>
  <si>
    <t>Sinh viên chương trình tiên tiến CMU cần 163 tín chỉ để hoàn thành khóa học</t>
  </si>
  <si>
    <t>Bao nhiêu chứng chỉ là tốt nghiệp vậy thầy</t>
  </si>
  <si>
    <t>Những môn có lý thuyết và thực hành làm sao để học lại ?</t>
  </si>
  <si>
    <t>Mấy môn bị dính nhau làm thế nào để tách ra?</t>
  </si>
  <si>
    <t>Khi học sẽ có những môn đại cương có 2 phần lý thuyết và thực hành như hóa, lý đại cương.
2 phần này tách biệt nhau vì vậy sinh viên rớt phần nào thì học phần đó. 
Sau khi đăng ký môn trên sv làm đơn rút học phần hay hủy môn để rút lý thuyết hoặc thực hành</t>
  </si>
  <si>
    <t>Rớt môn hóa có cần học lại lý thuyết không ?</t>
  </si>
  <si>
    <t>Cách để hủy môn hóa lý thuyết ?</t>
  </si>
  <si>
    <t>Cách xóa môn hóa thực hành ?</t>
  </si>
  <si>
    <t>Cách để rút môn lý lý thuyết ?</t>
  </si>
  <si>
    <t>Điều kiện để hủy môn học hè ?</t>
  </si>
  <si>
    <t>Em đky hơi nhiều chỉ hè. bh em muốn làm đơn hủy bớt đko, hay bắt buộc học ạ.?</t>
  </si>
  <si>
    <t>Theo quy định nhà trường về học kỳ hè, sinh viên sau khi đăng ký học kì hè phải đi học và đóng học phí đầy đủ. 
- Sinh viên cần nộp học phí trong tuần đầu tiên sau khi hệ thống mydtu đã đóng và các lớp đã bắt - Mức học phí theo tín chỉ học kỳ hè không thay đổi so với Quy định thu học phí của năm học 2022-2023.
- Sinh viên học bổng toàn phần/bán phần cần đăng ký và nộp học phí theo số tín chỉ đã đăng ký. Sau học kỳ hè, cần nộp đơn xin tất toán học phí kèm theo biên lai thu học phí trước thời gian quy định để xét tất toán học phí. Sinh viên học trả nợ và học cải thiện điểm học phần không được xét tất toán học bổng.
- Nếu sinh viên nộp học phí không đúng quy định, sẽ chịu chế tài theo Quy định thu nộp học phí của trường.</t>
  </si>
  <si>
    <t>Lỡ đăng ký học hè mà không học được không ?</t>
  </si>
  <si>
    <t>Lỡ đăng ký môn học hè bây giờ hủy được không ?</t>
  </si>
  <si>
    <t>Sinh viên học bổng có cần nộp tiền học hè không ?</t>
  </si>
  <si>
    <t>Sau khi đăng ký có thể đổi môn bóng đá sang môn khác được không ?</t>
  </si>
  <si>
    <t xml:space="preserve"> muốn đổi môn bóng đá sang môn khác đc không ?</t>
  </si>
  <si>
    <t>Để đổi môn thể dục các em cần lên mydtu hủy môn và đăng ký lại môn khác.
Với điều kiện các lớp em đăng kí còn trống và trong thời gian đăng kí ( 2 tuần đầu tiên )</t>
  </si>
  <si>
    <t>Trường sắp xếp môn cho em là bóng đá mà em muốn đổi qua bóng chuyền được không ạ?</t>
  </si>
  <si>
    <t>Học môn trước trong hè thì có cần phải học lại không ?</t>
  </si>
  <si>
    <t>Hè này em đăng kí môn Writing 2 mà kì 1 năm 2 có môn thì em có cần phải học không ạ?</t>
  </si>
  <si>
    <t>Thông tin về học hè ?</t>
  </si>
  <si>
    <t>học kì hè có bắt buộc không?</t>
  </si>
  <si>
    <t>Mỗi năm sẽ bao gồm có 3 kỳ học bao gồm, kỳ xuân, kỳ thu và kỳ hè sinh viên các năm có thể đăng ký. Trong đó:
- Học kỳ hè sẽ dạy trong vòng 2 tháng, từ tháng  6 -7 hàng năm.
- Số tín chỉ tối đa học kỳ hè có thể đăng ký là 12 tín chỉ. Và sinh viên phải trả học phì theo từng chỉ một
- Đây không phải học kì chính thức vì vậy không bắt buộc, 
- Với học kì hè sinh viên phải chờ thông báo thời gian, tự đăng ký và nộp tiền.
* Thời gian đăng ký học kì hè sẽ được thông báo trên Fanpape của trường hoặc từ CVHT .</t>
  </si>
  <si>
    <t>Lịch học hè như nào ạ?</t>
  </si>
  <si>
    <t>Thời gian bắt đầu và kết thúc học kỳ hè?</t>
  </si>
  <si>
    <t>Cách đăng ký học kỳ hè?</t>
  </si>
  <si>
    <t>Kỳ hè trường mình có bao nhiêu tháng?</t>
  </si>
  <si>
    <t>Năm nhất có thể đăng kí học hè được không?</t>
  </si>
  <si>
    <t>Học hè là mình tự đăng kí phải không ạ?</t>
  </si>
  <si>
    <t>Học kì hè thì tính số tín và số tiền học phí như nào?</t>
  </si>
  <si>
    <t>Việc học hè sẽ đăng ký như thế nà</t>
  </si>
  <si>
    <t>Cách nộp học phí học kỳ hè ?</t>
  </si>
  <si>
    <t>Em muốn đăng ký 2,3 môn học triết học kỳ hè thì nộp tiền như nào?</t>
  </si>
  <si>
    <t>Điều kiện và cách đăng ký môn học trên mydtu?</t>
  </si>
  <si>
    <t>Làm thế nào để đăng ký các lớp học và kiểm tra tình trạng đăng ký?</t>
  </si>
  <si>
    <r>
      <t xml:space="preserve">Điều kiện:
- Sinh viên đã hoàn thành môn tiên quyết của môn đó
- Lớp em đăng ký đang mở và còn chỗ trống
- Số tín chỉ dư đủ với số tín chỉ môn yêu cầu
- Đang trong 2 tuần đầu tiền của tuần học
Nếu điều kiện trên thỏa mãn thì các em làm bước sau đễ đăng ký nhanh chóng:
- Bước 1: Tạo một file danh sách các lớp cần đăng ký và lưu mã lớp, đảm bảo các lớp không trùng nhau
- Bước 2: Lên Mydtu đúng khoảng thời gian đăng ký dán mã phần tìm kiếm và đăng ký
Lưu ý: luôn có lớp dự phòng, cho trường hợp đã đầy, nếu có bất cứ vấn đề gì liên hệ với CVHT để hỗ trợ ghép lớp 
Ưu tiên sinh viên năm 3- năm 4 và bị rớt môn tiên quyết
Đường dẫn tìm kiếm tình trạng lớp học
</t>
    </r>
    <r>
      <rPr>
        <u/>
        <sz val="11"/>
        <color rgb="FF1155CC"/>
        <rFont val="Calibri"/>
      </rPr>
      <t>https://courses.duytan.edu.vn/Sites/Home_ChuongTrinhDaoTao.aspx</t>
    </r>
    <r>
      <rPr>
        <sz val="11"/>
        <color theme="1"/>
        <rFont val="Calibri"/>
        <scheme val="minor"/>
      </rPr>
      <t xml:space="preserve"> 
Video hướng dẫn đăng ký
</t>
    </r>
    <r>
      <rPr>
        <u/>
        <sz val="11"/>
        <color rgb="FF1155CC"/>
        <rFont val="Calibri"/>
      </rPr>
      <t>https://youtu.be/ewTAJ3aHDUw?si=EL9GBLaKc7LvwjYT</t>
    </r>
    <r>
      <rPr>
        <sz val="11"/>
        <color theme="1"/>
        <rFont val="Calibri"/>
        <scheme val="minor"/>
      </rPr>
      <t xml:space="preserve"> )
</t>
    </r>
  </si>
  <si>
    <t>Cách đăng ký tín chỉ?</t>
  </si>
  <si>
    <t>Cách đăng kí môn học?</t>
  </si>
  <si>
    <t>Cách nào đăng ký tín chỉ nhanh hơn?</t>
  </si>
  <si>
    <t>cách đăng kí tín chỉ và video hd,cách huỷ lớp học để đăng kí lớp học khác?</t>
  </si>
  <si>
    <t>Cách để đăng ký tín chỉ?</t>
  </si>
  <si>
    <t>Điều kiện qua môn là gì ?</t>
  </si>
  <si>
    <t>Điểm bao nhiêu sẽ bị tính là rớt môn?</t>
  </si>
  <si>
    <t>Để được qua môn sinh viên phải thỏa mãn các điều kiện sau:
- Tổng số điểm phải trên 40%
- Phải tham gia kì thi cuối kỳ và đạt ít nhất trên một điểm
- Không tiêu cực trong quá trình thi
- Phải tham gia qua trình học tập
Ngược lại sinh viên sẽ bị đánh fail và yêu cầu học lại</t>
  </si>
  <si>
    <t>Làm sao để biết rớt môn ?</t>
  </si>
  <si>
    <t>bao nhiêu điểm rớt môn ?</t>
  </si>
  <si>
    <t>bao nhiêu điểm qua môn ?</t>
  </si>
  <si>
    <t>Em cần bao nhiêu điểm nữa là qua môn?</t>
  </si>
  <si>
    <t>Quên thi cuối kỳ có qua môn không ?</t>
  </si>
  <si>
    <t>Học hè có lợi gì ?</t>
  </si>
  <si>
    <t>Có nên học hè không ạ?</t>
  </si>
  <si>
    <t>Học kỳ hè sẽ dạy trong vòng 2 tháng, từ tháng  6 -7 hàng năm.
Số tín chỉ tối đa học kỳ hè có thể đăng ký là 12 tín chỉ.
Vì vậy để có thể ra trường sớm hoặc để ra trường đúng hạn đối với những sinh viên rớt môn thì nên đăng ký Học kỳ hè ?
Lưu ý: những môn trong hè đã học thì không cần học lại, do đó sinh viên cần hủy các môn đã học khi có lịch trùng HK xuân và thu</t>
  </si>
  <si>
    <t>Làm thế nào để ra trường sớm ạ?</t>
  </si>
  <si>
    <t>Làm sao để ra trường nhanh hơn thời hạn?</t>
  </si>
  <si>
    <t>Sinh viên học có thể tốt nghiệp sớm được không?</t>
  </si>
  <si>
    <t>Học học kỳ hè có thể tốt nghiệp sớm không ?</t>
  </si>
  <si>
    <t xml:space="preserve">Học thêm học kỳ hè thì vào có giảm số năm học không ạ? </t>
  </si>
  <si>
    <t>Rớt môn có thể ra trường đúng hạn không ?</t>
  </si>
  <si>
    <t>Em vẫn chưa hiểu về việc học lại khi rớt môn, ý em là ví dụ em rớt 1 môn thì em sẽ không được học với các bạn nữa à thầy, và em có được ra trường đúng hạn khi em học môn đó vào kì hè không ạ. ?</t>
  </si>
  <si>
    <t>Không học hè có tốt nghiệp đúng hạn không ?</t>
  </si>
  <si>
    <t>Nếu không học hè thì hè nên học những gì để trau phát triển tốt hơn ạ?</t>
  </si>
  <si>
    <t>Sinh viên phải học bao nhiêu học kỳ?</t>
  </si>
  <si>
    <t>Trường đăng kí hay sinh viên đăng ký tín chỉ ?</t>
  </si>
  <si>
    <t>Chương trình CMU, PSU VÀ CSU được đào tạo trong vòng 4 năm.
Mỗi năm bao gồm 3 kỳ học mỗi học kỳ 2 giai đoạn, 2 học kỳ chính thức và một học kỳ không bắt buộc
- Học kỳ xuân: 16 tuần học và 2 tuần thi
- Học kỳ thu: 16 tuần học và 2 tuần thi
- Học kỳ hè : 8 tuần học và 2 tuần thi ( không bắt buộc)
HK chính thức trường sẽ đăng ký tín chỉ theo đúng khung chương trình, HK hè sinh viên tự đăng ký</t>
  </si>
  <si>
    <t>Một học kỳ có mấy giai đoạn ?</t>
  </si>
  <si>
    <t>Một năm có bao nhiêu kỳ ?</t>
  </si>
  <si>
    <t>Thông tin về đào tạo đại học duy tân.</t>
  </si>
  <si>
    <t>trường đăng kí hay sinh viên tự đăng  kí tín chỉ ?</t>
  </si>
  <si>
    <t>Tại sao phải học hóa, lý toán, triết đại cương?</t>
  </si>
  <si>
    <t>Tại sao học đạo đức ?</t>
  </si>
  <si>
    <t>Trong quá trình học sẽ có những môn học do bộ giáo dục yêu cầu, đó là những môn  bắt buộc. Giúp cải thiện kiến thức tổng quan cho sinh viên</t>
  </si>
  <si>
    <t>Học lịch sử văn minh để làm gì ?</t>
  </si>
  <si>
    <t>học đường lối để làm gì ?</t>
  </si>
  <si>
    <t>Học IT sao phải học hóa</t>
  </si>
  <si>
    <t>Tại sao phải học hoá?</t>
  </si>
  <si>
    <t>Cách đăng kí môn học ?</t>
  </si>
  <si>
    <t>Tư vấn và hướng dẫn cách chọn môn học?</t>
  </si>
  <si>
    <t>Đầu tiên các em vào MYDTU, chọn khung dự kiến để tham khảo lịch.
- Chú ý các môn có mã CMU như CMUCS 303 , vì đó là môn chuyên ngành.
- Tiếp theo kiểm tra các điều kiện tiên quyết mỗi môn để biết được là nên đăng ký môn nào trước
- Vậy dựa trên năm giảng dạy, kì học và điều kiện tiên quyết để mở mông.
- Có thể hỏi CVHT để được tư vấn rõ ràng hơn về lộ trình</t>
  </si>
  <si>
    <t>Nên đăng kí môn chuyên ngành nào trước ạ?</t>
  </si>
  <si>
    <t>Cách chọn môn ?</t>
  </si>
  <si>
    <t>Nên học môn nào trước đây ?</t>
  </si>
  <si>
    <t>Môn nào học trước để tốt nghiệp sớm ?</t>
  </si>
  <si>
    <t>Cách để theo dõi tiến trình học tập ?</t>
  </si>
  <si>
    <t>Làm thế nào để đánh giá tiến trình học tập và làm thế nào để nhận phản hồi?</t>
  </si>
  <si>
    <t>Để theo dõi tiên dộ học tập các em vào MYDTU =&gt; học tập và xem các mục để biết thêm thông tin chi tiết</t>
  </si>
  <si>
    <t>Tôi muốn biết điểm, tình trạng học tập ?</t>
  </si>
  <si>
    <t>Khám sức khỏe bận có thể khám chung lớp khác được không ?</t>
  </si>
  <si>
    <t>bạn học tpm mà nay khám sức khỏe nhưng có việc bận,Thế bạn chuyển sang khám chung với lớp mình k cô.?</t>
  </si>
  <si>
    <t>Sinh viên bận việc đột xuất có thể sắp xếp tham xuất khác để khám tổng quát được</t>
  </si>
  <si>
    <t>Khám sức khỏe xuất khác đước không ?</t>
  </si>
  <si>
    <t>Có cần phải mặc áo trường qte khi học không thầy?</t>
  </si>
  <si>
    <t>trường có yêu thế nào về trang phục không ?</t>
  </si>
  <si>
    <t>yêu cầu trường trang phục gọn gàng, lịch sự theo đúng quy định (nam, nữ phải mặc Âu phục, không mặc áo thun, áo pul không có cổ, không mặc quần đùi, quần rách; đi giày hoặc dép có quai hậu. Nam thực hiện bỏ áo vào quần).</t>
  </si>
  <si>
    <t>mặc váy đi học được không ?</t>
  </si>
  <si>
    <t>Có thể đi dép đến trường</t>
  </si>
  <si>
    <t>Cách học tiếng anh</t>
  </si>
  <si>
    <t>Gợi ý cho tôi một vài web dạy free tiếng anh giao tiếp?</t>
  </si>
  <si>
    <r>
      <t xml:space="preserve">Để học tiếng anh đầu tiên cần xác định mình muốn đạt bao nhiêu 4.0 hay 6.0:
- Tiếp theo lựa chọn phương thức học trung tâm hay tự học, đây là bài toán về chi phí và dịch vụ, bạn nên tham khảo những thầy cô
-  Kiếm các web dạy miễn phí hoặc chia sẽ lộ trình 
Britishcouncil, Oxford Online English, bestmytest, Elllo
</t>
    </r>
    <r>
      <rPr>
        <u/>
        <sz val="11"/>
        <color rgb="FF1155CC"/>
        <rFont val="Calibri"/>
      </rPr>
      <t>https://langmaster.edu.vn/lo-trinh-tu-hoc-tieng-anh-tai-nha-hieu-qua-cho-nguoi-mat-goc</t>
    </r>
    <r>
      <rPr>
        <sz val="11"/>
        <color theme="1"/>
        <rFont val="Calibri"/>
        <scheme val="minor"/>
      </rPr>
      <t xml:space="preserve"> </t>
    </r>
  </si>
  <si>
    <t>Lộ trình tự học tiếng anh</t>
  </si>
  <si>
    <t>Nên học tiếng anh trung tâm hay tự học ?</t>
  </si>
  <si>
    <t>Những web học tiếng online miễn phí</t>
  </si>
  <si>
    <t>Học tiếng anh ở đâu?</t>
  </si>
  <si>
    <t>Quy định và quy chế về gian lận trong phòng thi</t>
  </si>
  <si>
    <t>Quy định về chính sách phòng chống gian lận trong kỳ thi?</t>
  </si>
  <si>
    <r>
      <t xml:space="preserve">Tùy theo mức độ hành vi tiêu cực mà sẽ có hình phạt khác nhau:
Thí sinh trao đổi bài sẽ bị lập biên bản
Bị cảnh cáo sẽ trừ 50% điểm bài thi
Tước quyền học 2 năm nếu vi phạm kỷ luật
thông tin chi tiết
</t>
    </r>
    <r>
      <rPr>
        <u/>
        <sz val="11"/>
        <color rgb="FF1155CC"/>
        <rFont val="Calibri"/>
      </rPr>
      <t>https://duytan.edu.vn/tuyen-sinh/Page/ArticleViewDetail.aspx?id=1217</t>
    </r>
    <r>
      <rPr>
        <sz val="11"/>
        <color theme="1"/>
        <rFont val="Calibri"/>
        <scheme val="minor"/>
      </rPr>
      <t xml:space="preserve"> </t>
    </r>
  </si>
  <si>
    <t>Gian lận bị gì không ?</t>
  </si>
  <si>
    <t>Mua sách giáo khoa ở đâu ?</t>
  </si>
  <si>
    <t>Những cuốn sách tham khảo cho từng môn đc mua hay in ở đâu?</t>
  </si>
  <si>
    <t>Sách giáo khoa , tài liệu và sách tham khảo sv hãy hỏi giảng viên giảng dạy môn đó. Thông thường sẽ được bán hoặc cho thuê ở thư viện trường và những chỗ photocopy</t>
  </si>
  <si>
    <t>Thuê sách ở đâu ?</t>
  </si>
  <si>
    <t>Cách liên hệ giảng viên cố vấn</t>
  </si>
  <si>
    <t>Làm thế nào để yêu cầu và nhận giúp đỡ từ giảng viên cố vấn?</t>
  </si>
  <si>
    <t>Các em liên hệ với giảng viên cố vấn qua zalo hoặc SĐT. 
Lưu ý: trong thời gian hành chính 7 giờ đến 21 giờ
- Lúc gọi hoặc nhắn tin, hãy giởi thiệu bản thân và nói lên vấn đề của mình</t>
  </si>
  <si>
    <t>Các thông tin khác ?</t>
  </si>
  <si>
    <t>Z có nghĩa là gì trong Genz?</t>
  </si>
  <si>
    <t>Thông tin này mình chưa được cập nhật, bạn có thể lên diễn đàn trường hoặc liên hệ CVHT để biết thêm thông tin</t>
  </si>
  <si>
    <t>Ck có nghĩa là gì trong Genz?</t>
  </si>
  <si>
    <t>Ngôn ngữ Genz bạn biết chứ?</t>
  </si>
  <si>
    <t>Vk có nghĩa là gì trong Genz?</t>
  </si>
  <si>
    <t>Giảng viên cố vấn của lớp CMU-TPM5 k29 trường Duy tân là ai?</t>
  </si>
  <si>
    <t>Mẹ và vợ rơi xuống sông, nếu bạn là tôi, bạn sẽ cứu ai?</t>
  </si>
  <si>
    <t>Viết code c++: Nhập vector mà không cần nhập số lượng vector trước?</t>
  </si>
  <si>
    <t xml:space="preserve"> Trong thế giới IT ai là người giỏi nhất và ai là người đạt nhiều giải thưởng nhất?</t>
  </si>
  <si>
    <t>Trong duy tân, sinh viên nào đang giữ nhiều giải công nghệ thông tin nhất?</t>
  </si>
  <si>
    <t>Liệt kê 1000 từ tiếng anh thông dụng trong giao tiếp?</t>
  </si>
  <si>
    <t>blockchain là gì?</t>
  </si>
  <si>
    <t>Tìm phòng học theo ký hiệu trong thời khóa biểu như thế nào?</t>
  </si>
  <si>
    <t>Cách xem lịch học ?</t>
  </si>
  <si>
    <r>
      <t xml:space="preserve">Để xem buổi học chi tiết các em vào MYDTU  =&gt; LỊCH HỌC =&gt; chọn lịch học để biết thông tin chi tiết.
Mỗi buổi sẽ bao gồm: 
&lt;Mã môn&gt; | &lt;Tên môn&gt; | &lt;Số phòng&gt;, &lt;Cơ sở chi nhánh&gt; | &lt;Thời gian&gt;
Ví dụ: CMU-IS 401 BIS | Information System Applications | P. 502, Hòa Khánh Nam - Tòa Nhà G | 15:15-17:15
- Màu vàng: những buổi học offline
- Màu xanh: những buổi học online
( </t>
    </r>
    <r>
      <rPr>
        <u/>
        <sz val="11"/>
        <color rgb="FF1155CC"/>
        <rFont val="Calibri"/>
      </rPr>
      <t>https://drive.google.com/file/d/1MyK90ihiyT9-HcraHCM3w632V3NVoDI-/view?usp=sharing</t>
    </r>
    <r>
      <rPr>
        <sz val="11"/>
        <color theme="1"/>
        <rFont val="Calibri"/>
        <scheme val="minor"/>
      </rPr>
      <t xml:space="preserve"> )</t>
    </r>
  </si>
  <si>
    <t>mai có lịch thể dục mà lịch mydtu mới đổi qua màu xanh, vậy tụi em ở nhà học onl hay sao ?</t>
  </si>
  <si>
    <t>Lịch học trên mydtu bị đổi qua màu xanh vậy học offline hay online ?</t>
  </si>
  <si>
    <t>Lộ trình dành cho backend bao gồm những gì ?</t>
  </si>
  <si>
    <t>Hướng đi của em là Backend thầy có thể cho em xin lộ trình để học không ạ?</t>
  </si>
  <si>
    <r>
      <rPr>
        <sz val="11"/>
        <color theme="1"/>
        <rFont val="Calibri"/>
      </rPr>
      <t xml:space="preserve">Bạn có thể tham khảo lộ trình học backend thông qua link tham khảo sau 
( </t>
    </r>
    <r>
      <rPr>
        <u/>
        <sz val="11"/>
        <color rgb="FF1155CC"/>
        <rFont val="Calibri"/>
      </rPr>
      <t>https://topdev.vn/blog/lo-trinh-cho-moi-nha-phat-trien-web/</t>
    </r>
    <r>
      <rPr>
        <sz val="11"/>
        <color theme="1"/>
        <rFont val="Calibri"/>
      </rPr>
      <t xml:space="preserve"> )</t>
    </r>
  </si>
  <si>
    <t>Lộ trình dành cho backend bao gồm các phần nào?</t>
  </si>
  <si>
    <t>Backend có những bước thực hiện cụ thể nào?</t>
  </si>
  <si>
    <t>Để trở thành backend developer nên học gì ?</t>
  </si>
  <si>
    <t>Nên học gì để trở thành một lập trình viên backend ?</t>
  </si>
  <si>
    <t>Roadmap dành cho backend?</t>
  </si>
  <si>
    <t>Trong ngành kỹ thuật phần mềm, có những lĩnh vực chuyên sâu nào mà em nên tìm hiểu và khám phá?</t>
  </si>
  <si>
    <t xml:space="preserve">Ở lớp tụi em học kiến thức về code còn mong lung quá ko rõ về ngành thì lên năm 3 tụi e có đc đi sâu về ngành ( như học figma, html, mySQL,… )để tạo ra ứng dụng hoặc website ko ạ? </t>
  </si>
  <si>
    <t>Lương nghề này cơ bản của ngành IT là bao nhiêu ?</t>
  </si>
  <si>
    <t>Ngành it có những vị trí gì ?</t>
  </si>
  <si>
    <r>
      <t xml:space="preserve">Để đánh giá đúng là ngành nghề và có cái nhìn tổng quan về IT , xem khảo sát về mức lương và nhu cầu tuyển dụng của ngành trong năm 2021 và 2023, qua đường link dưới đây của topCV:
</t>
    </r>
    <r>
      <rPr>
        <u/>
        <sz val="11"/>
        <color rgb="FF1155CC"/>
        <rFont val="Calibri"/>
      </rPr>
      <t>https://drive.google.com/drive/folders/1Ao3ckUpukxcO28HZoUKmdjT3PyqPvRjz?usp=sharing</t>
    </r>
    <r>
      <rPr>
        <sz val="11"/>
        <color theme="1"/>
        <rFont val="Calibri"/>
        <scheme val="minor"/>
      </rPr>
      <t xml:space="preserve"> </t>
    </r>
  </si>
  <si>
    <t>Học It bây giờ có thất nghiệp không ?</t>
  </si>
  <si>
    <t>tuyển dụng cntt có còn cao như trước nữa không ?</t>
  </si>
  <si>
    <t>Nên chọn ngôn ngữ lập trình nào ?</t>
  </si>
  <si>
    <t>Em phân vân giữa 1 trong 5 môn lập trình chuyên ngành, thầy có thể đề xuất cho em môn nào nên chọn và so sánh chúng được không ạ?</t>
  </si>
  <si>
    <t>Việc chọn ngôn ngữ lập trình phù hợp phụ thuộc vào mục tiêu nghề nghiệp cụ thể của sinh viên, dự án hoặc ứng dụng mà họ muốn phát triển. Dưới đây là một số ngôn ngữ lập trình phổ biến mà sinh viên có thể xem xét:
Python: Python được coi là một trong những ngôn ngữ dễ học và đa năng nhất. Nó thích hợp cho nhiều ứng dụng như phát triển web, khoa học dữ liệu, trí tuệ nhân tạo, và tự động hóa.
JavaScript: JavaScript là ngôn ngữ lập trình phía client phổ biến nhất cho phát triển web. Nó được sử dụng để tạo ra các trang web tương tác và ứng dụng web động.
Java: là một ngôn ngữ lập trình mạnh mẽ và phổ biến, thường được sử dụng trong việc phát triển ứng dụng di động (Android), ứng dụng máy tính và các dịch vụ web.
C++:là một ngôn ngữ lập trình mạnh mẽ và hiệu suất cao, thường được sử dụng trong việc phát triển phần mềm, trò chơi, và hệ thống nhúng.
C#:là một ngôn ngữ lập trình phổ biến trên nền tảng .NET, thường được sử dụng để phát triển ứng dụng máy tính và trò chơi trên nền tảng Windows.
Đối với sinh viên nên vững nên tảng lập trình vì vậy Java và C++ là 2 ngôn ngữ khởi đầu tốt nhất .</t>
  </si>
  <si>
    <t>Nghành mình nên quan tâm vào ngôn ngữ lập trình gì?</t>
  </si>
  <si>
    <t xml:space="preserve">Ngôn ngữ lập trình nào tốt nhất </t>
  </si>
  <si>
    <t>Ngành hệ thông thông tin ra trường làm gì</t>
  </si>
  <si>
    <t>Học Hệ thống thông tin có code không ?</t>
  </si>
  <si>
    <t>Dưới đây là một danh sách các đầu việc phổ biến mà sinh viên ngành Hệ thống Thông tin có thể theo đuổi khi tốt nghiệp:
Quản trị hệ thống và mạng (System and Network Administration)
Phát triển ứng dụng và hệ thống thông tin (Application and Information System Development)
Quản lý dự án công nghệ thông tin (IT Project Management)
An ninh thông tin (Information Security)
Quản lý dữ liệu và phân tích dữ liệu (Data Management and Analysis)
Tư vấn công nghệ thông tin (IT Consulting)
Phát triển phần mềm và ứng dụng di động (Software and Mobile App Development)
Quản lý hệ thống thông tin y tế (Health Information Systems Management)
Quản lý cơ sở dữ liệu (Database Management)
Hỗ trợ kỹ thuật và bảo trì hệ thống (Technical Support and System Maintenance)
Phân tích hệ thống (System Analysis)
Quản lý dịch vụ công nghệ thông tin (IT Service Management)
Phát triển website và UX/UI Design (Website Development and UX/UI Design)
Quản lý hệ thống ERP (Enterprise Resource Planning System Management)</t>
  </si>
  <si>
    <t>Ngành MIS làm gì đây ?</t>
  </si>
  <si>
    <t>Ngành an ninh mạng ra trường ra trường làm gì</t>
  </si>
  <si>
    <t>An ninh mạng có ra làm hacker không ?</t>
  </si>
  <si>
    <t>Dưới đây là một danh sách các đầu việc phổ biến mà sinh viên ngành An ninh mạng có thể theo đuổi khi tốt nghiệp:
Chuyên viên bảo mật thông tin (Information Security Analyst)
Chuyên viên an ninh mạng (Network Security Specialist)
Chuyên viên phòng chống tấn công mạng (Cyber Threat Intelligence Analyst)
Chuyên viên phòng chống xâm nhập (Intrusion Detection Analyst)
Chuyên viên bảo mật ứng dụng (Application Security Engineer)
Chuyên viên phòng chống malware (Malware Analyst)
Chuyên viên phục hồi dữ liệu sau tấn công (Incident Response Analyst)
Kiểm thử bảo mật (Penetration Tester)
Chuyên viên tuân thủ và an ninh hệ thống (Compliance and Security Systems Specialist)
Quản trị hệ thống an toàn (Security Systems Administrator)
Mỗi đầu việc này đều đòi hỏi những kỹ năng và kiến thức cụ thể, và tùy thuộc vào sở thích và mục tiêu nghề nghiệp của từng cá nhân, sinh viên có thể lựa chọn con đường phát triển sự nghiệp phù hợp nhất.</t>
  </si>
  <si>
    <t>An ninh mạng có những việc nào ?</t>
  </si>
  <si>
    <t>Làm sao để chọn ngành thích hợp ?</t>
  </si>
  <si>
    <t>Nên học ngành theo xu hướng hay ngành theo sở thích của mình?</t>
  </si>
  <si>
    <t>Chọn ngành học phù hợp là một quá trình quan trọng và đòi hỏi sự cân nhắc kỹ lưỡng. Dưới đây là một số bước bạn có thể thực hiện để chọn ngành thích hợp:
Tìm hiểu về bản thân: Đầu tiên, hãy tự đánh giá kỹ năng, sở thích, sở trường và mục tiêu nghề nghiệp của bản thân. Xác định những gì bạn thích, bạn giỏi và bạn muốn đạt được trong tương lai.
Nghiên cứu các ngành học: Khám phá các ngành học khác nhau và hiểu rõ về nội dung, cơ hội nghề nghiệp và yêu cầu của từng ngành. Tìm hiểu về các môn học, cơ hội thực tập và mức lương sau khi tốt nghiệp.
Thảo luận với người thân và chuyên gia: Hỏi ý kiến từ gia đình, bạn bè, giáo viên hoặc những người đã có kinh nghiệm trong ngành bạn quan tâm. Họ có thể chia sẻ thông tin và gợi ý quý báu.
Tham gia các sự kiện và hoạt động liên quan đến ngành: Tham gia các buổi tư vấn ngành, chương trình hướng nghiệp, hoặc các sự kiện của trường để hiểu rõ hơn về các ngành học và cơ hội nghề nghiệp.
Thực hiện thử nghiệm và khám phá: Nếu có thể, hãy tham gia các khóa học ngắn hạn, thực tập hoặc dự án dưới dạng tình nguyện trong các lĩnh vực mà bạn quan tâm. Điều này giúp bạn có cái nhìn thực tế và trải nghiệm trước khi quyết định chọn ngành học.
Cân nhắc tương lai: Xem xét về cơ hội nghề nghiệp và tiềm năng phát triển của ngành học trong tương lai. Lựa chọn một ngành có nhu cầu cao và tiềm năng phát triển sẽ giúp bạn có một sự nghiệp ổn định và phát triển.</t>
  </si>
  <si>
    <t>Em đang rất là lơ lửng, không biết học có đúng ngành không?</t>
  </si>
  <si>
    <t>Làm thế nào để em có thể xác định lựa chọn chuyên ngành phù hợp với mục tiêu sự nghiệp của mình?</t>
  </si>
  <si>
    <t>Dùng máy tính kém mà học It thì làm thế nào ?</t>
  </si>
  <si>
    <t>không biết sử dụng máy tính thì phải học như thế nào ?</t>
  </si>
  <si>
    <t>Dù bạn có máy tính kém hoặc không biết sử dụng máy tính, vẫn có thể học IT và phát triển kỹ năng lập trình. 
Bạn có thể bắt đầu từ những kiến thức cơ bản về máy tính và lập trình thông qua các khóa học trực tuyến miễn phí trên các nền tảng như Khan Academy, Coursera, edX, và Udemy. 
Thực hành là yếu tố quan trọng để nắm vững kỹ năng, vì vậy bạn nên tham gia vào các dự án mã nguồn mở và thực hành thường xuyên. Ngoài ra, tìm kiếm sự hỗ trợ từ giáo viên, bạn bè hoặc những người có kinh nghiệm trong lĩnh vực IT để được hướng dẫn và giúp đỡ. Đặt ra mục tiêu cụ thể và kiên nhẫn trong quá trình học tập. 
Nếu bạn không tự tin về kỹ năng lập trình ở năm 3, bạn vẫn có thể tìm kiếm các ngành công nghệ thông tin khác như quản trị hệ thống mạng, quản trị cơ sở dữ liệu hoặc phân tích dữ liệu. Điều quan trọng là xác định mục tiêu nghề nghiệp của bạn và hướng nghề nghiệp mà bạn muốn theo đuổi.</t>
  </si>
  <si>
    <t>Làm sao để học tốt it?</t>
  </si>
  <si>
    <t>Giờ năm 3 rồi không biết code thì có hướng nào trong ngành em đi được không thầy?</t>
  </si>
  <si>
    <t>Đã năm 2, năm 3 code yếu  thì nên chọn ngành gì ?</t>
  </si>
  <si>
    <t>Làm sao để trở thành một kỹ sư phần mềm chuyên nghiệp ?</t>
  </si>
  <si>
    <t>Tiêu chuẩn tốt nghiệp ngành cnpm mình như thế nào?</t>
  </si>
  <si>
    <t>Để trở thành một kỹ sư phần mềm chuyên nghiệp và theo kịp sự phát triển công nghệ liên tục, bạn có thể tuân theo các bước sau:
Học tập và học hỏi liên tục: Đảm bảo bạn có một cơ sở kiến thức vững chắc về lập trình, cấu trúc dữ liệu, thuật toán và các ngôn ngữ lập trình phổ biến như Java, Python, C++, JavaScript, và Ruby. Theo dõi các xu hướng mới và tham gia vào các khóa học, hội thảo, và các nguồn tài liệu học tập khác để cập nhật kiến thức của bạn.
Thực hành và xây dựng dự án: Hãy thực hành thường xuyên bằng cách tham gia vào các dự án thực tế. Xây dựng các ứng dụng và dự án cá nhân để áp dụng những kiến thức bạn đã học và phát triển kỹ năng lập trình và giải quyết vấn đề.
Tham gia vào cộng đồng lập trình: Tham gia vào các cộng đồng lập trình như Github, Stack Overflow, Reddit hoặc các diễn đàn lập trình khác để kết nối và học hỏi từ các kỹ sư phần mềm chuyên nghiệp khác. Đây cũng là nơi để chia sẻ kiến thức của bạn và xây dựng danh tiếng trong cộng đồng
Phát triển kỹ năng mềm: Kỹ năng giao tiếp, làm việc nhóm, quản lý thời gian và giải quyết vấn đề là rất quan trọng đối với một kỹ sư phần mềm chuyên nghiệp. Hãy đầu tư vào việc phát triển những kỹ năng này thông qua các khóa học, đào tạo và trải nghiệm làm việc.
Theo dõi xu hướng công nghệ: Đọc báo cáo, tạp chí, và blog về công nghệ để hiểu về những xu hướng mới nhất trong lĩnh vực phần mềm. Theo dõi các công ty công nghệ hàng đầu và xem xét việc áp dụng những công nghệ mới vào dự án của bạn.
Tiếp tục học hỏi và phát triển: Công nghệ phần mềm liên tục thay đổi và phát triển, vì vậy việc học hỏi và phát triển bản thân là rất quan trọng để duy trì sự chuyên nghiệp và tiến bộ trong sự nghiệp của bạn.</t>
  </si>
  <si>
    <t>Sau này ra trường thì cần những yếu tố nào để có được công việc?</t>
  </si>
  <si>
    <t>các yếu tố tối thiểu để có thể xin được việc?</t>
  </si>
  <si>
    <t>có những kiến thức ngoài tầm giành cho công việc và với lượng kiến thức rộng vậy làm sao để có thể tự học 1 cách hiệu quả</t>
  </si>
  <si>
    <t>Cách để học lập trình ở đại học hiệu quả ?</t>
  </si>
  <si>
    <t>Làm thế nào để có thể lập kế hoạch học tập hiệu quả cho mỗi học kỳ?</t>
  </si>
  <si>
    <t>Để học lập trình ở đại học hiệu quả, có một số phương pháp và cách tiếp cận sau đây:
Lập kế hoạch học tập: Đặt ra mục tiêu cụ thể cho mỗi học kỳ và tạo kế hoạch học tập để đạt được những mục tiêu đó. Phân chia thời gian một cách hợp lý giữa việc học, làm bài tập, và nghiên cứu thêm.
Thực hành thường xuyên: Lập trình là một kỹ năng thực hành. Dành thời gian hàng ngày để lập trình, giải quyết bài tập và xây dựng các dự án thực tế.
Học từ kinh nghiệm thực tế: Tham gia vào các dự án thực tế hoặc tạo các dự án các nhân là cách tốt để cải thiện
Cải thiện tư duy logic: Thực hành giải các bài toán logic và lập trình. Tham gia vào các cuộc thi lập trình để rèn luyện tư duy logic và khả năng giải quyết vấn đề như Devday, Hackerrank hoặc các bài tập ở môn lập trình khác.
Học tập đa dạng: Đối với việc trở thành một kỹ sư phần mềm, bạn cần học nhiều môn học khác nhau bao gồm lập trình, cơ sở dữ liệu, thiết kế phần mềm, kiến trúc hệ thống, và các kỹ năng mềm như quản lý dự án và giao tiếp.
Chấp nhận sự khác biệt: Nếu bạn không giỏi về một ngôn ngữ lập trình nhất định, hãy tập trung vào phát triển kỹ năng của mình trong các lĩnh vực khác. Trong It có nhiều ngành nghề yêu cầu bộ kỹ năng khác nhau, nên bạn có thể cải thiện song song giữa các kỹ năng như giao tiếp, tiếng anh để tạo lợi thế
Tìm tài liệu học chất lượng: Sử dụng các tài liệu học từ các nguồn uy tín như sách giáo trình bài giảng đại học (LTCS, OOP, FC1,FC@), web học miễn phí trực tuyến (howkteam, F8, code learn)
Cập nhật kỹ năng: Theo dõi các xu hướng công nghệ mới, tham gia vào các khóa học trực tuyến, hội thảo và đọc sách để cập nhật và mở rộng kiến thức và kỹ năng của bạn với các công nghệ mới.
Nhớ rằng, , IT là một lĩnh vực rộng với nhiều ngành nghề khác nhau, phát triển mỗi ngày, đều này là đặc điểm ngành. Nên sự chăm chỉ và kiên nhẫn tự học là chìa khóa để học tập hiệu quả trong lĩnh vực lập trình và công nghệ phần mềm.</t>
  </si>
  <si>
    <t>Phương pháp học hiệu quả ở đại học như nào?</t>
  </si>
  <si>
    <t>cách học tập hiệu quả?</t>
  </si>
  <si>
    <t>Cách học sao cho hiệu quả và cách phân bổ thời gian hợp lý để học?</t>
  </si>
  <si>
    <t>Làm sao để được điểm cao trong môn học?</t>
  </si>
  <si>
    <t>giả sử em ngu về ngôn ngữ A nào đó, nhưng em lại giỏi về ngôn ngữ B thì có được không hay là bắt buộc phải giỏi hết</t>
  </si>
  <si>
    <t>Cần tài liệu học tốt lập trình?</t>
  </si>
  <si>
    <t>làm sao để cải thiện tư duy logic để phù hợp với việc coding trong ngành công nghệ phần mềm này</t>
  </si>
  <si>
    <t>Em cần phải học những môn học nào để trở thành một kỹ sư phần mềm?</t>
  </si>
  <si>
    <t>Cách học hiệu quả?</t>
  </si>
  <si>
    <t>Làm thế nào để em có thể cập nhật kỹ năng của mình với các công nghệ mới?</t>
  </si>
  <si>
    <t>Hướng đi trong ngành CNPM sau khi đi ra trường?</t>
  </si>
  <si>
    <t xml:space="preserve"> Cô có thể chia sẻ thông tin về lộ trình sự nghiệp trong ngành công nghệ phần mềm không?</t>
  </si>
  <si>
    <t>Dưới đây là một số đầu việc phổ biến mà sinh viên ngành phần mềm có thể theo đuổi khi tốt nghiệp:
- Lập trình viên
- Kiểm thử phần mềm (Software tester)
- Quản lý dự án phần mềm (Project manager)
- Phân tích hệ thống (Systems analyst)
- Kỹ sư DevOps
- Chuyên viên an ninh mạng (Cybersecurity specialist)
- Chuyên viên dữ liệu (Data analyst/scientist)
- Game developer</t>
  </si>
  <si>
    <t>Em đang cân nhắc việc theo học sau đại học hoặc đi làm trực tiếp.</t>
  </si>
  <si>
    <t>Nên đi làm hay học sau đại học</t>
  </si>
  <si>
    <t>Trường có hỗ trợ cách làm cv hoặc đơn xin việc không ?</t>
  </si>
  <si>
    <t>Em có thể được hướng dẫn về cách xây dựng một hồ sơ cá nhân và đơn xin việc làm trong ngành kỹ thuật phần mềm không?</t>
  </si>
  <si>
    <t xml:space="preserve">Trường luôn hỗ trợ sinh viên các kỹ năng mềm trong quá trình học tập, như môn tiếng anh chuyên ngành.
Trong quá trình còn có những buổi seminar, những cuộc thi cho sinh viên kết nối và chia sẽ kinh nghiệm xây dựng kĩ năng </t>
  </si>
  <si>
    <t>Có khóa học thêm giúp đỡ về kỹ năng học tập và làm thế nào để đăng ký?</t>
  </si>
  <si>
    <t>Có các khóa đào tạo về kỹ năng giao tiếp và lãnh đạo không?</t>
  </si>
  <si>
    <t>Yếu tiếng anh có theo nổi chương trình quốc tế không ?</t>
  </si>
  <si>
    <t>Em yếu tiếng Anh, có theo nổi chương trình quốc tế không?</t>
  </si>
  <si>
    <t>Chương trình CMU, PSU hay CSU, giáo án là tiếng anh, tuy nhiên giảng viên tùy theo mỗi lớp sinh viên đăng ký sẽ là giảng viên nước ngoài hoặc việt. Đây à cơ hội để cải thiện tiếng anh
Chương trình còn có các môn tiếng anh từ level 1 đến level 5 và môn chuyên ngành để  cải thiện dần tiếng anh chuẩn bị cho công việc sau này.</t>
  </si>
  <si>
    <t>Có giảng viên nước ngoài dạy không? Nếu có, mà yếu tiếng Anh thì học có được không?</t>
  </si>
  <si>
    <t>Học IT sau 35 tuổi có thất nghiệp không ?</t>
  </si>
  <si>
    <t>Thị trường bây giờ đang suy thoái đúng không ?</t>
  </si>
  <si>
    <t>Công nghệ thông tin vẫn là một thị trường tuyển dụng nhộn nhịp với nhiều công việc và công nghệ phát triễn mỗi ngày. Với tính linh hoạt và đa dạng trong công việc nên được đánh giá cao.
Vì vậy đây cũng là ngành có tính cạnh tranh cao với sự thay đổi liên tục. Đó lí do tại sao sau 35 tuổi khó để một người có thể tìm việc, lí do chủ yếu do ít thời gian để học cái mới .
Để tránh việc bị thụt lùi sinh viên nên học vững nên tảng  để có thể thích ứng với sự thay đổi và chăm chỉ cập nhật</t>
  </si>
  <si>
    <t>Có cách nào học IT mà không già không thầy, chớ mặt em già quá rồi?</t>
  </si>
  <si>
    <t>Sau 35 tuổi có thất nghiệm</t>
  </si>
  <si>
    <t>Cơ hội việc làm của ngành IT sau khi ra trường sẽ như thế nào khi mà AI ngày càng phát triển?</t>
  </si>
  <si>
    <t>Liệt kê từ 5-10 câu hỏi thắc mắc em muốn hỏi giảng viên cố vấn mà bạn gặp phải (câu hỏi mở)</t>
  </si>
  <si>
    <t>Học phí trường mình bao nhiêu vậy?</t>
  </si>
  <si>
    <t>Dạ khi nào mở lại đánh giá rèn luyện vậy thầy?</t>
  </si>
  <si>
    <t>- Em phân vân giữa 1 trong 5 môn lập trình chuyên ngành, thầy có thể đề xuất cho em môn nào nên chọn và so sánh chúng được không ạ?
- Hướng đi của em là Backend thầy có thể cho em xin lộ trình để học không ạ?</t>
  </si>
  <si>
    <t>1.Trường sẽ có học bổng đối với những sinh viên nào?
2.Trường có xây kí túc xá trong tương lai không?
3.Không đánh giá rèn luyện trong 1 học kì có mở lại không?
4.Nộp muộn học phí có thể là bao lâu?</t>
  </si>
  <si>
    <t>Điều kiện để được làm capstone?
Điều kiện nhận bằng tốt nghiệp?
Văn phòng của khoa &lt;tên khoa&gt; ở đâu?
Cách liên hệ thầy cô &lt;tên giảng viên&gt;?
Điểm học lại sẽ tính như thế nào?
Thư viện hoạt động lúc mấy giờ?
Cần gì khi đến thư viện?
Cách làm đơn phúc khảo bài thi?</t>
  </si>
  <si>
    <t>Lương nghề này cơ bản mới ra trường bao nhiu v thầy ?</t>
  </si>
  <si>
    <t>Lộ trình học khuyến nghị, học phí của kỳ học,....?</t>
  </si>
  <si>
    <t>1. Học phí ngành mình các khoá sau có tăng không ạ?
2. Điểm thi học kỳ sao hiện trễ vậy thầy?</t>
  </si>
  <si>
    <t>Một sinh viên đwọc phép đăng ký bao nhiêu tin chỉ 1  kỳ ?</t>
  </si>
  <si>
    <t>mình nộp học phí trễ thì làm sao để mở lại tài khoản mydtu ạ</t>
  </si>
  <si>
    <t>Nghành mình sau khi ra trường sẽ làm gì?</t>
  </si>
  <si>
    <t>Em học 16 tín làm sao để lên 20 tín mà em không đăng kí được nữa vì bị trùng môn?
Mấy môn bị dính nhau làm thế nào để tách ra?
Em học lại môn điểm bị thấp hơn có làm sao không. Lấy điểm nào?
Em chậm học phí 2 tháng có sao không?</t>
  </si>
  <si>
    <t>1.Cô ơi trường mới sửa lại. Phải đăng nhập zoom bằng mail trường á. Mà bọn e lại ko biết mật khẩu á cô?
2. Cô ơi cái đánh giá kết quả rèn luyện của sinh viên hk1 là mình tự làm hả cô?
3. Cô ơi có bạn học tpm mà nay khám sức khỏe nhưng có việc bận,Thế bạn chuyển sang khám chung với lớp mình k cô.?
4.Cô ơi trong mydtu cái số dư học phí còn thì e cần đóng học phí nữa k ạ?
5.Cô ơi viện xếp lịch cho bọn e bị trùng h phải làm sao ạ?
6.cô ơi em đky hơi nhiều chỉ hè. bh em muốn làm đơn hủy bớt đko cô, hay bắt buộc học ạ.?
7.Cô ơi . Em muốn đăng ký giảm học phí với điều kiện là hai anh em học chung trường thì chiều nay em lên làm được không ạ?
8.Cho em hỏi thêm trong đơn ghi điểm năm 2021-2022 thì mình lấy trung bình hai kỳ thôi đúng không ạ?
9.cô ơi khóa tụi em chuẩn bị học quân sự tới đây đúng không ạ. tại có nhiều tin không rõ quá nên em nhắn cô thử ạ?</t>
  </si>
  <si>
    <t>1.Cô ơi, trong mail cô Trinh có yêu cầu là mặc đồng phục Duy Tân, em và các bạn không có thì mặc đồ gì vậy cô. ?
2. Làm đơn giảm học phí thì lên khoa gặp ai vậy cô?
3. Cô ơi, cho em hỏi chút, mai tụi em có lịch thể dục mà lịch mydtu mới đổi qua màu xanh, vậy tụi em ở nhà học onl hay sao cô?
4. Cô ơi, cho em hỏi chút được không cô. Nhà em bố em bị Covid cách li tại nhà ấy ạ, mà tuần sau còn cách li tới 4 ngày nữa á cô. Như vậy là em có đi học được không cô?
5. Cô ơi, em muốn đổi môn bóng đá sang môn khác đc không cô?
6. Quên mật khẩu mydtu thì làm như thế nào ạ?
7. Khoa quốc tế nằm ở đâu vậy ạ?
8. Khi nào có lịch học mới vậy ạ?
9. Cho em hỏi trường mình có câu lạc bộ gì không ạ?
10. Trường mình toeic thì cần bao nhiêu điểm để tốt nghiệp được ạ?</t>
  </si>
  <si>
    <t>Thông báo nghỉ học do bão là cô hay trường đăng lên ạ?
Học hè là mình tự đăng kí phải không ạ?
Hè này em đăng kí môn Writing 2 mà kì 1 năm 2 có môn thì em có cần phải học không ạ?
Trường sắp xếp môn cho em là bóng đá mà em muốn đổi qua bóng chuyền được không ạ?
Năm 1 kì 2 có được chuyển ngành không?</t>
  </si>
  <si>
    <t>1. Nên học ngành theo xu hướng hay ngành theo sở thích của mình?
2. Em có nên đi theo đám đông về ngành nghề hay không?
3. Em nên học eilts hay toeic?
4. Em có thể học các ngôn ngữ khác ngoài tiếng anh để ra trường không thầy? Ví dụ?
5. Em không biết sử dụng máy tính thì phải học như thế nào ?</t>
  </si>
  <si>
    <t>1. Quên đánh giá rèn luyện có bị gì không thầy?
2. Giờ năm 3 rồi không biết code thì có hướng nào trong ngành em đi được không thầy?
3. Làm đơn xin giảm học phí như nào thầy?
4. Em năm nhất muốn đăng kí học hè được không thầy?
5. Trường có kế hoạch nào cho năm nhất đi thăm quan trải nghiệm các doanh nghiệp không thầy?
6. Em học không nổi muốn đổi ngành thì làm kiểu gì thầy?
7. Tiêu chuẩn tốt nghiệp ngành mình như nào thầy?
8. Em muốn đăng ki học nhiều hơn số chỉ tối đa được không thầy?
9. Trường có hỗ trợ tìm trọ không thầy?</t>
  </si>
  <si>
    <t>1. Làm thế nào để có thể lập kế hoạch học tập hiệu quả cho mỗi học kỳ?
2. Em đang cân nhắc việc theo học sau đại học hoặc đi làm trực tiếp. Cô có thể chia sẻ thông tin về lộ trình sự nghiệp trong ngành công nghệ phần mềm không?
3. Làm thế nào để em có thể xác định lựa chọn chuyên ngành phù hợp với mục tiêu sự nghiệp của mình?
4. Làm thế nào để em có thể cập nhật kỹ năng của mình với các công nghệ mới?
5. Em học xong ngành công nghệ phần mềm thì nên chọn công ty nào để vào thực tập hiệu quả?
6. Trường có cung cấp cơ hội thực tập hoặc làm việc với các công ty công nghệ phần mềm hàng đầu không?</t>
  </si>
  <si>
    <t>1. Ngành Kỹ Thuật Phần Mềm học năm thứ mấy là có thể tự tin đi test thực tập ?
2. Em cần chuẩn bị như thế nào để xin học bổng trong ngành này?
3. Em  có thể tham gia các dự án nghiên cứu hoặc thực tập không?
4. Em  cần chuẩn bị như thế nào để tham gia chương trình học tập quốc tế?
5. Có những hoạt động ngoại khóa nào em nên tham gia để phát triển kỹ năng và kiến thức trong ngành kỹ thuật phần mềm?
6. Trong ngành kỹ thuật phần mềm, có những lĩnh vực chuyên sâu nào mà em nên tìm hiểu và khám phá?
7. Em có thể được hướng dẫn về cách xây dựng một hồ sơ cá nhân và đơn xin việc làm trong ngành kỹ thuật phần mềm không?
8. Em cần phải học những môn học nào để trở thành một kỹ sư phần mềm?</t>
  </si>
  <si>
    <t>Làm sao để mình trở nên chăm chỉ hơn?</t>
  </si>
  <si>
    <t xml:space="preserve">Em vẫn chưa hiểu về việc học lại khi rớt môn, ý em là ví dụ em rớt 1 môn thì em sẽ không được học với các bạn nữa à thầy, và em có được ra trường đúng hạn khi em học môn đó vào kì hè không ạ. ?
</t>
  </si>
  <si>
    <t>Điểm nổi bật của ngành , của trường mình so với các trường khác là gì ạ ?</t>
  </si>
  <si>
    <t>Tích lũy điểm là gì?
Làm sao để tích lũy điểm?</t>
  </si>
  <si>
    <t>Học phí trường mình bao nhiêu vậy thầy?</t>
  </si>
  <si>
    <t>học kì hè có bắt buộc không?, điểm tích luỹ là gì!?</t>
  </si>
  <si>
    <t>Em rớt môn giờ làm sao thầy?</t>
  </si>
  <si>
    <t>Có được đổi ngành không ?
Tại sao học phí lại tăng ?
Điểm tích lũy là gì ?
Ngoài học phí thì còn phí gì trong quá trình học không ?</t>
  </si>
  <si>
    <t>Có cách nào học IT mà không già không thầy, chớ mặt em già quá rồi?
Điểm tích luỹ là gì thầy?</t>
  </si>
  <si>
    <t>1. Có cần phải mặc áo trường qte khi học không thầy?</t>
  </si>
  <si>
    <t>1.Học phí có được nộp bằng tiền mặt kể từ kỳ 2 hay không?</t>
  </si>
  <si>
    <t>1. Giả sử mình rơi vào trường hợp kiểu tất cả các môn đã được đăng kí hết và mình không còn môn để đăng kí và không đủ tín chỉ yêu cầu thì phải làm sao ạ?
2.Làm thế nào để có học bổng?
3.Có cách nào giảm học phí ngoài học bổng không?</t>
  </si>
  <si>
    <t>1. Nếu học thêm học kỳ hè thì vào có giảm số năm học không ạ? 
2. Điểm tích lũy là gì?
3. Điểm quy đổi là gì?
4. Cơ hội việc làm của ngành IT sau khi ra trường sẽ như thế nào khi mà AI ngày càng phát triển?
5. Sau khi tốt nghiệp DTU thì mình sẽ thực tập ở đâu?
6. Điều kiện cần và đủ để có học bổng của DTU là gì vậy ạ?</t>
  </si>
  <si>
    <t>1. Học phí trường mình có cố định không thầy?
2. Việc trao bằng là dựa vào điểm của thang 10 hay thang 4 vậy thầy.?
3. Show cho em list điểm quy đổi từ thang 10 ra thang 4 và thang chữ cũng như loại bằng sẽ nhận tương ứng.?</t>
  </si>
  <si>
    <t>1. Kỳ hè trường mình có bao nhiêu tháng?
2. Em muốn đăng ký 2,3 môn học triết học kỳ hè thì nộp tiền như nào?
3. Thầy Võ Đình Hiếu thích chơi game j😍?
4. Gợi ý cho tôi một vài web dạy free tiếng anh giao tiếp?
5. Ngôn ngữ Genz bạn biết chứ?
6. Z có nghĩa là gì trong Genz?
7. Ck có nghĩa là gì trong Genz?
8. Vk có nghĩa là gì trong Genz?
9. Giảng viên cố vấn của lớp CMU-TPM5 k29 trường Duy tân là ai?
10. Mẹ và vợ rơi xuống sông, nếu bạn là tôi, bạn sẽ cứu ai?
11. Viết code c++: Nhập vector mà không cần nhập số lượng vector trước?
12. Trong thế giới IT ai là người giỏi nhất và ai là người đạt nhiều giải thưởng nhất?
13. Trong duy tân, sinh viên nào đang giữ nhiều giải công nghệ thông tin nhất?
14. Liệt kê 1000 từ tiếng anh thông dụng trong giao tiếp?</t>
  </si>
  <si>
    <t xml:space="preserve">Lịch trình học tập và các môn học bắt buộc cần hoàn thành là gì?
Có những nguồn tài trợ và hỗ trợ tài chính nào cho sinh viên?
Quy định về chính sách học bổng và cách đăng ký?
Có cơ hội thực tập hoặc tham gia dự án nghiên cứu không?
Làm thế nào để đăng ký các lớp học và kiểm tra tình trạng đăng ký?
Quy tắc về nghỉ học và làm thế nào để xin nghỉ khi cần thiết?
Có các khóa đào tạo nghề nghiệp hoặc buổi tư vấn sự nghiệp không?
Làm thế nào để truy cập tài nguyên thư viện và nền tảng học trực tuyến?
Quy định về chính sách phòng chống gian lận trong kỳ thi?
Có các cơ hội tham gia các hoạt động ngoại khóa và câu lạc bộ sinh viên không?
Làm thế nào để đánh giá tiến trình học tập và làm thế nào để nhận phản hồi?
Có khóa học thêm giúp đỡ về kỹ năng học tập và làm thế nào để đăng ký?
Quy định về việc chuyển đổi hoặc thay đổi chương trình học?
Làm thế nào để yêu cầu và nhận giúp đỡ từ giảng viên cố vấn?
Có chương trình hỗ trợ tâm lý cho sinh viên không?
Làm thế nào để tham gia vào các dự án nghiên cứu hoặc các nhóm nghiên cứu?
Quy định về việc đăng ký và thực hiện các khóa học tùy chọn?
Có cơ hội tham gia các chương trình trao đổi quốc tế không?
Làm thế nào để đăng ký và sử dụng các tiện ích và dịch vụ trên campus?
Có hỗ trợ nào cho sinh viên có nhu cầu đặc biệt hoặc khuyết tật không?
Quy định về việc chấp nhận các tín chỉ từ các khóa học trước đây?
Làm thế nào để tham gia vào các sự kiện và hoạt động cộng đồng của trường?
Có các khóa đào tạo về kỹ năng giao tiếp và lãnh đạo không?
Làm thế nào để kiểm tra và cập nhật thông tin cá nhân trong hồ sơ sinh viên?
Quy định về việc đăng ký các môn học hỗ trợ học tập, như hướng dẫn học tập?
Có chương trình hỗ trợ nghỉ học tạm thời và quay lại sau đó không?
Làm thế nào để đăng ký thực tập ngắn hạn hoặc chương trình thực tập nghề nghiệp?
Có cơ hội tham gia vào các dự án xã hội và làm việc cộng đồng không?
Làm thế nào để truy cập và sử dụng các phòng thí nghiệm và cơ sở vật chất nghiên cứu?
Quy định về việc đăng ký và tham gia các khóa học trực tuyến bổ sung?
Quy trình và điều kiện để thi lại một môn học?
Làm thế nào để đăng ký học lại các môn không đạt kết quả?
Quy định về việc chuyển ngành và cách đăng ký quy trình này?
Làm thế nào để bảo lưu kết quả học tập trong một khoảng thời gian nhất định?
Quy định và điều kiện để đăng ký vượt tín chỉ và số lượng tối đa có thể vượt?
Thông tin về các loại học phí, phí học kỳ và cách thanh toán?
Có kế hoạch tăng học phí trong tương lai không và làm thế nào để sinh viên được thông báo trước?
Làm thế nào để đăng ký và sử dụng các dịch vụ bảo hiểm y tế và bảo hiểm học phí?
Quy định về việc đăng ký nghỉ học và làm thế nào để duy trì quyền lợi bảo hiểm?
Có chương trình hỗ trợ việc tìm kiếm công việc và phát triển sự nghiệp không?
Làm thế nào để chọn và đăng ký đề tài đồ án tốt nghiệp?
Quy trình và yêu cầu về việc thực hiện thực tập trong chương trình học?
Có cơ hội thực tập tại các doanh nghiệp đối tác không
</t>
  </si>
  <si>
    <t xml:space="preserve"> Mới năm 1 Có nên chuyển nghành không ? 
Làm sao để có động lực học ? 
không có tiền phải làm sao ? 
Tốt nghiệp ra trường GPA bao nhiêu là đủ?
 Một số trang web hỗ trợ học tập ? 
</t>
  </si>
  <si>
    <t>1. Học phí trường mình có thay đổi không thầy ?
2. Việc học hè sẽ đăng ký như thế nào thầy ?
3. Cơ hội việc làm sau nào như thế nào ạ ?</t>
  </si>
  <si>
    <t>Mình có thu thêm học phí k ạ</t>
  </si>
  <si>
    <t>Phương pháp học hiệu quả ở đại học như nào?
Cách để đăng ký tín chỉ?
Làm sao để được điểm cao trong môn học?</t>
  </si>
  <si>
    <t>Mình sẽ học bao nhiêu kỳ</t>
  </si>
  <si>
    <t xml:space="preserve">1. Học phí có thay đổi qua từng năm không?
2. Nộp học phí trễ có bị sao không?
3. Điểm bao nhiêu sẽ bị tính là rớt môn?
4. Học kì hè thì tính số tín và số tiền học phí như nào?
</t>
  </si>
  <si>
    <t>1/ làm sao để cải thiện tư duy logic để phù hợp với việc coding trong ngành công nghệ phần mềm này
2/ giả sử em ngu về ngôn ngữ A nào đó, nhưng em lại giỏi về ngôn ngữ B thì có được không hay là bắt buộc phải giỏi hết</t>
  </si>
  <si>
    <t>1.Có nên học hè không ạ?
2.Nếu không học hè thì hè nên học những gì để trau phát triển tốt hơn ạ?</t>
  </si>
  <si>
    <t>1.  Muốn đạt học bổng thì cần những điều kiện gì ạ ?
2. Cách tham gia các câu lạc bộ của trường ?</t>
  </si>
  <si>
    <t>Học phí trường mình bao nhiêu vậy thầy ?
Mình sẽ học bao nhiêu học kỳ ?</t>
  </si>
  <si>
    <t xml:space="preserve">Cách đạt bằng tốt nghiệp các loại ?
</t>
  </si>
  <si>
    <t>Cách Đăng ký chuyển ngành?
Cụ thể hơn về tín chỉ môn học khi chuyển ngành?</t>
  </si>
  <si>
    <t>Các điều kiện để ra trường</t>
  </si>
  <si>
    <t xml:space="preserve">1.Khi em tham gia các hoạt động ngoại khác kiểu như hiến máu hay tham gia các cuộc thi cho trường mà vẫn không được cộng điểm thêm rèn luyyeenj làm cách nào để phản hồi để có thể cộng điểm rèn luyện ?
2.Khi em làm đồ án Cap 1 hoặc cap2 thì em có được tự chọn mentor không ạ hay là được sự sắp xếp của trường?
</t>
  </si>
  <si>
    <t>về đăng ký nghiên cứu khoa học ?</t>
  </si>
  <si>
    <t>Cách đổi lớp ?</t>
  </si>
  <si>
    <t>Làm thế nào để ra trường sớm ạ?
tuyển dụng cntt có còn cao như trước nữa không ?
các yếu tố tối thiểu để có thể xin được việc?</t>
  </si>
  <si>
    <t>Em không có câu hỏi gì ạ.?</t>
  </si>
  <si>
    <t xml:space="preserve">Cách đăng ký tín chỉ?
Cách nộp học phí?
</t>
  </si>
  <si>
    <t>Làm sao để ra trường nhanh hơn thời hạn?
Làm sao để học tốt it?
Sau này ra trường thì cần những yếu tố nào để có được công việc?</t>
  </si>
  <si>
    <t>-Nên đăng kí môn chuyên ngành nào trước ạ?
- Đầu ra tiếng anh ngành mình là bao nhiêu ạ?</t>
  </si>
  <si>
    <t xml:space="preserve">Học chương trình quốc tế thì có cần học thêm bằng ielts mới đc ra trường ko ạ? 
Ở lớp tụi em học kiến thức về code còn mong lung quá ko rõ về ngành thì lên năm 3 tụi e có đc đi sâu về ngành ( như học figma, html, mySQL,… )để tạo ra ứng dụng hoặc website ko ạ? </t>
  </si>
  <si>
    <t>Lịch học hè như nào ạ?
Khi nào học quân sự ạ?
Học phí của kỳ học quân sự bao nhiêu ạ?
Học quân sự ở nơi nào ạ?
Làm sao đăng ký học quân sự ạ?</t>
  </si>
  <si>
    <t>Cách nộp học phí?
Cách nộp bài tập?
Cách đăng ký tín chỉ?</t>
  </si>
  <si>
    <t xml:space="preserve">- Học phí An ninh mạng CMU của trường?
- Hướng dẫn chuyển ngành học?
- Chuyển ngành học có mất thêm thời gian đào tạo không?
- Cách đăng ký học kỳ hè?
- Thời gian bắt đầu và kết thúc học kỳ hè?
</t>
  </si>
  <si>
    <t>Nộp học phí ở đâu và nộp bao nhiêu?
Hạn cuối để nộp học phí?
Mất thẻ sinh viên thì làm lại như thế nào?
Lịch kiểm tra tìm ở đâu và khi nào có danh sách phòng thi?
Những cuốn sách tham khảo cho từng môn đc mua hay in ở đâu?</t>
  </si>
  <si>
    <t>Không có</t>
  </si>
  <si>
    <t>Cách đăng kí tín chỉ?
Cách sử tối ưu mydtu?</t>
  </si>
  <si>
    <t>1. Cách đăng kí môn học bị rớt?</t>
  </si>
  <si>
    <t>Cách làm đơn đăng kí tín chỉ?
Học hè thì đăng kí như thế nào?
Học kì hè được phép đăng kí tối đa bao nhiêu tín chỉ?
Sinh viên trường đào tạo quốc tế có được tự mình đăng kí tín chỉ không?</t>
  </si>
  <si>
    <t>Cách gia hạn nộp học phí?</t>
  </si>
  <si>
    <t>1. Đăng kí môn học lại khi phải rớt môn.?</t>
  </si>
  <si>
    <t>Cách đăng ký tín chỉ ?
Cách thủ tục đăng nhập làm giấy tờ ?</t>
  </si>
  <si>
    <t>Cách làm đơn đăng ký tín chỉ</t>
  </si>
  <si>
    <t>1.cách thức đăng kí môn bị rớt</t>
  </si>
  <si>
    <t>Cách làm đơn đăng ký tín chỉ?
Cách đăng ký tín chỉ nhanh và hiệu quả?</t>
  </si>
  <si>
    <t>cách chuyển trường?
cách chuyển ngành?
đăng kí tín chỉ?
cách nộp tiền giữ xe cụ thể hơn?
cách nộp học phí?</t>
  </si>
  <si>
    <t>Cách chuyển trường ?
Cách chuyển ngành ?
Cách đăng kí tín chỉ ?
Cách nộp học phí ?
Cách nộp tiền giữ xe cụ thể hơn ?</t>
  </si>
  <si>
    <t>cách đăng ký môn?</t>
  </si>
  <si>
    <t>Trong gia đình sẽ học chung trường có giảm học phí không?</t>
  </si>
  <si>
    <t>Cách làm đơn đăng ký tín chỉ ? 
Cách đăng ký môn học? 
Cách nộp sổ đăng ký làm sổ thành viên đoàn viên thanh niên</t>
  </si>
  <si>
    <t>cách đăng ký tín chỉ,?</t>
  </si>
  <si>
    <t>Cách Đăng ký tín chỉ?
Cách làm các loại giấy tờ?
Cách nộp học phí?
Thời gian mở đánh giá rèn luyện ?</t>
  </si>
  <si>
    <t>cách nộp học phí?
cách đăng kí tín chỉ?
có nên học thêm kì hè không?
1 kỳ mà full điểm A có được gì không?</t>
  </si>
  <si>
    <t>Cách nhận học bổng theo kỳ học?</t>
  </si>
  <si>
    <t>Cách nộp học phí?
Em có bảo hiểm rồi thì có cần mua nữa không ạ?
Em lỡ quên không đánh giá rèn luyện, thầy có thể giúp em với được không ạ?
Thầy thêm em vô nhóm fb lớp để em nhận thông báo với ạ?
Điểm GPA tầm bao nhiêu là được bằng xuất sắc ạ?
Môn học này em bị thiếu bài kiểm tra, thầy cho em số điện thoại để em liên lạc với thầy bộ môn ạ?</t>
  </si>
  <si>
    <t>Cách làm đơn đăng kí tín chỉ ?</t>
  </si>
  <si>
    <t>Khai báo ngoại trú</t>
  </si>
  <si>
    <t>Cách đăng ký tín chỉ</t>
  </si>
  <si>
    <t>Cách chuyển ngành</t>
  </si>
  <si>
    <t xml:space="preserve">Cách nộp học phí
Cách huỷ môn đăng ký môn
</t>
  </si>
  <si>
    <t>Cách nộp học phí ?
Cách làm đơn đăng ký tín chỉ ?</t>
  </si>
  <si>
    <t xml:space="preserve">Cách tính điểm phần trăm?
Cách tính điểm </t>
  </si>
  <si>
    <t>Cách có học bổng</t>
  </si>
  <si>
    <t>Cách chuyển ngành sau 2 kì?
Thời gian chuyển ngành?
Học kì hè tối đa đăng ký bao nhiêu tín chỉ?</t>
  </si>
  <si>
    <t>tất cả vấn để về chuyển ngành?</t>
  </si>
  <si>
    <t>Cách đăng kí tín chỉ ?</t>
  </si>
  <si>
    <t>Cách đăng ký thêm và bớt tín chỉ?Cách đăng ký thêm ngành hai?</t>
  </si>
  <si>
    <t>Cách chuyển ngành đơn giải?</t>
  </si>
  <si>
    <t>Cách để làm bài tập code và học code hiệu quả(Trả lời : mỗi ngày dành ít nhất 2 3 tiếng để code / cố gắng suy nghĩ làm bài 1 đến 2 tiếng sau đó rồi hẳn tham khảo nơi khác )?
Cách sài MyDTU để nộp học phí ?
Cách kiếm tiền dựa vào code wed  ?</t>
  </si>
  <si>
    <t>1. làm nào cách nào để đi làm thêm về nghành đang học trong khi mới vào năm 2 ?</t>
  </si>
  <si>
    <t>Cách đăng ký tín chỉ ?
Cách cải thiện kĩ năng lập trình ?
Lập kế hoạch và định hướng nghề?</t>
  </si>
  <si>
    <t xml:space="preserve">•Không học kì hè có ra trường trong trong 4 năm không ?
•Có bao nhiêu môn đại cương ?
Thời gian sinh hoạt ngoại khoá môn hướng nghiệp?
</t>
  </si>
  <si>
    <t>Lập kế hoạch và định hướng nghề?
Cách cải thiện kĩ năng lập trình?</t>
  </si>
  <si>
    <t>Cách làm đơn nghĩa vụ quân sự ?
Cách nộp tiền bảo hiểm nhanh nhất ?
Trường mình có hỗ trợ tìm kiếm việc làm cho sinh viên không ?
Cách nộp tiền giữ xe vào thẻ sinh viên ?
Cách làm đơn huỷ môn ?</t>
  </si>
  <si>
    <t>cách nộp học phí?
cách làm đơn học vượt?
cách xin thực tập?
cách đăng kí tín chỉ?
cách học tiếng anh?</t>
  </si>
  <si>
    <t>Cách tính điểm rèn luyện?</t>
  </si>
  <si>
    <t>Cách kiếm điểm rèn luyện?</t>
  </si>
  <si>
    <t>Lúc nào thì trường mình áp dụng thẻ từ vào việc giữ xe ?
Có cách nào để khắc phục tình trạng kẹt xe ở cơ sở Hoà Khánh ?</t>
  </si>
  <si>
    <t>Cách làm đơn đăng ký tín chỉ ?</t>
  </si>
  <si>
    <t>Những điều kiện để đủ tốt nghiệp ra trường?</t>
  </si>
  <si>
    <t>Học Phí , Tín chỉ và học vượt?</t>
  </si>
  <si>
    <t>Em muốn hỏi về phần đánh giá rèn luyện của năm 2021-2022 của năm 1 hiện tại không hiện thị trên hệ thống?</t>
  </si>
  <si>
    <t>- Cách để biết điểm ngoại khoá, và bao nhiêu điểm ngoại khoá là đủ yêu cầu?</t>
  </si>
  <si>
    <t>Cách đánh giá giảng viên?
Cách kiểm tra ví điện tử?</t>
  </si>
  <si>
    <t>Cách học vượt tiến độ?</t>
  </si>
  <si>
    <t>Khi nào bắt đầu thực tập được ?
Thực tập có cần phải nghỉ một thời gian tại lớp không ?
Thực tập ở một nơi khác được không ?
Thực tập sẽ ảnh hưởng tới quá trình học như thế nào ?
Thực tập trong khoảng thời gian bao lâu là được ?</t>
  </si>
  <si>
    <t>Cách tính điểm rèn luyện?
Cách rút học bạ?
Điểm rèn luyện cod tác dụng gì?
Cách bảo lưu?</t>
  </si>
  <si>
    <t>Cách làm giấy tờ chuyển ngành ?
Cách làm giấy phúc khảo bài kiểm tra ?
Cách đăng kí học lại ?</t>
  </si>
  <si>
    <t xml:space="preserve">Cách tính điểm đánh giá rèn luyện?
Điểm rèn luyện có tác dụng gì?
Cách làm giấy bảo lưu?
Có cách nào làm tăng điểm rèn luyện?
</t>
  </si>
  <si>
    <t>Cách nộp học phí, cách làm đơn đăng kí tín chỉ, cách bảo lưu điểm, cách làm đơn xin nộp học phí muộn, làm sao khi tài khoản mydtu bị khoá</t>
  </si>
  <si>
    <t>Cách đăng ký tín chỉ
Cách đánh giá rèn luyện
Cách nộp học phí
Cách qua môn
Cách học tập hiệu quả</t>
  </si>
  <si>
    <t>- Cách đăng ký vượt tín chỉ?
- Nộp phí BHYT như thế nào?
- Nhà trường có giới thiệu nơi thực tập cho sinh viên hay không?
- Khi nào có thể tham gia khải sát tiếng anh đầu ra?
- Một nhóm capstone cần bao nhiêu thành viên?</t>
  </si>
  <si>
    <t>Cách thức đánh giá điểm</t>
  </si>
  <si>
    <t xml:space="preserve">Cách đăng kí tín chỉ ?
Cách nộp học phí online ? 
Cách làm việc nhóm như thế nào cho hiệu quả ? 
Cách học tập như thế nào cho hiệu quả ? 
Cách viết CV như thế nào là phù hợp để xin việc làm ?
</t>
  </si>
  <si>
    <t>Cách làm đơn xin nộp học phí muộn?
Cách làm đơn vay tiền sinh viên?
Cách làm đơn học cải thiện?
Cách làm đơn đăng kí lại tín chỉ?
Cách đánh giá rèn luyện lại</t>
  </si>
  <si>
    <t>Cách làm đơn đăng ký học vượt?
Cách làm đơn xin trễ học phí? 
Cách làm lại thẻ sinh viên?
Điều kiện nhận học bổng?
Cách nộp học phí?</t>
  </si>
  <si>
    <t>Các chương trình nghiên cứu khoa học sắp tới?
Cách xin đơn nộp học phí muộn?
Những hoạt động thực tế trong khoa của mình?
Đầu ra khảo sát tiếng anh CMU?
Lợi ích khi tham gia nghiên cứu khoa học</t>
  </si>
  <si>
    <t>Cách nộp BHYT khi quá hạn thông báo?
Cách nhận thẻ BHYT?
Cách đăng ký học vượt?
Cách đăng ký mở lớp của môn học?
Học lực xuất sắc, giỏi, khá, trung bình, kém tương ứng GPA bao nhiêu?
Điều kiện để qua môn học?</t>
  </si>
  <si>
    <t>Đăng ký học vượt?
Cách làm đơn đăng ký tín chỉ?
Sinh viên tốt nghiệp loại nào thì được lên bục nhận bằng ?
Hổ trợ thực tập cho sinh viên CMU?
Đầu ra tiếng anh của chuẩn cmu?</t>
  </si>
  <si>
    <t>Cách mua bảo hiểm y tế?</t>
  </si>
  <si>
    <t>cách làm thẻ xe?</t>
  </si>
  <si>
    <t>cách tự học để học tốt các môn học?</t>
  </si>
  <si>
    <t>Cách đăng kí tín chỉ, khoa quốc tế có tự xếp học phí cho học sinh không ?</t>
  </si>
  <si>
    <t>Why</t>
  </si>
  <si>
    <t>Thầy bao nhiêu tuổi?
Thầy làm nghề được mấy năm?
Đánh giá rèn luyện thế nào?</t>
  </si>
  <si>
    <t>Ko</t>
  </si>
  <si>
    <t>1.Cách đăng ký tín chỉ?</t>
  </si>
  <si>
    <t>Cách làm đơn đăng ký tín chỉ?</t>
  </si>
  <si>
    <t>Không có câu hỏi?</t>
  </si>
  <si>
    <t>Cách đăng ký tín chỉ học hè?</t>
  </si>
  <si>
    <t>Cách nộp học phí? Cách đăng kí tín chỉ? Cách nạp tiền gửi xe?</t>
  </si>
  <si>
    <t>Khi nào thì trời hết nóng?</t>
  </si>
  <si>
    <t xml:space="preserve">Có bảo hiểm y tế gia đình có cần mua nữa không ?
Học hè được phép đăng kí bao nhiêu tín chỉ ?
Khi nào mới dùng hệ thống giữ xe bằng thẻ?
</t>
  </si>
  <si>
    <t xml:space="preserve">Đăng kí tín chỉ trên hệ thống như thế nào?
Học phí có tăng qua từng năm k?
 </t>
  </si>
  <si>
    <t>Thời gian nghỉ hè? Thời gian thi kthp? Thời gian học kì hè?</t>
  </si>
  <si>
    <t>Nộp học phí ở đâu? Khi nào nộp học phí ? Nộp tiền chẳn hay tiền lẻ ? Nộp nhiều lần đc honggg? Làm đơn đăng kí tín chỉ ở đâu?</t>
  </si>
  <si>
    <t>Nộp học phí ở đâu?
Khi nào thì nộp học phí?
Nộp nhiều lần có được không?
Làm đơn đăng kí tín chỉ ở đâu?
Cách nộp đơn ở đâu?</t>
  </si>
  <si>
    <t>Ngày mở đánh giá rèn luyện</t>
  </si>
  <si>
    <t xml:space="preserve">Cách đăng ký tín chỉ?
Tra cứu học phí?
Tra cứu lịch thi?
</t>
  </si>
  <si>
    <t>Đăng kí tín chỉ vào mùa hè giới hạn là bao nhiêu ?
Học phí hè đóng theo tín chỉ mà bản thân đăng kí đúng không ?
Khi muốn danh sách thi thì lấy ở đâu?
Học phí sẽ vẫn như thế hay sang năm sau hay năm sau nữa sẽ tăng ?
Đăng kí tín chỉ thế nào ?</t>
  </si>
  <si>
    <t>tiền học phí học kì hè tính như thế nào?</t>
  </si>
  <si>
    <t>Cách để bảo lưu ?
Cách để bảo lưu ?
Cách để bảo lưu ?
Cách để bảo lưu ?
Cách để bảo lưu ?</t>
  </si>
  <si>
    <t>-Cách xin nộp học phí trễ ?
-Đăng kí học hè ra sao ?
-học lại bao nhiêu tín thì hạ 1 bậc loại bằng ?
-Kế hoạch học như thế nào để học tốt hơn ?
-</t>
  </si>
  <si>
    <t>Cách tham gia nghiên cứu khoa học?</t>
  </si>
  <si>
    <t>1.Cách để đăng kí tín chỉ
2. Hướng dẫn chuyển lớp
3.Làm thế nào để phúc khảo điểm thi
4.Đầu ra tiếng anh của trường là bao nhiêu
5.Có cần thiết phải làm thẻ giữ xe không</t>
  </si>
  <si>
    <t>Nhận giấy khen tại đâu?
Muốn gặp giảng viên cố vấn tại đâu?
Quên thẻ sinh viên thì làm lại tại đâu?
Phúc khảo bài thì liên hệ những ai?</t>
  </si>
  <si>
    <t>Cách nộp học phí?
Cách đăng ký tín chỉ?
Cách ra về nhanh?
Cách mượn sách thư viện?</t>
  </si>
  <si>
    <t xml:space="preserve">1. Cách nộp học phí ?
2.Cách làm đơn đăng ký tín chỉ ?
3. Lộ trình học ?
4. Tra cứu lịch thi?
5. Phúc khảo điểm thi?
</t>
  </si>
  <si>
    <t>Thời gian đánh giá rèn luyện? 
Thời gian nộp học phí?
Thời gian nộp bảo hiểm y tế? 
Thời gian đăng ký tín chỉ?
Thời gian khai báo ngoại trú?</t>
  </si>
  <si>
    <t>Cách để đăng kí thêm tín chỉ vào các kì học?
Em đang muốn tìm hiểu sâu hơn vào chuyên ngành thì em nên hỏi thêm ở giảng viên nào?
Em muốn học lên cao hơn sau khi tốt nghiệp có được hay không?
Em muốn tìm kiếm các cơ hội thực tập tốt thì nên có điều kiện gì?
Em muốn phát triển thêm các kĩ năng về ngôn ngữ lập trình thì nên theo giảng viên nào?</t>
  </si>
  <si>
    <t>Cách đăng kí tín chỉ bổ sung?</t>
  </si>
  <si>
    <t>Cách đánh giá nhận học bổng mỗi kì?
Cách tính điểm rèn luyện
Cách tính điểm phổ cập theo điểm chữ
Gặp trường hợp thi trên sakai bị rớt ra ngoài phải làm thế nào?
Cách đăng kí cấp giấy xác nhận?</t>
  </si>
  <si>
    <t>Thông tin về bảo hiểm y tế?
Phương pháp học môn ctdl và gt?
Giới thiệu sơ lượt về nội dung và phương pháp học môn học mới?</t>
  </si>
  <si>
    <t>Cách nộp tiền thông qua ví điện tử?
Trường mình cho bao nhiêu cơ sở?
Thời gian hoạt động của trường từ khi nào đến khi nào?
Khi sắp xếp nhóm để bảo vệ đồ án cuối năm thì có thể tự sắp nhóm được không?
Cách tính GPA?</t>
  </si>
  <si>
    <t>Cách xét nhận học bổng ?
Cách làm đơn đăng ký mở lớp ?
Cách nộp bằng giáo dục quốc phòng để được miễn học học phần giáo dục quốc phòng ?
Cách đăng kí làm capstone ?
Trường có tạo điều kiện thực tập ở các công ty không?</t>
  </si>
  <si>
    <t>Đăng kí học trong hè ra sao?
Việc tham gia vào dự án thực tế trong ngành có thể giúp sinh viên phát triển kỹ năng nào?
Những cơ hội việc làm của nghành?
Mua đồ thể dục ở đâu?
Nguồn tài liệu của nghành có phong phú không?</t>
  </si>
  <si>
    <t>Cách xin chuyển xuất thi do lịch thi trùng. Bao nhiêu phần trăm bị hạ bằng</t>
  </si>
  <si>
    <t>Sinh viên năm 3 có được chuyển ngành không?
Làm sao để nâng cao khả năng tiếp thu kiến thức?
Cách ôn bài hiệu quả ?
Cách làm việc nhóm hiệu quả?
Sinh viên năm 3 không còn đam mê với ngành học thì phải làm sao?</t>
  </si>
  <si>
    <t>1.Cách đánh giá rèn luyện lại các kì trước?</t>
  </si>
  <si>
    <t xml:space="preserve">Cách làm đơn đăng ký mở lớp?
Cách thức chọn nhóm capstone?
Những chương trình học thạc sĩ tại các trường quốc tế và những hỗ trợ của trường? </t>
  </si>
  <si>
    <t xml:space="preserve">-Anh văn đầu ra của ngành?
-Ngành hệ thống thông tin cần học Tin học đầu ra không?
-Số tin chỉ được đăng ký tối đa?
-Chương trình học vượt như thế nào? 
-Cách chia nhóm làm đồ án tốt nghiệp? 
-Có được mua BHYT ngoài trường không?
</t>
  </si>
  <si>
    <t xml:space="preserve">Số tín chỉ đăng kí là bao nhiêu?
Học bên công nghệ thông tin có học tin học đầu ra không.?
Anh văn đầu ra của ngành?
Cách làm đồ án tốt nghiệp?
Chương trình học vượt như thế nào?
</t>
  </si>
  <si>
    <t>Hiện tại bên ngành mình  có nên học chứng chỉ MOS không ạ ?
Làm sao để đăng kí học lấy chứng chỉ công nghệ thông tin FE?
Làm nghiên cứu khoa học thì sẽ được cộng bao nhiêu điểm vào đồ án tốt nghiệp? 
Khi làm đồ án tốt nghiệp thì sẽ được chia theo thang điểm hay sẽ được chọn nhóm ? 
Giữa thi tốt nghiệp và làm đồ án tốt nghiệp thì cái nào sẽ ổn hơn</t>
  </si>
  <si>
    <t>Những điều kiện cần thiết để được tốt nghiệp ra trường?</t>
  </si>
  <si>
    <t xml:space="preserve">Cách nhận được thông báo dễ dàng mỗi khi có kì đánh giá rèn luyện?
Các thông báo thay đổi của trường mỗi khi có các vấn đề?
Làm sao để thoát khỏi cái nhà gửi xe lúc vào học và lúc ra về nhanh hơn?
</t>
  </si>
  <si>
    <t>-Cách đưa ra cảnh báo khi không đánh giá rèn luyện?
- Xác định được xu hướng nghành nghề hiện tại trên thị trường</t>
  </si>
  <si>
    <t>Hổ trợ thông tin về đồ án tốt nghiệp?
Cách đăng nhập gmail của trường ( cấp cho sinh viên ) vào tài khoản zoom?
Cách nộp bài trên dopbox?
Tìm kiếm tài liệu học tập ở đâu?
Cách đăng ký mua bảo hiểm y tế?
Địa chỉ các cơ sở của trường?
Cách nộp bài tập về nhà trên assiment?</t>
  </si>
  <si>
    <t>cách làm đơn đăng kí học cải thiện?</t>
  </si>
  <si>
    <t>Em không có câu hỏi</t>
  </si>
  <si>
    <t>đăng kí tín chỉ?</t>
  </si>
  <si>
    <t>Em không có</t>
  </si>
  <si>
    <t>Cách học c++ tốt?</t>
  </si>
  <si>
    <t>xin đơn chuyển ngành ở đau?</t>
  </si>
  <si>
    <t>Chuyển ngành sẽ nộp đơn ở đâu?
Làm sao để xóa tín chỉ mình đăng ký khi đã bị đóng mydtu?</t>
  </si>
  <si>
    <t>Cách thay đổi môn học?</t>
  </si>
  <si>
    <t>chưa có câu hỏi</t>
  </si>
  <si>
    <t>Cách khai báo ngoại trú
Cách đánh giá điểm rèn luyện</t>
  </si>
  <si>
    <t>Cách nộp học phí theo cách trực tuyến ?</t>
  </si>
  <si>
    <t>Chưa có câu hỏi</t>
  </si>
  <si>
    <t>Cách tìm môn mình cần học?</t>
  </si>
  <si>
    <t>Cách đăng ký tín chỉ ?
Nộp học phí qua ngân hàng như thế nào ?</t>
  </si>
  <si>
    <t>Làm đơn đăng ký tín chỉ?</t>
  </si>
  <si>
    <t>ch có câu hỏi</t>
  </si>
  <si>
    <t xml:space="preserve">Cách nộp học phí?  
Cách đăng kí tín chỉ?
</t>
  </si>
  <si>
    <t>Cach nop hoc phi?</t>
  </si>
  <si>
    <t>Cách nào để sinh viên biết được cấu trúc của môn học trước khi đăng kí môn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</si>
</sst>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6">
    <font>
      <sz val="11"/>
      <color theme="1"/>
      <name val="Calibri"/>
      <scheme val="minor"/>
    </font>
    <font>
      <sz val="11"/>
      <color theme="1"/>
      <name val="Calibri"/>
    </font>
    <font>
      <sz val="11"/>
      <color theme="1"/>
      <name val="Calibri"/>
      <scheme val="minor"/>
    </font>
    <font>
      <u/>
      <sz val="11"/>
      <color theme="1"/>
      <name val="Calibri"/>
    </font>
    <font>
      <sz val="11"/>
      <name val="Calibri"/>
    </font>
    <font>
      <u/>
      <sz val="11"/>
      <color rgb="FF0000FF"/>
      <name val="Calibri"/>
    </font>
    <font>
      <b/>
      <sz val="11"/>
      <color theme="1"/>
      <name val="Calibri"/>
    </font>
    <font>
      <sz val="11"/>
      <color rgb="FF000000"/>
      <name val="Calibri"/>
    </font>
    <font>
      <sz val="11"/>
      <color rgb="FF000000"/>
      <name val="Calibri"/>
    </font>
    <font>
      <sz val="11"/>
      <color rgb="FF000000"/>
      <name val="Docs-Calibri"/>
    </font>
    <font>
      <u/>
      <sz val="11"/>
      <color rgb="FF0000FF"/>
      <name val="Calibri"/>
    </font>
    <font>
      <u/>
      <sz val="11"/>
      <color rgb="FF0000FF"/>
      <name val="Calibri"/>
    </font>
    <font>
      <sz val="11"/>
      <color theme="1"/>
      <name val="Arial"/>
    </font>
    <font>
      <u/>
      <sz val="11"/>
      <color rgb="FF1155CC"/>
      <name val="Calibri"/>
    </font>
    <font>
      <u/>
      <sz val="11"/>
      <color rgb="FF0563C1"/>
      <name val="Calibri"/>
    </font>
    <font>
      <sz val="11"/>
      <color rgb="FFFF0000"/>
      <name val="Calibri"/>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EFEFEF"/>
        <bgColor rgb="FFEFEFEF"/>
      </patternFill>
    </fill>
    <fill>
      <patternFill patternType="solid">
        <fgColor rgb="FFF3F3F3"/>
        <bgColor rgb="FFF3F3F3"/>
      </patternFill>
    </fill>
  </fills>
  <borders count="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47">
    <xf numFmtId="0" fontId="0" fillId="0" borderId="0" xfId="0"/>
    <xf numFmtId="0" fontId="2" fillId="0" borderId="2"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6" fillId="0" borderId="2" xfId="0" applyFont="1" applyBorder="1" applyAlignment="1">
      <alignment vertical="center" wrapText="1"/>
    </xf>
    <xf numFmtId="0" fontId="7" fillId="0" borderId="2" xfId="0" applyFont="1" applyBorder="1" applyAlignment="1">
      <alignment vertical="center" wrapText="1"/>
    </xf>
    <xf numFmtId="0" fontId="2" fillId="0" borderId="2" xfId="0" applyFont="1" applyBorder="1"/>
    <xf numFmtId="0" fontId="2" fillId="0" borderId="1" xfId="0" applyFont="1" applyBorder="1" applyAlignment="1">
      <alignment vertical="center" wrapText="1"/>
    </xf>
    <xf numFmtId="0" fontId="2" fillId="0" borderId="0" xfId="0" applyFont="1"/>
    <xf numFmtId="0" fontId="9" fillId="2" borderId="2" xfId="0" applyFont="1" applyFill="1" applyBorder="1" applyAlignment="1">
      <alignment horizontal="left" wrapText="1"/>
    </xf>
    <xf numFmtId="0" fontId="0" fillId="0" borderId="2" xfId="0" applyBorder="1" applyAlignment="1">
      <alignment horizontal="left" wrapText="1"/>
    </xf>
    <xf numFmtId="0" fontId="0" fillId="3" borderId="2" xfId="0" applyFill="1" applyBorder="1" applyAlignment="1">
      <alignment wrapText="1"/>
    </xf>
    <xf numFmtId="0" fontId="6" fillId="0" borderId="2" xfId="0" applyFont="1" applyBorder="1" applyAlignment="1">
      <alignment horizontal="left" vertical="center" wrapText="1"/>
    </xf>
    <xf numFmtId="0" fontId="2" fillId="0" borderId="2" xfId="0" applyFont="1" applyBorder="1" applyAlignment="1">
      <alignment horizontal="left" vertical="center" wrapText="1"/>
    </xf>
    <xf numFmtId="0" fontId="9" fillId="2" borderId="0" xfId="0" applyFont="1" applyFill="1" applyAlignment="1">
      <alignment horizontal="left"/>
    </xf>
    <xf numFmtId="0" fontId="12" fillId="0" borderId="2" xfId="0" applyFont="1" applyBorder="1" applyAlignment="1">
      <alignment wrapText="1"/>
    </xf>
    <xf numFmtId="0" fontId="12" fillId="4" borderId="0" xfId="0" applyFont="1" applyFill="1" applyAlignment="1">
      <alignment wrapText="1"/>
    </xf>
    <xf numFmtId="0" fontId="12" fillId="5" borderId="0" xfId="0" applyFont="1" applyFill="1" applyAlignment="1">
      <alignment wrapText="1"/>
    </xf>
    <xf numFmtId="0" fontId="12" fillId="6" borderId="0" xfId="0" applyFont="1" applyFill="1" applyAlignment="1">
      <alignment wrapText="1"/>
    </xf>
    <xf numFmtId="0" fontId="12" fillId="0" borderId="0" xfId="0" applyFont="1" applyAlignment="1">
      <alignment wrapText="1"/>
    </xf>
    <xf numFmtId="0" fontId="12" fillId="4" borderId="0" xfId="0" applyFont="1" applyFill="1"/>
    <xf numFmtId="164" fontId="12" fillId="0" borderId="0" xfId="0" applyNumberFormat="1" applyFont="1"/>
    <xf numFmtId="0" fontId="12" fillId="0" borderId="0" xfId="0" applyFont="1"/>
    <xf numFmtId="0" fontId="2" fillId="0" borderId="1" xfId="0" applyFont="1" applyBorder="1" applyAlignment="1">
      <alignment wrapText="1"/>
    </xf>
    <xf numFmtId="0" fontId="4" fillId="0" borderId="3" xfId="0" applyFont="1" applyBorder="1"/>
    <xf numFmtId="0" fontId="4" fillId="0" borderId="4" xfId="0" applyFont="1" applyBorder="1"/>
    <xf numFmtId="0" fontId="5" fillId="0" borderId="1" xfId="0" applyFont="1" applyBorder="1" applyAlignment="1">
      <alignment wrapText="1"/>
    </xf>
    <xf numFmtId="0" fontId="3"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8"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xf numFmtId="0" fontId="2" fillId="0" borderId="5" xfId="0" applyFont="1" applyBorder="1"/>
    <xf numFmtId="0" fontId="4" fillId="0" borderId="5" xfId="0" applyFont="1" applyBorder="1"/>
    <xf numFmtId="0" fontId="4" fillId="0" borderId="6" xfId="0" applyFont="1" applyBorder="1"/>
    <xf numFmtId="0" fontId="0" fillId="0" borderId="0" xfId="0"/>
    <xf numFmtId="0" fontId="10" fillId="0" borderId="1" xfId="0" applyFont="1" applyBorder="1" applyAlignment="1">
      <alignment vertical="center" wrapText="1"/>
    </xf>
    <xf numFmtId="0" fontId="11" fillId="0" borderId="1" xfId="0" applyFont="1" applyBorder="1" applyAlignment="1">
      <alignment horizontal="left" vertical="center" wrapText="1"/>
    </xf>
    <xf numFmtId="0" fontId="2" fillId="0" borderId="1" xfId="0" applyFont="1" applyBorder="1" applyAlignment="1">
      <alignment horizontal="left" vertical="center" wrapText="1"/>
    </xf>
    <xf numFmtId="0" fontId="8" fillId="0" borderId="1" xfId="0" applyFont="1" applyBorder="1" applyAlignment="1">
      <alignment horizontal="left" vertical="center" wrapText="1"/>
    </xf>
    <xf numFmtId="0" fontId="2" fillId="0" borderId="0" xfId="0" applyFont="1" applyAlignment="1">
      <alignment wrapText="1"/>
    </xf>
    <xf numFmtId="0" fontId="2" fillId="0" borderId="3" xfId="0" applyFont="1" applyBorder="1" applyAlignment="1">
      <alignment wrapText="1"/>
    </xf>
    <xf numFmtId="0" fontId="2" fillId="0" borderId="1" xfId="0" applyFont="1" applyBorder="1" applyAlignment="1"/>
    <xf numFmtId="0" fontId="1" fillId="0" borderId="1" xfId="0" applyFont="1" applyBorder="1" applyAlignment="1">
      <alignment vertical="center" wrapText="1"/>
    </xf>
    <xf numFmtId="0" fontId="2" fillId="0" borderId="5"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kdtqt.duytan.edu.vn/Home/ArticleDetail/vn/61/5986/mau-don-xin-hoc-lai" TargetMode="External"/><Relationship Id="rId18" Type="http://schemas.openxmlformats.org/officeDocument/2006/relationships/hyperlink" Target="https://kdtqt.duytan.edu.vn/Home/ArticleDetail/vn/61/5988/mau-don-xin-chuyen-truong" TargetMode="External"/><Relationship Id="rId26" Type="http://schemas.openxmlformats.org/officeDocument/2006/relationships/hyperlink" Target="https://is.duytan.edu.vn/announcements/thong-bao-vv-huong-dan-nop-tien-giu-xe-vao-vi" TargetMode="External"/><Relationship Id="rId39" Type="http://schemas.openxmlformats.org/officeDocument/2006/relationships/hyperlink" Target="https://drive.google.com/file/d/1MyK90ihiyT9-HcraHCM3w632V3NVoDI-/view?usp=sharing" TargetMode="External"/><Relationship Id="rId21" Type="http://schemas.openxmlformats.org/officeDocument/2006/relationships/hyperlink" Target="http://ktxdn.vn/" TargetMode="External"/><Relationship Id="rId34" Type="http://schemas.openxmlformats.org/officeDocument/2006/relationships/hyperlink" Target="https://hssv.duytan.edu.vn/Home/ArticleDetail/vn/156/2146/" TargetMode="External"/><Relationship Id="rId7" Type="http://schemas.openxmlformats.org/officeDocument/2006/relationships/hyperlink" Target="https://bang2.duytan.edu.vn/uploads/66d25526-ee3a-4e91-94fd-775f76110164_bangquydoicacthangdiemvaxeploaidiemhocphan2016.pdf" TargetMode="External"/><Relationship Id="rId2" Type="http://schemas.openxmlformats.org/officeDocument/2006/relationships/hyperlink" Target="https://is.duytan.edu.vn/announcements/quyet-dinh-vv-ban-hanh-muc-thu-le-phi-datn-bv" TargetMode="External"/><Relationship Id="rId16" Type="http://schemas.openxmlformats.org/officeDocument/2006/relationships/hyperlink" Target="https://kdtqt.duytan.edu.vn/Home/ArticleDetail/vn/61/5987/mau-don-xin-thoi-hoc" TargetMode="External"/><Relationship Id="rId20" Type="http://schemas.openxmlformats.org/officeDocument/2006/relationships/hyperlink" Target="https://kdtqt.duytan.edu.vn/Home/ArticleDetail/vn/61/5982/mau-don-xin-rut-bot-hoc-phan-dang-ky" TargetMode="External"/><Relationship Id="rId29" Type="http://schemas.openxmlformats.org/officeDocument/2006/relationships/hyperlink" Target="https://khoaxaydung.duytan.edu.vn/media/87217/ve-viec-thu-nop-hoc-phi-cua-truong-dai-hoc-duy-tan-thang-12-2022.pdf" TargetMode="External"/><Relationship Id="rId41" Type="http://schemas.openxmlformats.org/officeDocument/2006/relationships/hyperlink" Target="https://drive.google.com/drive/folders/1Ao3ckUpukxcO28HZoUKmdjT3PyqPvRjz?usp=sharing" TargetMode="External"/><Relationship Id="rId1" Type="http://schemas.openxmlformats.org/officeDocument/2006/relationships/hyperlink" Target="https://hssv.duytan.edu.vn/Home/ArticleDetail/vn/163/1900" TargetMode="External"/><Relationship Id="rId6" Type="http://schemas.openxmlformats.org/officeDocument/2006/relationships/hyperlink" Target="https://www.facebook.com/khoadaotaoquocte" TargetMode="External"/><Relationship Id="rId11" Type="http://schemas.openxmlformats.org/officeDocument/2006/relationships/hyperlink" Target="https://kdtqt.duytan.edu.vn/Home/ArticleDetail/vn/61/5983/mau-phieu-dang-ky-mon-hoc" TargetMode="External"/><Relationship Id="rId24" Type="http://schemas.openxmlformats.org/officeDocument/2006/relationships/hyperlink" Target="https://www.facebook.com/100064349243516/posts/8051289508276832/" TargetMode="External"/><Relationship Id="rId32" Type="http://schemas.openxmlformats.org/officeDocument/2006/relationships/hyperlink" Target="https://hssv.duytan.edu.vn/Home/ArticleDetail/vn/172/1879/)" TargetMode="External"/><Relationship Id="rId37" Type="http://schemas.openxmlformats.org/officeDocument/2006/relationships/hyperlink" Target="https://langmaster.edu.vn/lo-trinh-tu-hoc-tieng-anh-tai-nha-hieu-qua-cho-nguoi-mat-goc" TargetMode="External"/><Relationship Id="rId40" Type="http://schemas.openxmlformats.org/officeDocument/2006/relationships/hyperlink" Target="https://topdev.vn/blog/lo-trinh-cho-moi-nha-phat-trien-web/" TargetMode="External"/><Relationship Id="rId5" Type="http://schemas.openxmlformats.org/officeDocument/2006/relationships/hyperlink" Target="https://bang2.duytan.edu.vn/Home/ArticleDetail/vn/64/1639/bang-quy-doi-cac-thang-diem-va-xep-loai-diem-hoc-phan" TargetMode="External"/><Relationship Id="rId15" Type="http://schemas.openxmlformats.org/officeDocument/2006/relationships/hyperlink" Target="https://docs.google.com/document/d/1Jr86LorFIMX4HqkwmQcvRWX4Tm9XUcPw/edit?usp=sharing&amp;ouid=110232582114687422531&amp;rtpof=true&amp;sd=true" TargetMode="External"/><Relationship Id="rId23" Type="http://schemas.openxmlformats.org/officeDocument/2006/relationships/hyperlink" Target="https://www.facebook.com/khoadaotaoquocte" TargetMode="External"/><Relationship Id="rId28" Type="http://schemas.openxmlformats.org/officeDocument/2006/relationships/hyperlink" Target="https://drive.google.com/file/d/1gFE3lRo-eTtYRQvMn_IxIsrjzHVLDxr7/view?usp=sharing" TargetMode="External"/><Relationship Id="rId36" Type="http://schemas.openxmlformats.org/officeDocument/2006/relationships/hyperlink" Target="https://courses.duytan.edu.vn/Sites/Home_ChuongTrinhDaoTao.aspx" TargetMode="External"/><Relationship Id="rId10" Type="http://schemas.openxmlformats.org/officeDocument/2006/relationships/hyperlink" Target="https://docs.google.com/document/d/1C7fLWKQ2tFSV3oHBgaJ0j8WgGJ9et0T_/edit?usp=sharing&amp;ouid=110232582114687422531&amp;rtpof=true&amp;sd=true" TargetMode="External"/><Relationship Id="rId19" Type="http://schemas.openxmlformats.org/officeDocument/2006/relationships/hyperlink" Target="https://kdtqt.duytan.edu.vn/Home/ArticleDetail/vn/61/5984/mau-don-xet-tham-du-tot-nghiep" TargetMode="External"/><Relationship Id="rId31" Type="http://schemas.openxmlformats.org/officeDocument/2006/relationships/hyperlink" Target="https://hssv.duytan.edu.vn/Home/ArticleDetail/vn/165/1944" TargetMode="External"/><Relationship Id="rId4" Type="http://schemas.openxmlformats.org/officeDocument/2006/relationships/hyperlink" Target="https://kdtqt.duytan.edu.vn/Home/ArticleDetail/vn/40/6450" TargetMode="External"/><Relationship Id="rId9" Type="http://schemas.openxmlformats.org/officeDocument/2006/relationships/hyperlink" Target="https://kdtqt.duytan.edu.vn/Home/ArticleDetail/vn/61/5989/mau-don-xin-chuyen-nganh-hoc" TargetMode="External"/><Relationship Id="rId14" Type="http://schemas.openxmlformats.org/officeDocument/2006/relationships/hyperlink" Target="https://kdtqt.duytan.edu.vn/Home/ArticleDetail/vn/61/5981/mau-don-xin-chuyen-lop-hoc" TargetMode="External"/><Relationship Id="rId22" Type="http://schemas.openxmlformats.org/officeDocument/2006/relationships/hyperlink" Target="https://www.facebook.com/khoadaotaoquocte" TargetMode="External"/><Relationship Id="rId27" Type="http://schemas.openxmlformats.org/officeDocument/2006/relationships/hyperlink" Target="https://drive.google.com/file/d/1gFE3lRo-eTtYRQvMn_IxIsrjzHVLDxr7/view?usp=sharing" TargetMode="External"/><Relationship Id="rId30" Type="http://schemas.openxmlformats.org/officeDocument/2006/relationships/hyperlink" Target="https://duytan.edu.vn/tuyen-sinh/Page/SchollashipViewDetail.aspx?id=90" TargetMode="External"/><Relationship Id="rId35" Type="http://schemas.openxmlformats.org/officeDocument/2006/relationships/hyperlink" Target="https://hssv.duytan.edu.vn/Home/ArticleDetail/vn/163/1253" TargetMode="External"/><Relationship Id="rId8" Type="http://schemas.openxmlformats.org/officeDocument/2006/relationships/hyperlink" Target="https://kdtqt.duytan.edu.vn/Home/ArticleDetail/vn/61/5980/mau-don-xin-phep-hoc-vuot" TargetMode="External"/><Relationship Id="rId3" Type="http://schemas.openxmlformats.org/officeDocument/2006/relationships/hyperlink" Target="https://kdtqt.duytan.edu.vn/Home/ArticleDetail/vn/40/6450" TargetMode="External"/><Relationship Id="rId12" Type="http://schemas.openxmlformats.org/officeDocument/2006/relationships/hyperlink" Target="https://kdtqt.duytan.edu.vn/Home/ArticleDetail/vn/61/5985/mau-don-xin-bao-luu-ket-qua-hoc-tap" TargetMode="External"/><Relationship Id="rId17" Type="http://schemas.openxmlformats.org/officeDocument/2006/relationships/hyperlink" Target="https://docs.google.com/document/d/1gWqWDyalXr-HFYJ6-Bn4M7Rtv53BXCaO/edit?usp=sharing&amp;ouid=110232582114687422531&amp;rtpof=true&amp;sd=true" TargetMode="External"/><Relationship Id="rId25" Type="http://schemas.openxmlformats.org/officeDocument/2006/relationships/hyperlink" Target="https://pdaotao.duytan.edu.vn/home/Default.aspx?lang=VN" TargetMode="External"/><Relationship Id="rId33" Type="http://schemas.openxmlformats.org/officeDocument/2006/relationships/hyperlink" Target="https://hssv.duytan.edu.vn/Home/ArticleDetail/vn/163/2024" TargetMode="External"/><Relationship Id="rId38" Type="http://schemas.openxmlformats.org/officeDocument/2006/relationships/hyperlink" Target="https://duytan.edu.vn/tuyen-sinh/Page/ArticleViewDetail.aspx?id=121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kdtqt.duytan.edu.vn/Home/ArticleDetail/vn/40/6450" TargetMode="External"/><Relationship Id="rId7" Type="http://schemas.openxmlformats.org/officeDocument/2006/relationships/hyperlink" Target="https://bang2.duytan.edu.vn/uploads/66d25526-ee3a-4e91-94fd-775f76110164_bangquydoicacthangdiemvaxeploaidiemhocphan2016.pdf" TargetMode="External"/><Relationship Id="rId2" Type="http://schemas.openxmlformats.org/officeDocument/2006/relationships/hyperlink" Target="https://is.duytan.edu.vn/announcements/quyet-dinh-vv-ban-hanh-muc-thu-le-phi-datn-bv" TargetMode="External"/><Relationship Id="rId1" Type="http://schemas.openxmlformats.org/officeDocument/2006/relationships/hyperlink" Target="https://hssv.duytan.edu.vn/Home/ArticleDetail/vn/163/1900" TargetMode="External"/><Relationship Id="rId6" Type="http://schemas.openxmlformats.org/officeDocument/2006/relationships/hyperlink" Target="https://www.facebook.com/khoadaotaoquocte" TargetMode="External"/><Relationship Id="rId5" Type="http://schemas.openxmlformats.org/officeDocument/2006/relationships/hyperlink" Target="https://bang2.duytan.edu.vn/Home/ArticleDetail/vn/64/1639/bang-quy-doi-cac-thang-diem-va-xep-loai-diem-hoc-phan" TargetMode="External"/><Relationship Id="rId4" Type="http://schemas.openxmlformats.org/officeDocument/2006/relationships/hyperlink" Target="https://kdtqt.duytan.edu.vn/Home/ArticleDetail/vn/40/645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document/d/1Jr86LorFIMX4HqkwmQcvRWX4Tm9XUcPw/edit?usp=sharing&amp;ouid=110232582114687422531&amp;rtpof=true&amp;sd=true" TargetMode="External"/><Relationship Id="rId13" Type="http://schemas.openxmlformats.org/officeDocument/2006/relationships/hyperlink" Target="https://kdtqt.duytan.edu.vn/Home/ArticleDetail/vn/61/5982/mau-don-xin-rut-bot-hoc-phan-dang-ky" TargetMode="External"/><Relationship Id="rId3" Type="http://schemas.openxmlformats.org/officeDocument/2006/relationships/hyperlink" Target="https://docs.google.com/document/d/1C7fLWKQ2tFSV3oHBgaJ0j8WgGJ9et0T_/edit?usp=sharing&amp;ouid=110232582114687422531&amp;rtpof=true&amp;sd=true" TargetMode="External"/><Relationship Id="rId7" Type="http://schemas.openxmlformats.org/officeDocument/2006/relationships/hyperlink" Target="https://kdtqt.duytan.edu.vn/Home/ArticleDetail/vn/61/5981/mau-don-xin-chuyen-lop-hoc" TargetMode="External"/><Relationship Id="rId12" Type="http://schemas.openxmlformats.org/officeDocument/2006/relationships/hyperlink" Target="https://kdtqt.duytan.edu.vn/Home/ArticleDetail/vn/61/5984/mau-don-xet-tham-du-tot-nghiep" TargetMode="External"/><Relationship Id="rId2" Type="http://schemas.openxmlformats.org/officeDocument/2006/relationships/hyperlink" Target="https://kdtqt.duytan.edu.vn/Home/ArticleDetail/vn/61/5989/mau-don-xin-chuyen-nganh-hoc" TargetMode="External"/><Relationship Id="rId1" Type="http://schemas.openxmlformats.org/officeDocument/2006/relationships/hyperlink" Target="https://kdtqt.duytan.edu.vn/Home/ArticleDetail/vn/61/5980/mau-don-xin-phep-hoc-vuot" TargetMode="External"/><Relationship Id="rId6" Type="http://schemas.openxmlformats.org/officeDocument/2006/relationships/hyperlink" Target="https://kdtqt.duytan.edu.vn/Home/ArticleDetail/vn/61/5986/mau-don-xin-hoc-lai" TargetMode="External"/><Relationship Id="rId11" Type="http://schemas.openxmlformats.org/officeDocument/2006/relationships/hyperlink" Target="https://kdtqt.duytan.edu.vn/Home/ArticleDetail/vn/61/5988/mau-don-xin-chuyen-truong" TargetMode="External"/><Relationship Id="rId5" Type="http://schemas.openxmlformats.org/officeDocument/2006/relationships/hyperlink" Target="https://kdtqt.duytan.edu.vn/Home/ArticleDetail/vn/61/5985/mau-don-xin-bao-luu-ket-qua-hoc-tap" TargetMode="External"/><Relationship Id="rId10" Type="http://schemas.openxmlformats.org/officeDocument/2006/relationships/hyperlink" Target="https://docs.google.com/document/d/1gWqWDyalXr-HFYJ6-Bn4M7Rtv53BXCaO/edit?usp=sharing&amp;ouid=110232582114687422531&amp;rtpof=true&amp;sd=true" TargetMode="External"/><Relationship Id="rId4" Type="http://schemas.openxmlformats.org/officeDocument/2006/relationships/hyperlink" Target="https://kdtqt.duytan.edu.vn/Home/ArticleDetail/vn/61/5983/mau-phieu-dang-ky-mon-hoc" TargetMode="External"/><Relationship Id="rId9" Type="http://schemas.openxmlformats.org/officeDocument/2006/relationships/hyperlink" Target="https://kdtqt.duytan.edu.vn/Home/ArticleDetail/vn/61/5987/mau-don-xin-thoi-hoc"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facebook.com/khoadaotaoquocte" TargetMode="External"/><Relationship Id="rId2" Type="http://schemas.openxmlformats.org/officeDocument/2006/relationships/hyperlink" Target="https://www.facebook.com/khoadaotaoquocte" TargetMode="External"/><Relationship Id="rId1" Type="http://schemas.openxmlformats.org/officeDocument/2006/relationships/hyperlink" Target="http://ktxdn.vn/" TargetMode="External"/><Relationship Id="rId6" Type="http://schemas.openxmlformats.org/officeDocument/2006/relationships/hyperlink" Target="https://is.duytan.edu.vn/announcements/thong-bao-vv-huong-dan-nop-tien-giu-xe-vao-vi" TargetMode="External"/><Relationship Id="rId5" Type="http://schemas.openxmlformats.org/officeDocument/2006/relationships/hyperlink" Target="https://pdaotao.duytan.edu.vn/home/Default.aspx?lang=VN" TargetMode="External"/><Relationship Id="rId4" Type="http://schemas.openxmlformats.org/officeDocument/2006/relationships/hyperlink" Target="https://www.facebook.com/100064349243516/posts/805128950827683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khoaxaydung.duytan.edu.vn/media/87217/ve-viec-thu-nop-hoc-phi-cua-truong-dai-hoc-duy-tan-thang-12-2022.pdf" TargetMode="External"/><Relationship Id="rId2" Type="http://schemas.openxmlformats.org/officeDocument/2006/relationships/hyperlink" Target="https://drive.google.com/file/d/1gFE3lRo-eTtYRQvMn_IxIsrjzHVLDxr7/view?usp=sharing" TargetMode="External"/><Relationship Id="rId1" Type="http://schemas.openxmlformats.org/officeDocument/2006/relationships/hyperlink" Target="https://drive.google.com/file/d/1gFE3lRo-eTtYRQvMn_IxIsrjzHVLDxr7/view?usp=sharing" TargetMode="External"/><Relationship Id="rId5" Type="http://schemas.openxmlformats.org/officeDocument/2006/relationships/hyperlink" Target="https://hssv.duytan.edu.vn/Home/ArticleDetail/vn/165/1944" TargetMode="External"/><Relationship Id="rId4" Type="http://schemas.openxmlformats.org/officeDocument/2006/relationships/hyperlink" Target="https://duytan.edu.vn/tuyen-sinh/Page/SchollashipViewDetail.aspx?id=9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hssv.duytan.edu.vn/Home/ArticleDetail/vn/156/2146/" TargetMode="External"/><Relationship Id="rId2" Type="http://schemas.openxmlformats.org/officeDocument/2006/relationships/hyperlink" Target="https://hssv.duytan.edu.vn/Home/ArticleDetail/vn/163/2024" TargetMode="External"/><Relationship Id="rId1" Type="http://schemas.openxmlformats.org/officeDocument/2006/relationships/hyperlink" Target="https://hssv.duytan.edu.vn/Home/ArticleDetail/vn/172/1879/)" TargetMode="External"/><Relationship Id="rId4" Type="http://schemas.openxmlformats.org/officeDocument/2006/relationships/hyperlink" Target="https://hssv.duytan.edu.vn/Home/ArticleDetail/vn/163/125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ourses.duytan.edu.vn/Sites/Home_ChuongTrinhDaoTao.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file/d/1MyK90ihiyT9-HcraHCM3w632V3NVoDI-/view?usp=sharing" TargetMode="External"/><Relationship Id="rId2" Type="http://schemas.openxmlformats.org/officeDocument/2006/relationships/hyperlink" Target="https://duytan.edu.vn/tuyen-sinh/Page/ArticleViewDetail.aspx?id=1217" TargetMode="External"/><Relationship Id="rId1" Type="http://schemas.openxmlformats.org/officeDocument/2006/relationships/hyperlink" Target="https://langmaster.edu.vn/lo-trinh-tu-hoc-tieng-anh-tai-nha-hieu-qua-cho-nguoi-mat-goc"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drive/folders/1Ao3ckUpukxcO28HZoUKmdjT3PyqPvRjz?usp=sharing" TargetMode="External"/><Relationship Id="rId1" Type="http://schemas.openxmlformats.org/officeDocument/2006/relationships/hyperlink" Target="https://topdev.vn/blog/lo-trinh-cho-moi-nha-phat-trien-we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92309-7D44-40DE-8BC2-E415794B8C7A}">
  <sheetPr>
    <tabColor rgb="FF00B050"/>
  </sheetPr>
  <dimension ref="A1:C543"/>
  <sheetViews>
    <sheetView tabSelected="1" topLeftCell="A527" workbookViewId="0">
      <selection activeCell="A546" sqref="A546"/>
    </sheetView>
  </sheetViews>
  <sheetFormatPr defaultRowHeight="14.4"/>
  <cols>
    <col min="1" max="1" width="51.44140625" customWidth="1"/>
    <col min="2" max="2" width="39.33203125" customWidth="1"/>
    <col min="3" max="3" width="61.21875" customWidth="1"/>
  </cols>
  <sheetData>
    <row r="1" spans="1:3" ht="19.95" customHeight="1">
      <c r="A1" s="5" t="s">
        <v>62</v>
      </c>
      <c r="B1" s="5" t="s">
        <v>63</v>
      </c>
      <c r="C1" s="5" t="s">
        <v>64</v>
      </c>
    </row>
    <row r="2" spans="1:3" ht="19.95" customHeight="1">
      <c r="A2" s="45" t="s">
        <v>0</v>
      </c>
      <c r="B2" s="1" t="s">
        <v>1</v>
      </c>
      <c r="C2" s="28" t="s">
        <v>2</v>
      </c>
    </row>
    <row r="3" spans="1:3" ht="19.95" customHeight="1">
      <c r="A3" s="45" t="s">
        <v>0</v>
      </c>
      <c r="B3" s="1" t="s">
        <v>3</v>
      </c>
      <c r="C3" s="25"/>
    </row>
    <row r="4" spans="1:3" ht="19.95" customHeight="1">
      <c r="A4" s="45" t="s">
        <v>0</v>
      </c>
      <c r="B4" s="1" t="s">
        <v>4</v>
      </c>
      <c r="C4" s="25"/>
    </row>
    <row r="5" spans="1:3" ht="19.95" customHeight="1">
      <c r="A5" s="45" t="s">
        <v>0</v>
      </c>
      <c r="B5" s="1" t="s">
        <v>5</v>
      </c>
      <c r="C5" s="26"/>
    </row>
    <row r="6" spans="1:3" ht="19.95" customHeight="1">
      <c r="A6" s="3" t="s">
        <v>6</v>
      </c>
      <c r="B6" s="4" t="s">
        <v>7</v>
      </c>
      <c r="C6" s="27" t="s">
        <v>8</v>
      </c>
    </row>
    <row r="7" spans="1:3" ht="19.95" customHeight="1">
      <c r="A7" s="3" t="s">
        <v>6</v>
      </c>
      <c r="B7" s="4" t="s">
        <v>9</v>
      </c>
      <c r="C7" s="25"/>
    </row>
    <row r="8" spans="1:3" ht="19.95" customHeight="1">
      <c r="A8" s="3" t="s">
        <v>6</v>
      </c>
      <c r="B8" s="4" t="s">
        <v>10</v>
      </c>
      <c r="C8" s="25"/>
    </row>
    <row r="9" spans="1:3" ht="19.95" customHeight="1">
      <c r="A9" s="3" t="s">
        <v>6</v>
      </c>
      <c r="B9" s="4" t="s">
        <v>11</v>
      </c>
      <c r="C9" s="25"/>
    </row>
    <row r="10" spans="1:3" ht="19.95" customHeight="1">
      <c r="A10" s="3" t="s">
        <v>6</v>
      </c>
      <c r="B10" s="4" t="s">
        <v>12</v>
      </c>
      <c r="C10" s="25"/>
    </row>
    <row r="11" spans="1:3" ht="19.95" customHeight="1">
      <c r="A11" s="3" t="s">
        <v>6</v>
      </c>
      <c r="B11" s="4" t="s">
        <v>13</v>
      </c>
      <c r="C11" s="25"/>
    </row>
    <row r="12" spans="1:3" ht="19.95" customHeight="1">
      <c r="A12" s="3" t="s">
        <v>6</v>
      </c>
      <c r="B12" s="4" t="s">
        <v>14</v>
      </c>
      <c r="C12" s="26"/>
    </row>
    <row r="13" spans="1:3" ht="19.95" customHeight="1">
      <c r="A13" s="3" t="s">
        <v>15</v>
      </c>
      <c r="B13" s="4" t="s">
        <v>16</v>
      </c>
      <c r="C13" s="27" t="s">
        <v>17</v>
      </c>
    </row>
    <row r="14" spans="1:3" ht="19.95" customHeight="1">
      <c r="A14" s="3" t="s">
        <v>15</v>
      </c>
      <c r="B14" s="4" t="s">
        <v>18</v>
      </c>
      <c r="C14" s="25"/>
    </row>
    <row r="15" spans="1:3" ht="19.95" customHeight="1">
      <c r="A15" s="3" t="s">
        <v>15</v>
      </c>
      <c r="B15" s="4" t="s">
        <v>19</v>
      </c>
      <c r="C15" s="26"/>
    </row>
    <row r="16" spans="1:3" ht="19.95" customHeight="1">
      <c r="A16" s="3" t="s">
        <v>20</v>
      </c>
      <c r="B16" s="4" t="s">
        <v>21</v>
      </c>
      <c r="C16" s="24" t="s">
        <v>22</v>
      </c>
    </row>
    <row r="17" spans="1:3" ht="19.95" customHeight="1">
      <c r="A17" s="3" t="s">
        <v>20</v>
      </c>
      <c r="B17" s="4" t="s">
        <v>23</v>
      </c>
      <c r="C17" s="25"/>
    </row>
    <row r="18" spans="1:3" ht="19.95" customHeight="1">
      <c r="A18" s="3" t="s">
        <v>20</v>
      </c>
      <c r="B18" s="4" t="s">
        <v>24</v>
      </c>
      <c r="C18" s="25"/>
    </row>
    <row r="19" spans="1:3" ht="19.95" customHeight="1">
      <c r="A19" s="3" t="s">
        <v>20</v>
      </c>
      <c r="B19" s="4" t="s">
        <v>25</v>
      </c>
      <c r="C19" s="26"/>
    </row>
    <row r="20" spans="1:3" ht="19.95" customHeight="1">
      <c r="A20" s="3" t="s">
        <v>26</v>
      </c>
      <c r="B20" s="4" t="s">
        <v>27</v>
      </c>
      <c r="C20" s="27" t="s">
        <v>28</v>
      </c>
    </row>
    <row r="21" spans="1:3" ht="19.95" customHeight="1">
      <c r="A21" s="3" t="s">
        <v>26</v>
      </c>
      <c r="B21" s="4" t="s">
        <v>29</v>
      </c>
      <c r="C21" s="25"/>
    </row>
    <row r="22" spans="1:3" ht="19.95" customHeight="1">
      <c r="A22" s="3" t="s">
        <v>26</v>
      </c>
      <c r="B22" s="4" t="s">
        <v>30</v>
      </c>
      <c r="C22" s="25"/>
    </row>
    <row r="23" spans="1:3" ht="19.95" customHeight="1">
      <c r="A23" s="3" t="s">
        <v>26</v>
      </c>
      <c r="B23" s="4" t="s">
        <v>31</v>
      </c>
      <c r="C23" s="25"/>
    </row>
    <row r="24" spans="1:3" ht="19.95" customHeight="1">
      <c r="A24" s="3" t="s">
        <v>26</v>
      </c>
      <c r="B24" s="4"/>
      <c r="C24" s="25"/>
    </row>
    <row r="25" spans="1:3" ht="19.95" customHeight="1">
      <c r="A25" s="3" t="s">
        <v>26</v>
      </c>
      <c r="B25" s="4" t="s">
        <v>32</v>
      </c>
      <c r="C25" s="26"/>
    </row>
    <row r="26" spans="1:3" ht="19.95" customHeight="1">
      <c r="A26" s="4" t="s">
        <v>33</v>
      </c>
      <c r="B26" s="4" t="s">
        <v>34</v>
      </c>
      <c r="C26" s="4" t="s">
        <v>35</v>
      </c>
    </row>
    <row r="27" spans="1:3" ht="19.95" customHeight="1">
      <c r="A27" s="3" t="s">
        <v>36</v>
      </c>
      <c r="B27" s="4" t="s">
        <v>37</v>
      </c>
      <c r="C27" s="27" t="s">
        <v>38</v>
      </c>
    </row>
    <row r="28" spans="1:3" ht="19.95" customHeight="1">
      <c r="A28" s="3" t="s">
        <v>36</v>
      </c>
      <c r="B28" s="4" t="s">
        <v>39</v>
      </c>
      <c r="C28" s="25"/>
    </row>
    <row r="29" spans="1:3" ht="19.95" customHeight="1">
      <c r="A29" s="3" t="s">
        <v>36</v>
      </c>
      <c r="B29" s="4" t="s">
        <v>40</v>
      </c>
      <c r="C29" s="25"/>
    </row>
    <row r="30" spans="1:3" ht="19.95" customHeight="1">
      <c r="A30" s="3" t="s">
        <v>36</v>
      </c>
      <c r="B30" s="4" t="s">
        <v>41</v>
      </c>
      <c r="C30" s="25"/>
    </row>
    <row r="31" spans="1:3" ht="19.95" customHeight="1">
      <c r="A31" s="3" t="s">
        <v>36</v>
      </c>
      <c r="B31" s="4" t="s">
        <v>42</v>
      </c>
      <c r="C31" s="25"/>
    </row>
    <row r="32" spans="1:3" ht="19.95" customHeight="1">
      <c r="A32" s="3" t="s">
        <v>36</v>
      </c>
      <c r="B32" s="4" t="s">
        <v>43</v>
      </c>
      <c r="C32" s="26"/>
    </row>
    <row r="33" spans="1:3" ht="19.95" customHeight="1">
      <c r="A33" s="3" t="s">
        <v>44</v>
      </c>
      <c r="B33" s="4" t="s">
        <v>45</v>
      </c>
      <c r="C33" s="24" t="s">
        <v>46</v>
      </c>
    </row>
    <row r="34" spans="1:3" ht="19.95" customHeight="1">
      <c r="A34" s="3" t="s">
        <v>44</v>
      </c>
      <c r="B34" s="4"/>
      <c r="C34" s="26"/>
    </row>
    <row r="35" spans="1:3" ht="19.95" customHeight="1">
      <c r="A35" s="3" t="s">
        <v>47</v>
      </c>
      <c r="B35" s="4" t="s">
        <v>48</v>
      </c>
      <c r="C35" s="24" t="s">
        <v>49</v>
      </c>
    </row>
    <row r="36" spans="1:3" ht="19.95" customHeight="1">
      <c r="A36" s="3" t="s">
        <v>47</v>
      </c>
      <c r="B36" s="4" t="s">
        <v>50</v>
      </c>
      <c r="C36" s="26"/>
    </row>
    <row r="37" spans="1:3" ht="19.95" customHeight="1">
      <c r="A37" s="3" t="s">
        <v>51</v>
      </c>
      <c r="B37" s="4" t="s">
        <v>52</v>
      </c>
      <c r="C37" s="27" t="s">
        <v>53</v>
      </c>
    </row>
    <row r="38" spans="1:3" ht="19.95" customHeight="1">
      <c r="A38" s="3" t="s">
        <v>51</v>
      </c>
      <c r="B38" s="4" t="s">
        <v>54</v>
      </c>
      <c r="C38" s="26"/>
    </row>
    <row r="39" spans="1:3" ht="19.95" customHeight="1">
      <c r="A39" s="4" t="s">
        <v>55</v>
      </c>
      <c r="B39" s="4" t="s">
        <v>56</v>
      </c>
      <c r="C39" s="4" t="s">
        <v>57</v>
      </c>
    </row>
    <row r="40" spans="1:3" ht="19.95" customHeight="1">
      <c r="A40" s="3" t="s">
        <v>58</v>
      </c>
      <c r="B40" s="4" t="s">
        <v>59</v>
      </c>
      <c r="C40" s="27" t="s">
        <v>60</v>
      </c>
    </row>
    <row r="41" spans="1:3" ht="19.95" customHeight="1">
      <c r="A41" s="3" t="s">
        <v>58</v>
      </c>
      <c r="B41" s="4" t="s">
        <v>61</v>
      </c>
      <c r="C41" s="26"/>
    </row>
    <row r="42" spans="1:3" ht="19.95" customHeight="1">
      <c r="A42" s="45" t="s">
        <v>65</v>
      </c>
      <c r="B42" s="1" t="s">
        <v>66</v>
      </c>
      <c r="C42" s="29" t="s">
        <v>67</v>
      </c>
    </row>
    <row r="43" spans="1:3" ht="19.95" customHeight="1">
      <c r="A43" s="45" t="s">
        <v>65</v>
      </c>
      <c r="B43" s="1" t="s">
        <v>68</v>
      </c>
      <c r="C43" s="25"/>
    </row>
    <row r="44" spans="1:3" ht="19.95" customHeight="1">
      <c r="A44" s="45" t="s">
        <v>65</v>
      </c>
      <c r="B44" s="1" t="s">
        <v>69</v>
      </c>
      <c r="C44" s="25"/>
    </row>
    <row r="45" spans="1:3" ht="19.95" customHeight="1">
      <c r="A45" s="45" t="s">
        <v>65</v>
      </c>
      <c r="B45" s="1" t="s">
        <v>70</v>
      </c>
      <c r="C45" s="25"/>
    </row>
    <row r="46" spans="1:3" ht="19.95" customHeight="1">
      <c r="A46" s="45" t="s">
        <v>65</v>
      </c>
      <c r="B46" s="1" t="s">
        <v>71</v>
      </c>
      <c r="C46" s="25"/>
    </row>
    <row r="47" spans="1:3" ht="19.95" customHeight="1">
      <c r="A47" s="45" t="s">
        <v>65</v>
      </c>
      <c r="B47" s="1" t="s">
        <v>72</v>
      </c>
      <c r="C47" s="25"/>
    </row>
    <row r="48" spans="1:3" ht="19.95" customHeight="1">
      <c r="A48" s="45" t="s">
        <v>65</v>
      </c>
      <c r="B48" s="6" t="s">
        <v>73</v>
      </c>
      <c r="C48" s="25"/>
    </row>
    <row r="49" spans="1:3" ht="19.95" customHeight="1">
      <c r="A49" s="45" t="s">
        <v>65</v>
      </c>
      <c r="B49" s="1" t="s">
        <v>74</v>
      </c>
      <c r="C49" s="25"/>
    </row>
    <row r="50" spans="1:3" ht="19.95" customHeight="1">
      <c r="A50" s="45" t="s">
        <v>65</v>
      </c>
      <c r="B50" s="1" t="s">
        <v>75</v>
      </c>
      <c r="C50" s="25"/>
    </row>
    <row r="51" spans="1:3" ht="19.95" customHeight="1">
      <c r="A51" s="45" t="s">
        <v>65</v>
      </c>
      <c r="B51" s="1" t="s">
        <v>76</v>
      </c>
      <c r="C51" s="25"/>
    </row>
    <row r="52" spans="1:3" ht="19.95" customHeight="1">
      <c r="A52" s="45" t="s">
        <v>65</v>
      </c>
      <c r="B52" s="1" t="s">
        <v>77</v>
      </c>
      <c r="C52" s="25"/>
    </row>
    <row r="53" spans="1:3" ht="19.95" customHeight="1">
      <c r="A53" s="45" t="s">
        <v>65</v>
      </c>
      <c r="B53" s="1" t="s">
        <v>78</v>
      </c>
      <c r="C53" s="25"/>
    </row>
    <row r="54" spans="1:3" ht="19.95" customHeight="1">
      <c r="A54" s="45" t="s">
        <v>65</v>
      </c>
      <c r="B54" s="1" t="s">
        <v>79</v>
      </c>
      <c r="C54" s="26"/>
    </row>
    <row r="55" spans="1:3" ht="19.95" customHeight="1">
      <c r="A55" s="3" t="s">
        <v>80</v>
      </c>
      <c r="B55" s="4" t="s">
        <v>81</v>
      </c>
      <c r="C55" s="24" t="s">
        <v>82</v>
      </c>
    </row>
    <row r="56" spans="1:3" ht="19.95" customHeight="1">
      <c r="A56" s="3" t="s">
        <v>80</v>
      </c>
      <c r="B56" s="4" t="s">
        <v>83</v>
      </c>
      <c r="C56" s="25"/>
    </row>
    <row r="57" spans="1:3" ht="19.95" customHeight="1">
      <c r="A57" s="3" t="s">
        <v>80</v>
      </c>
      <c r="B57" s="4" t="s">
        <v>84</v>
      </c>
      <c r="C57" s="26"/>
    </row>
    <row r="58" spans="1:3" ht="19.95" customHeight="1">
      <c r="A58" s="3" t="s">
        <v>85</v>
      </c>
      <c r="B58" s="4" t="s">
        <v>86</v>
      </c>
      <c r="C58" s="24" t="s">
        <v>87</v>
      </c>
    </row>
    <row r="59" spans="1:3" ht="19.95" customHeight="1">
      <c r="A59" s="3" t="s">
        <v>85</v>
      </c>
      <c r="B59" s="4" t="s">
        <v>88</v>
      </c>
      <c r="C59" s="25"/>
    </row>
    <row r="60" spans="1:3" ht="19.95" customHeight="1">
      <c r="A60" s="3" t="s">
        <v>85</v>
      </c>
      <c r="B60" s="4" t="s">
        <v>89</v>
      </c>
      <c r="C60" s="26"/>
    </row>
    <row r="61" spans="1:3" ht="19.95" customHeight="1">
      <c r="A61" s="3" t="s">
        <v>90</v>
      </c>
      <c r="B61" s="4" t="s">
        <v>91</v>
      </c>
      <c r="C61" s="27" t="s">
        <v>92</v>
      </c>
    </row>
    <row r="62" spans="1:3" ht="19.95" customHeight="1">
      <c r="A62" s="3" t="s">
        <v>90</v>
      </c>
      <c r="B62" s="4" t="s">
        <v>93</v>
      </c>
      <c r="C62" s="26"/>
    </row>
    <row r="63" spans="1:3" ht="19.95" customHeight="1">
      <c r="A63" s="3" t="s">
        <v>94</v>
      </c>
      <c r="B63" s="4" t="s">
        <v>95</v>
      </c>
      <c r="C63" s="31" t="s">
        <v>96</v>
      </c>
    </row>
    <row r="64" spans="1:3" ht="19.95" customHeight="1">
      <c r="A64" s="3" t="s">
        <v>94</v>
      </c>
      <c r="B64" s="4" t="s">
        <v>97</v>
      </c>
      <c r="C64" s="25"/>
    </row>
    <row r="65" spans="1:3" ht="19.95" customHeight="1">
      <c r="A65" s="3" t="s">
        <v>94</v>
      </c>
      <c r="B65" s="4" t="s">
        <v>98</v>
      </c>
      <c r="C65" s="25"/>
    </row>
    <row r="66" spans="1:3" ht="19.95" customHeight="1">
      <c r="A66" s="3" t="s">
        <v>94</v>
      </c>
      <c r="B66" s="4" t="s">
        <v>99</v>
      </c>
      <c r="C66" s="25"/>
    </row>
    <row r="67" spans="1:3" ht="19.95" customHeight="1">
      <c r="A67" s="3" t="s">
        <v>94</v>
      </c>
      <c r="B67" s="4" t="s">
        <v>100</v>
      </c>
      <c r="C67" s="25"/>
    </row>
    <row r="68" spans="1:3" ht="19.95" customHeight="1">
      <c r="A68" s="3" t="s">
        <v>94</v>
      </c>
      <c r="B68" s="4" t="s">
        <v>101</v>
      </c>
      <c r="C68" s="25"/>
    </row>
    <row r="69" spans="1:3" ht="19.95" customHeight="1">
      <c r="A69" s="3" t="s">
        <v>94</v>
      </c>
      <c r="B69" s="4" t="s">
        <v>102</v>
      </c>
      <c r="C69" s="25"/>
    </row>
    <row r="70" spans="1:3" ht="19.95" customHeight="1">
      <c r="A70" s="3" t="s">
        <v>94</v>
      </c>
      <c r="B70" s="4" t="s">
        <v>98</v>
      </c>
      <c r="C70" s="25"/>
    </row>
    <row r="71" spans="1:3" ht="19.95" customHeight="1">
      <c r="A71" s="3" t="s">
        <v>94</v>
      </c>
      <c r="B71" s="4" t="s">
        <v>103</v>
      </c>
      <c r="C71" s="25"/>
    </row>
    <row r="72" spans="1:3" ht="19.95" customHeight="1">
      <c r="A72" s="3" t="s">
        <v>94</v>
      </c>
      <c r="B72" s="4"/>
      <c r="C72" s="26"/>
    </row>
    <row r="73" spans="1:3" ht="19.95" customHeight="1">
      <c r="A73" s="3" t="s">
        <v>94</v>
      </c>
      <c r="B73" s="4"/>
      <c r="C73" s="4"/>
    </row>
    <row r="74" spans="1:3" ht="19.95" customHeight="1">
      <c r="A74" s="3" t="s">
        <v>104</v>
      </c>
      <c r="B74" s="4" t="s">
        <v>101</v>
      </c>
      <c r="C74" s="27" t="s">
        <v>105</v>
      </c>
    </row>
    <row r="75" spans="1:3" ht="19.95" customHeight="1">
      <c r="A75" s="3" t="s">
        <v>104</v>
      </c>
      <c r="B75" s="7" t="s">
        <v>106</v>
      </c>
      <c r="C75" s="25"/>
    </row>
    <row r="76" spans="1:3" ht="19.95" customHeight="1">
      <c r="A76" s="3" t="s">
        <v>104</v>
      </c>
      <c r="B76" s="4" t="s">
        <v>107</v>
      </c>
      <c r="C76" s="25"/>
    </row>
    <row r="77" spans="1:3" ht="19.95" customHeight="1">
      <c r="A77" s="3" t="s">
        <v>104</v>
      </c>
      <c r="B77" s="4" t="s">
        <v>108</v>
      </c>
      <c r="C77" s="26"/>
    </row>
    <row r="78" spans="1:3" ht="19.95" customHeight="1">
      <c r="A78" s="3" t="s">
        <v>109</v>
      </c>
      <c r="B78" s="4" t="s">
        <v>110</v>
      </c>
      <c r="C78" s="24" t="s">
        <v>111</v>
      </c>
    </row>
    <row r="79" spans="1:3" ht="19.95" customHeight="1">
      <c r="A79" s="3" t="s">
        <v>109</v>
      </c>
      <c r="B79" s="4" t="s">
        <v>112</v>
      </c>
      <c r="C79" s="25"/>
    </row>
    <row r="80" spans="1:3" ht="19.95" customHeight="1">
      <c r="A80" s="3" t="s">
        <v>109</v>
      </c>
      <c r="B80" s="4" t="s">
        <v>113</v>
      </c>
      <c r="C80" s="25"/>
    </row>
    <row r="81" spans="1:3" ht="19.95" customHeight="1">
      <c r="A81" s="3" t="s">
        <v>109</v>
      </c>
      <c r="B81" s="4" t="s">
        <v>114</v>
      </c>
      <c r="C81" s="25"/>
    </row>
    <row r="82" spans="1:3" ht="19.95" customHeight="1">
      <c r="A82" s="3" t="s">
        <v>109</v>
      </c>
      <c r="B82" s="4" t="s">
        <v>115</v>
      </c>
      <c r="C82" s="26"/>
    </row>
    <row r="83" spans="1:3" ht="19.95" customHeight="1">
      <c r="A83" s="3" t="s">
        <v>116</v>
      </c>
      <c r="B83" s="4" t="s">
        <v>117</v>
      </c>
      <c r="C83" s="27" t="s">
        <v>118</v>
      </c>
    </row>
    <row r="84" spans="1:3" ht="19.95" customHeight="1">
      <c r="A84" s="3" t="s">
        <v>116</v>
      </c>
      <c r="B84" s="4" t="s">
        <v>119</v>
      </c>
      <c r="C84" s="25"/>
    </row>
    <row r="85" spans="1:3" ht="19.95" customHeight="1">
      <c r="A85" s="3" t="s">
        <v>116</v>
      </c>
      <c r="B85" s="4" t="s">
        <v>117</v>
      </c>
      <c r="C85" s="25"/>
    </row>
    <row r="86" spans="1:3" ht="19.95" customHeight="1">
      <c r="A86" s="3" t="s">
        <v>116</v>
      </c>
      <c r="B86" s="4" t="s">
        <v>120</v>
      </c>
      <c r="C86" s="25"/>
    </row>
    <row r="87" spans="1:3" ht="19.95" customHeight="1">
      <c r="A87" s="3" t="s">
        <v>116</v>
      </c>
      <c r="B87" s="4" t="s">
        <v>121</v>
      </c>
      <c r="C87" s="25"/>
    </row>
    <row r="88" spans="1:3" ht="19.95" customHeight="1">
      <c r="A88" s="3" t="s">
        <v>116</v>
      </c>
      <c r="B88" s="4" t="s">
        <v>122</v>
      </c>
      <c r="C88" s="25"/>
    </row>
    <row r="89" spans="1:3" ht="19.95" customHeight="1">
      <c r="A89" s="3" t="s">
        <v>116</v>
      </c>
      <c r="B89" s="4" t="s">
        <v>123</v>
      </c>
      <c r="C89" s="25"/>
    </row>
    <row r="90" spans="1:3" ht="19.95" customHeight="1">
      <c r="A90" s="3" t="s">
        <v>116</v>
      </c>
      <c r="B90" s="4" t="s">
        <v>124</v>
      </c>
      <c r="C90" s="26"/>
    </row>
    <row r="91" spans="1:3" ht="19.95" customHeight="1">
      <c r="A91" s="3" t="s">
        <v>125</v>
      </c>
      <c r="B91" s="4" t="s">
        <v>126</v>
      </c>
      <c r="C91" s="27" t="s">
        <v>127</v>
      </c>
    </row>
    <row r="92" spans="1:3" ht="19.95" customHeight="1">
      <c r="A92" s="3" t="s">
        <v>125</v>
      </c>
      <c r="B92" s="4" t="s">
        <v>128</v>
      </c>
      <c r="C92" s="25"/>
    </row>
    <row r="93" spans="1:3" ht="19.95" customHeight="1">
      <c r="A93" s="3" t="s">
        <v>125</v>
      </c>
      <c r="B93" s="4" t="s">
        <v>129</v>
      </c>
      <c r="C93" s="25"/>
    </row>
    <row r="94" spans="1:3" ht="19.95" customHeight="1">
      <c r="A94" s="3" t="s">
        <v>125</v>
      </c>
      <c r="B94" s="4" t="s">
        <v>130</v>
      </c>
      <c r="C94" s="25"/>
    </row>
    <row r="95" spans="1:3" ht="19.95" customHeight="1">
      <c r="A95" s="3" t="s">
        <v>125</v>
      </c>
      <c r="B95" s="4" t="s">
        <v>131</v>
      </c>
      <c r="C95" s="26"/>
    </row>
    <row r="96" spans="1:3" ht="19.95" customHeight="1">
      <c r="A96" s="3" t="s">
        <v>132</v>
      </c>
      <c r="B96" s="4" t="s">
        <v>133</v>
      </c>
      <c r="C96" s="27" t="s">
        <v>134</v>
      </c>
    </row>
    <row r="97" spans="1:3" ht="19.95" customHeight="1">
      <c r="A97" s="3" t="s">
        <v>132</v>
      </c>
      <c r="B97" s="4" t="s">
        <v>135</v>
      </c>
      <c r="C97" s="25"/>
    </row>
    <row r="98" spans="1:3" ht="19.95" customHeight="1">
      <c r="A98" s="3" t="s">
        <v>132</v>
      </c>
      <c r="B98" s="4" t="s">
        <v>136</v>
      </c>
      <c r="C98" s="25"/>
    </row>
    <row r="99" spans="1:3" ht="19.95" customHeight="1">
      <c r="A99" s="3" t="s">
        <v>132</v>
      </c>
      <c r="B99" s="4" t="s">
        <v>137</v>
      </c>
      <c r="C99" s="26"/>
    </row>
    <row r="100" spans="1:3" ht="19.95" customHeight="1">
      <c r="A100" s="3" t="s">
        <v>138</v>
      </c>
      <c r="B100" s="4" t="s">
        <v>139</v>
      </c>
      <c r="C100" s="24" t="s">
        <v>140</v>
      </c>
    </row>
    <row r="101" spans="1:3" ht="19.95" customHeight="1">
      <c r="A101" s="3" t="s">
        <v>138</v>
      </c>
      <c r="B101" s="4" t="s">
        <v>141</v>
      </c>
      <c r="C101" s="25"/>
    </row>
    <row r="102" spans="1:3" ht="19.95" customHeight="1">
      <c r="A102" s="3" t="s">
        <v>138</v>
      </c>
      <c r="B102" s="4" t="s">
        <v>142</v>
      </c>
      <c r="C102" s="26"/>
    </row>
    <row r="103" spans="1:3" ht="19.95" customHeight="1">
      <c r="A103" s="3" t="s">
        <v>143</v>
      </c>
      <c r="B103" s="4" t="s">
        <v>144</v>
      </c>
      <c r="C103" s="27" t="s">
        <v>145</v>
      </c>
    </row>
    <row r="104" spans="1:3" ht="19.95" customHeight="1">
      <c r="A104" s="3" t="s">
        <v>143</v>
      </c>
      <c r="B104" s="4" t="s">
        <v>146</v>
      </c>
      <c r="C104" s="25"/>
    </row>
    <row r="105" spans="1:3" ht="19.95" customHeight="1">
      <c r="A105" s="3" t="s">
        <v>143</v>
      </c>
      <c r="B105" s="4" t="s">
        <v>147</v>
      </c>
      <c r="C105" s="25"/>
    </row>
    <row r="106" spans="1:3" ht="19.95" customHeight="1">
      <c r="A106" s="3" t="s">
        <v>143</v>
      </c>
      <c r="B106" s="4" t="s">
        <v>148</v>
      </c>
      <c r="C106" s="25"/>
    </row>
    <row r="107" spans="1:3" ht="19.95" customHeight="1">
      <c r="A107" s="3" t="s">
        <v>143</v>
      </c>
      <c r="B107" s="4" t="s">
        <v>149</v>
      </c>
      <c r="C107" s="26"/>
    </row>
    <row r="108" spans="1:3" ht="19.95" customHeight="1">
      <c r="A108" s="3" t="s">
        <v>150</v>
      </c>
      <c r="B108" s="4" t="s">
        <v>151</v>
      </c>
      <c r="C108" s="24" t="s">
        <v>152</v>
      </c>
    </row>
    <row r="109" spans="1:3" ht="19.95" customHeight="1">
      <c r="A109" s="3" t="s">
        <v>150</v>
      </c>
      <c r="B109" s="4" t="s">
        <v>153</v>
      </c>
      <c r="C109" s="25"/>
    </row>
    <row r="110" spans="1:3" ht="19.95" customHeight="1">
      <c r="A110" s="3" t="s">
        <v>150</v>
      </c>
      <c r="B110" s="4" t="s">
        <v>154</v>
      </c>
      <c r="C110" s="25"/>
    </row>
    <row r="111" spans="1:3" ht="19.95" customHeight="1">
      <c r="A111" s="3" t="s">
        <v>150</v>
      </c>
      <c r="B111" s="4" t="s">
        <v>155</v>
      </c>
      <c r="C111" s="26"/>
    </row>
    <row r="112" spans="1:3" ht="19.95" customHeight="1">
      <c r="A112" s="3" t="s">
        <v>156</v>
      </c>
      <c r="B112" s="4" t="s">
        <v>157</v>
      </c>
      <c r="C112" s="27" t="s">
        <v>158</v>
      </c>
    </row>
    <row r="113" spans="1:3" ht="19.95" customHeight="1">
      <c r="A113" s="3" t="s">
        <v>156</v>
      </c>
      <c r="B113" s="4" t="s">
        <v>159</v>
      </c>
      <c r="C113" s="25"/>
    </row>
    <row r="114" spans="1:3" ht="19.95" customHeight="1">
      <c r="A114" s="3" t="s">
        <v>156</v>
      </c>
      <c r="B114" s="4" t="s">
        <v>160</v>
      </c>
      <c r="C114" s="25"/>
    </row>
    <row r="115" spans="1:3" ht="19.95" customHeight="1">
      <c r="A115" s="3" t="s">
        <v>156</v>
      </c>
      <c r="B115" s="4" t="s">
        <v>161</v>
      </c>
      <c r="C115" s="25"/>
    </row>
    <row r="116" spans="1:3" ht="19.95" customHeight="1">
      <c r="A116" s="3" t="s">
        <v>156</v>
      </c>
      <c r="B116" s="4" t="s">
        <v>162</v>
      </c>
      <c r="C116" s="25"/>
    </row>
    <row r="117" spans="1:3" ht="19.95" customHeight="1">
      <c r="A117" s="3" t="s">
        <v>156</v>
      </c>
      <c r="B117" s="4" t="s">
        <v>163</v>
      </c>
      <c r="C117" s="26"/>
    </row>
    <row r="118" spans="1:3" ht="19.95" customHeight="1">
      <c r="A118" s="3" t="s">
        <v>164</v>
      </c>
      <c r="B118" s="4" t="s">
        <v>165</v>
      </c>
      <c r="C118" s="24" t="s">
        <v>166</v>
      </c>
    </row>
    <row r="119" spans="1:3" ht="19.95" customHeight="1">
      <c r="A119" s="3" t="s">
        <v>164</v>
      </c>
      <c r="B119" s="4" t="s">
        <v>167</v>
      </c>
      <c r="C119" s="25"/>
    </row>
    <row r="120" spans="1:3" ht="19.95" customHeight="1">
      <c r="A120" s="3" t="s">
        <v>164</v>
      </c>
      <c r="B120" s="4" t="s">
        <v>168</v>
      </c>
      <c r="C120" s="25"/>
    </row>
    <row r="121" spans="1:3" ht="19.95" customHeight="1">
      <c r="A121" s="3" t="s">
        <v>164</v>
      </c>
      <c r="B121" s="1" t="s">
        <v>169</v>
      </c>
      <c r="C121" s="25"/>
    </row>
    <row r="122" spans="1:3" ht="19.95" customHeight="1">
      <c r="A122" s="3" t="s">
        <v>164</v>
      </c>
      <c r="B122" s="32" t="s">
        <v>170</v>
      </c>
      <c r="C122" s="25"/>
    </row>
    <row r="123" spans="1:3" ht="19.95" customHeight="1">
      <c r="A123" s="3" t="s">
        <v>164</v>
      </c>
      <c r="B123" s="26"/>
      <c r="C123" s="25"/>
    </row>
    <row r="124" spans="1:3" ht="19.95" customHeight="1">
      <c r="A124" s="3" t="s">
        <v>164</v>
      </c>
      <c r="B124" s="4" t="s">
        <v>171</v>
      </c>
      <c r="C124" s="25"/>
    </row>
    <row r="125" spans="1:3" ht="19.95" customHeight="1">
      <c r="A125" s="3" t="s">
        <v>164</v>
      </c>
      <c r="B125" s="4" t="s">
        <v>172</v>
      </c>
      <c r="C125" s="25"/>
    </row>
    <row r="126" spans="1:3" ht="19.95" customHeight="1">
      <c r="A126" s="3" t="s">
        <v>164</v>
      </c>
      <c r="B126" s="4" t="s">
        <v>173</v>
      </c>
      <c r="C126" s="25"/>
    </row>
    <row r="127" spans="1:3" ht="19.95" customHeight="1">
      <c r="A127" s="3" t="s">
        <v>164</v>
      </c>
      <c r="B127" s="4" t="s">
        <v>174</v>
      </c>
      <c r="C127" s="26"/>
    </row>
    <row r="128" spans="1:3" ht="19.95" customHeight="1">
      <c r="A128" s="3" t="s">
        <v>175</v>
      </c>
      <c r="B128" s="4" t="s">
        <v>176</v>
      </c>
      <c r="C128" s="24" t="s">
        <v>177</v>
      </c>
    </row>
    <row r="129" spans="1:3" ht="19.95" customHeight="1">
      <c r="A129" s="3" t="s">
        <v>175</v>
      </c>
      <c r="B129" s="4" t="s">
        <v>178</v>
      </c>
      <c r="C129" s="26"/>
    </row>
    <row r="130" spans="1:3" ht="19.95" customHeight="1">
      <c r="A130" s="3" t="s">
        <v>179</v>
      </c>
      <c r="B130" s="4" t="s">
        <v>180</v>
      </c>
      <c r="C130" s="24" t="s">
        <v>181</v>
      </c>
    </row>
    <row r="131" spans="1:3" ht="19.95" customHeight="1">
      <c r="A131" s="3" t="s">
        <v>179</v>
      </c>
      <c r="B131" s="4" t="s">
        <v>182</v>
      </c>
      <c r="C131" s="26"/>
    </row>
    <row r="132" spans="1:3" ht="19.95" customHeight="1">
      <c r="A132" s="3" t="s">
        <v>183</v>
      </c>
      <c r="B132" s="4" t="s">
        <v>184</v>
      </c>
      <c r="C132" s="27" t="s">
        <v>185</v>
      </c>
    </row>
    <row r="133" spans="1:3" ht="19.95" customHeight="1">
      <c r="A133" s="3" t="s">
        <v>183</v>
      </c>
      <c r="B133" s="4" t="s">
        <v>186</v>
      </c>
      <c r="C133" s="25"/>
    </row>
    <row r="134" spans="1:3" ht="19.95" customHeight="1">
      <c r="A134" s="3" t="s">
        <v>183</v>
      </c>
      <c r="B134" s="4" t="s">
        <v>187</v>
      </c>
      <c r="C134" s="26"/>
    </row>
    <row r="135" spans="1:3" ht="19.95" customHeight="1">
      <c r="A135" s="3" t="s">
        <v>188</v>
      </c>
      <c r="B135" s="4" t="s">
        <v>189</v>
      </c>
      <c r="C135" s="27" t="s">
        <v>190</v>
      </c>
    </row>
    <row r="136" spans="1:3" ht="19.95" customHeight="1">
      <c r="A136" s="3" t="s">
        <v>188</v>
      </c>
      <c r="B136" s="4" t="s">
        <v>191</v>
      </c>
      <c r="C136" s="25"/>
    </row>
    <row r="137" spans="1:3" ht="19.95" customHeight="1">
      <c r="A137" s="3" t="s">
        <v>188</v>
      </c>
      <c r="B137" s="4" t="s">
        <v>192</v>
      </c>
      <c r="C137" s="25"/>
    </row>
    <row r="138" spans="1:3" ht="19.95" customHeight="1">
      <c r="A138" s="3" t="s">
        <v>188</v>
      </c>
      <c r="B138" s="4" t="s">
        <v>193</v>
      </c>
      <c r="C138" s="26"/>
    </row>
    <row r="139" spans="1:3" ht="19.95" customHeight="1">
      <c r="A139" s="3" t="s">
        <v>194</v>
      </c>
      <c r="B139" s="4" t="s">
        <v>195</v>
      </c>
      <c r="C139" s="24" t="s">
        <v>196</v>
      </c>
    </row>
    <row r="140" spans="1:3" ht="19.95" customHeight="1">
      <c r="A140" s="3" t="s">
        <v>194</v>
      </c>
      <c r="B140" s="4" t="s">
        <v>197</v>
      </c>
      <c r="C140" s="25"/>
    </row>
    <row r="141" spans="1:3" ht="19.95" customHeight="1">
      <c r="A141" s="3" t="s">
        <v>194</v>
      </c>
      <c r="B141" s="4" t="s">
        <v>198</v>
      </c>
      <c r="C141" s="25"/>
    </row>
    <row r="142" spans="1:3" ht="19.95" customHeight="1">
      <c r="A142" s="3" t="s">
        <v>194</v>
      </c>
      <c r="B142" s="4" t="s">
        <v>199</v>
      </c>
      <c r="C142" s="26"/>
    </row>
    <row r="143" spans="1:3" ht="19.95" customHeight="1">
      <c r="A143" s="3" t="s">
        <v>200</v>
      </c>
      <c r="B143" s="4" t="s">
        <v>201</v>
      </c>
      <c r="C143" s="27" t="s">
        <v>202</v>
      </c>
    </row>
    <row r="144" spans="1:3" ht="19.95" customHeight="1">
      <c r="A144" s="3" t="s">
        <v>200</v>
      </c>
      <c r="B144" s="4" t="s">
        <v>203</v>
      </c>
      <c r="C144" s="25"/>
    </row>
    <row r="145" spans="1:3" ht="19.95" customHeight="1">
      <c r="A145" s="3" t="s">
        <v>200</v>
      </c>
      <c r="B145" s="4" t="s">
        <v>204</v>
      </c>
      <c r="C145" s="26"/>
    </row>
    <row r="146" spans="1:3" ht="19.95" customHeight="1">
      <c r="A146" s="3" t="s">
        <v>205</v>
      </c>
      <c r="B146" s="4" t="s">
        <v>206</v>
      </c>
      <c r="C146" s="27" t="s">
        <v>207</v>
      </c>
    </row>
    <row r="147" spans="1:3" ht="19.95" customHeight="1">
      <c r="A147" s="3" t="s">
        <v>205</v>
      </c>
      <c r="B147" s="4" t="s">
        <v>208</v>
      </c>
      <c r="C147" s="26"/>
    </row>
    <row r="148" spans="1:3" ht="19.95" customHeight="1">
      <c r="A148" s="3" t="s">
        <v>209</v>
      </c>
      <c r="B148" s="4" t="s">
        <v>210</v>
      </c>
      <c r="C148" s="27" t="s">
        <v>211</v>
      </c>
    </row>
    <row r="149" spans="1:3" ht="19.95" customHeight="1">
      <c r="A149" s="3" t="s">
        <v>209</v>
      </c>
      <c r="B149" s="4" t="s">
        <v>212</v>
      </c>
      <c r="C149" s="25"/>
    </row>
    <row r="150" spans="1:3" ht="19.95" customHeight="1">
      <c r="A150" s="3" t="s">
        <v>209</v>
      </c>
      <c r="B150" s="4" t="s">
        <v>213</v>
      </c>
      <c r="C150" s="25"/>
    </row>
    <row r="151" spans="1:3" ht="19.95" customHeight="1">
      <c r="A151" s="3" t="s">
        <v>209</v>
      </c>
      <c r="B151" s="4" t="s">
        <v>214</v>
      </c>
      <c r="C151" s="25"/>
    </row>
    <row r="152" spans="1:3" ht="19.95" customHeight="1">
      <c r="A152" s="3" t="s">
        <v>209</v>
      </c>
      <c r="B152" s="4" t="s">
        <v>215</v>
      </c>
      <c r="C152" s="26"/>
    </row>
    <row r="153" spans="1:3" ht="19.95" customHeight="1">
      <c r="A153" s="3" t="s">
        <v>216</v>
      </c>
      <c r="B153" s="4" t="s">
        <v>217</v>
      </c>
      <c r="C153" s="24" t="s">
        <v>218</v>
      </c>
    </row>
    <row r="154" spans="1:3" ht="19.95" customHeight="1">
      <c r="A154" s="3" t="s">
        <v>216</v>
      </c>
      <c r="B154" s="4" t="s">
        <v>219</v>
      </c>
      <c r="C154" s="26"/>
    </row>
    <row r="155" spans="1:3" ht="19.95" customHeight="1">
      <c r="A155" s="45" t="s">
        <v>220</v>
      </c>
      <c r="B155" s="1" t="s">
        <v>221</v>
      </c>
      <c r="C155" s="28" t="s">
        <v>222</v>
      </c>
    </row>
    <row r="156" spans="1:3" ht="19.95" customHeight="1">
      <c r="A156" s="45" t="s">
        <v>220</v>
      </c>
      <c r="B156" s="1" t="s">
        <v>223</v>
      </c>
      <c r="C156" s="25"/>
    </row>
    <row r="157" spans="1:3" ht="19.95" customHeight="1">
      <c r="A157" s="45" t="s">
        <v>220</v>
      </c>
      <c r="B157" s="1" t="s">
        <v>224</v>
      </c>
      <c r="C157" s="25"/>
    </row>
    <row r="158" spans="1:3" ht="19.95" customHeight="1">
      <c r="A158" s="45" t="s">
        <v>220</v>
      </c>
      <c r="B158" s="1" t="s">
        <v>225</v>
      </c>
      <c r="C158" s="25"/>
    </row>
    <row r="159" spans="1:3" ht="19.95" customHeight="1">
      <c r="A159" s="45" t="s">
        <v>220</v>
      </c>
      <c r="B159" s="1" t="s">
        <v>226</v>
      </c>
      <c r="C159" s="25"/>
    </row>
    <row r="160" spans="1:3" ht="19.95" customHeight="1">
      <c r="A160" s="45" t="s">
        <v>220</v>
      </c>
      <c r="B160" s="1" t="s">
        <v>227</v>
      </c>
      <c r="C160" s="25"/>
    </row>
    <row r="161" spans="1:3" ht="19.95" customHeight="1">
      <c r="A161" s="45" t="s">
        <v>220</v>
      </c>
      <c r="B161" s="6" t="s">
        <v>228</v>
      </c>
      <c r="C161" s="25"/>
    </row>
    <row r="162" spans="1:3" ht="19.95" customHeight="1">
      <c r="A162" s="45" t="s">
        <v>220</v>
      </c>
      <c r="B162" s="6" t="s">
        <v>229</v>
      </c>
      <c r="C162" s="25"/>
    </row>
    <row r="163" spans="1:3" ht="19.95" customHeight="1">
      <c r="A163" s="3" t="s">
        <v>230</v>
      </c>
      <c r="B163" s="4" t="s">
        <v>231</v>
      </c>
      <c r="C163" s="24" t="s">
        <v>232</v>
      </c>
    </row>
    <row r="164" spans="1:3" ht="19.95" customHeight="1">
      <c r="A164" s="3" t="s">
        <v>230</v>
      </c>
      <c r="B164" s="4" t="s">
        <v>233</v>
      </c>
      <c r="C164" s="25"/>
    </row>
    <row r="165" spans="1:3" ht="19.95" customHeight="1">
      <c r="A165" s="3" t="s">
        <v>230</v>
      </c>
      <c r="B165" s="4" t="s">
        <v>234</v>
      </c>
      <c r="C165" s="26"/>
    </row>
    <row r="166" spans="1:3" ht="19.95" customHeight="1">
      <c r="A166" s="3" t="s">
        <v>235</v>
      </c>
      <c r="B166" s="4" t="s">
        <v>236</v>
      </c>
      <c r="C166" s="24" t="s">
        <v>237</v>
      </c>
    </row>
    <row r="167" spans="1:3" ht="19.95" customHeight="1">
      <c r="A167" s="3" t="s">
        <v>235</v>
      </c>
      <c r="B167" s="4" t="s">
        <v>238</v>
      </c>
      <c r="C167" s="25"/>
    </row>
    <row r="168" spans="1:3" ht="19.95" customHeight="1">
      <c r="A168" s="3" t="s">
        <v>235</v>
      </c>
      <c r="B168" s="4" t="s">
        <v>239</v>
      </c>
      <c r="C168" s="25"/>
    </row>
    <row r="169" spans="1:3" ht="19.95" customHeight="1">
      <c r="A169" s="3" t="s">
        <v>235</v>
      </c>
      <c r="B169" s="4" t="s">
        <v>240</v>
      </c>
      <c r="C169" s="25"/>
    </row>
    <row r="170" spans="1:3" ht="19.95" customHeight="1">
      <c r="A170" s="3" t="s">
        <v>235</v>
      </c>
      <c r="B170" s="4" t="s">
        <v>241</v>
      </c>
      <c r="C170" s="25"/>
    </row>
    <row r="171" spans="1:3" ht="19.95" customHeight="1">
      <c r="A171" s="3" t="s">
        <v>235</v>
      </c>
      <c r="B171" s="4" t="s">
        <v>242</v>
      </c>
      <c r="C171" s="25"/>
    </row>
    <row r="172" spans="1:3" ht="19.95" customHeight="1">
      <c r="A172" s="3" t="s">
        <v>235</v>
      </c>
      <c r="B172" s="4" t="s">
        <v>243</v>
      </c>
      <c r="C172" s="25"/>
    </row>
    <row r="173" spans="1:3" ht="19.95" customHeight="1">
      <c r="A173" s="3" t="s">
        <v>235</v>
      </c>
      <c r="B173" s="4" t="s">
        <v>244</v>
      </c>
      <c r="C173" s="25"/>
    </row>
    <row r="174" spans="1:3" ht="19.95" customHeight="1">
      <c r="A174" s="3" t="s">
        <v>235</v>
      </c>
      <c r="B174" s="4" t="s">
        <v>245</v>
      </c>
      <c r="C174" s="25"/>
    </row>
    <row r="175" spans="1:3" ht="19.95" customHeight="1">
      <c r="A175" s="3" t="s">
        <v>235</v>
      </c>
      <c r="B175" s="4" t="s">
        <v>246</v>
      </c>
      <c r="C175" s="26"/>
    </row>
    <row r="176" spans="1:3" ht="19.95" customHeight="1">
      <c r="A176" s="3" t="s">
        <v>247</v>
      </c>
      <c r="B176" s="4" t="s">
        <v>248</v>
      </c>
      <c r="C176" s="24" t="s">
        <v>249</v>
      </c>
    </row>
    <row r="177" spans="1:3" ht="19.95" customHeight="1">
      <c r="A177" s="3" t="s">
        <v>247</v>
      </c>
      <c r="B177" s="4" t="s">
        <v>250</v>
      </c>
      <c r="C177" s="25"/>
    </row>
    <row r="178" spans="1:3" ht="19.95" customHeight="1">
      <c r="A178" s="3" t="s">
        <v>247</v>
      </c>
      <c r="B178" s="4" t="s">
        <v>251</v>
      </c>
      <c r="C178" s="26"/>
    </row>
    <row r="179" spans="1:3" ht="19.95" customHeight="1">
      <c r="A179" s="3" t="s">
        <v>252</v>
      </c>
      <c r="B179" s="4" t="s">
        <v>253</v>
      </c>
      <c r="C179" s="27" t="s">
        <v>254</v>
      </c>
    </row>
    <row r="180" spans="1:3" ht="19.95" customHeight="1">
      <c r="A180" s="3" t="s">
        <v>252</v>
      </c>
      <c r="B180" s="4" t="s">
        <v>255</v>
      </c>
      <c r="C180" s="25"/>
    </row>
    <row r="181" spans="1:3" ht="19.95" customHeight="1">
      <c r="A181" s="3" t="s">
        <v>252</v>
      </c>
      <c r="B181" s="4" t="s">
        <v>256</v>
      </c>
      <c r="C181" s="26"/>
    </row>
    <row r="182" spans="1:3" ht="19.95" customHeight="1">
      <c r="A182" s="3" t="s">
        <v>257</v>
      </c>
      <c r="B182" s="4" t="s">
        <v>258</v>
      </c>
      <c r="C182" s="24" t="s">
        <v>259</v>
      </c>
    </row>
    <row r="183" spans="1:3" ht="19.95" customHeight="1">
      <c r="A183" s="3" t="s">
        <v>257</v>
      </c>
      <c r="B183" s="9" t="s">
        <v>260</v>
      </c>
      <c r="C183" s="25"/>
    </row>
    <row r="184" spans="1:3" ht="19.95" customHeight="1">
      <c r="A184" s="3" t="s">
        <v>257</v>
      </c>
      <c r="C184" s="26"/>
    </row>
    <row r="185" spans="1:3" ht="19.95" customHeight="1">
      <c r="A185" s="44" t="s">
        <v>261</v>
      </c>
      <c r="B185" s="4" t="s">
        <v>262</v>
      </c>
      <c r="C185" s="27" t="s">
        <v>263</v>
      </c>
    </row>
    <row r="186" spans="1:3" ht="19.95" customHeight="1">
      <c r="A186" s="44" t="s">
        <v>261</v>
      </c>
      <c r="B186" s="4" t="s">
        <v>264</v>
      </c>
      <c r="C186" s="26"/>
    </row>
    <row r="187" spans="1:3" ht="19.95" customHeight="1">
      <c r="A187" s="44" t="s">
        <v>261</v>
      </c>
      <c r="B187" s="7"/>
      <c r="C187" s="4"/>
    </row>
    <row r="188" spans="1:3" ht="19.95" customHeight="1">
      <c r="A188" s="3" t="s">
        <v>265</v>
      </c>
      <c r="B188" s="4" t="s">
        <v>266</v>
      </c>
      <c r="C188" s="27" t="s">
        <v>267</v>
      </c>
    </row>
    <row r="189" spans="1:3" ht="19.95" customHeight="1">
      <c r="A189" s="3" t="s">
        <v>265</v>
      </c>
      <c r="B189" s="4" t="s">
        <v>266</v>
      </c>
      <c r="C189" s="25"/>
    </row>
    <row r="190" spans="1:3" ht="19.95" customHeight="1">
      <c r="A190" s="3" t="s">
        <v>265</v>
      </c>
      <c r="B190" s="4" t="s">
        <v>268</v>
      </c>
      <c r="C190" s="25"/>
    </row>
    <row r="191" spans="1:3" ht="19.95" customHeight="1">
      <c r="A191" s="3" t="s">
        <v>265</v>
      </c>
      <c r="B191" s="4" t="s">
        <v>269</v>
      </c>
      <c r="C191" s="25"/>
    </row>
    <row r="192" spans="1:3" ht="19.95" customHeight="1">
      <c r="A192" s="3" t="s">
        <v>265</v>
      </c>
      <c r="B192" s="4" t="s">
        <v>270</v>
      </c>
      <c r="C192" s="25"/>
    </row>
    <row r="193" spans="1:3" ht="19.95" customHeight="1">
      <c r="A193" s="3" t="s">
        <v>265</v>
      </c>
      <c r="B193" s="4" t="s">
        <v>271</v>
      </c>
      <c r="C193" s="25"/>
    </row>
    <row r="194" spans="1:3" ht="19.95" customHeight="1">
      <c r="A194" s="3" t="s">
        <v>265</v>
      </c>
      <c r="B194" s="4" t="s">
        <v>272</v>
      </c>
      <c r="C194" s="26"/>
    </row>
    <row r="195" spans="1:3" ht="19.95" customHeight="1">
      <c r="A195" s="3" t="s">
        <v>273</v>
      </c>
      <c r="B195" s="4" t="s">
        <v>274</v>
      </c>
      <c r="C195" s="24" t="s">
        <v>275</v>
      </c>
    </row>
    <row r="196" spans="1:3" ht="19.95" customHeight="1">
      <c r="A196" s="3" t="s">
        <v>273</v>
      </c>
      <c r="B196" s="4" t="s">
        <v>276</v>
      </c>
      <c r="C196" s="25"/>
    </row>
    <row r="197" spans="1:3" ht="19.95" customHeight="1">
      <c r="A197" s="3" t="s">
        <v>273</v>
      </c>
      <c r="B197" s="4" t="s">
        <v>277</v>
      </c>
      <c r="C197" s="26"/>
    </row>
    <row r="198" spans="1:3" ht="19.95" customHeight="1">
      <c r="A198" s="4" t="s">
        <v>278</v>
      </c>
      <c r="B198" s="4" t="s">
        <v>279</v>
      </c>
      <c r="C198" s="4" t="s">
        <v>280</v>
      </c>
    </row>
    <row r="199" spans="1:3" ht="19.95" customHeight="1">
      <c r="A199" s="3" t="s">
        <v>281</v>
      </c>
      <c r="B199" s="4" t="s">
        <v>282</v>
      </c>
      <c r="C199" s="24" t="s">
        <v>283</v>
      </c>
    </row>
    <row r="200" spans="1:3" ht="19.95" customHeight="1">
      <c r="A200" s="3" t="s">
        <v>281</v>
      </c>
      <c r="B200" s="4" t="s">
        <v>284</v>
      </c>
      <c r="C200" s="25"/>
    </row>
    <row r="201" spans="1:3" ht="19.95" customHeight="1">
      <c r="A201" s="3" t="s">
        <v>281</v>
      </c>
      <c r="B201" s="4" t="s">
        <v>285</v>
      </c>
      <c r="C201" s="26"/>
    </row>
    <row r="202" spans="1:3" ht="19.95" customHeight="1">
      <c r="A202" s="3" t="s">
        <v>286</v>
      </c>
      <c r="B202" s="4" t="s">
        <v>287</v>
      </c>
      <c r="C202" s="24" t="s">
        <v>288</v>
      </c>
    </row>
    <row r="203" spans="1:3" ht="19.95" customHeight="1">
      <c r="A203" s="3" t="s">
        <v>286</v>
      </c>
      <c r="B203" s="4" t="s">
        <v>289</v>
      </c>
      <c r="C203" s="25"/>
    </row>
    <row r="204" spans="1:3" ht="19.95" customHeight="1">
      <c r="A204" s="3" t="s">
        <v>286</v>
      </c>
      <c r="B204" s="4" t="s">
        <v>290</v>
      </c>
      <c r="C204" s="26"/>
    </row>
    <row r="205" spans="1:3" ht="19.95" customHeight="1">
      <c r="A205" s="3" t="s">
        <v>291</v>
      </c>
      <c r="B205" s="4" t="s">
        <v>292</v>
      </c>
      <c r="C205" s="24" t="s">
        <v>293</v>
      </c>
    </row>
    <row r="206" spans="1:3" ht="19.95" customHeight="1">
      <c r="A206" s="3" t="s">
        <v>291</v>
      </c>
      <c r="B206" s="4" t="s">
        <v>294</v>
      </c>
      <c r="C206" s="26"/>
    </row>
    <row r="207" spans="1:3" ht="19.95" customHeight="1">
      <c r="A207" s="3" t="s">
        <v>295</v>
      </c>
      <c r="B207" s="4" t="s">
        <v>296</v>
      </c>
      <c r="C207" s="27" t="s">
        <v>297</v>
      </c>
    </row>
    <row r="208" spans="1:3" ht="19.95" customHeight="1">
      <c r="A208" s="3" t="s">
        <v>295</v>
      </c>
      <c r="B208" s="4" t="s">
        <v>298</v>
      </c>
      <c r="C208" s="25"/>
    </row>
    <row r="209" spans="1:3" ht="19.95" customHeight="1">
      <c r="A209" s="3" t="s">
        <v>295</v>
      </c>
      <c r="B209" s="4" t="s">
        <v>299</v>
      </c>
      <c r="C209" s="25"/>
    </row>
    <row r="210" spans="1:3" ht="19.95" customHeight="1">
      <c r="A210" s="3" t="s">
        <v>295</v>
      </c>
      <c r="B210" s="4" t="s">
        <v>300</v>
      </c>
      <c r="C210" s="26"/>
    </row>
    <row r="211" spans="1:3" ht="19.95" customHeight="1">
      <c r="A211" s="3" t="s">
        <v>301</v>
      </c>
      <c r="B211" s="4" t="s">
        <v>302</v>
      </c>
      <c r="C211" s="24" t="s">
        <v>303</v>
      </c>
    </row>
    <row r="212" spans="1:3" ht="19.95" customHeight="1">
      <c r="A212" s="3" t="s">
        <v>301</v>
      </c>
      <c r="B212" s="9" t="s">
        <v>304</v>
      </c>
      <c r="C212" s="25"/>
    </row>
    <row r="213" spans="1:3" ht="19.95" customHeight="1">
      <c r="A213" s="3" t="s">
        <v>301</v>
      </c>
      <c r="B213" s="9" t="s">
        <v>305</v>
      </c>
      <c r="C213" s="25"/>
    </row>
    <row r="214" spans="1:3" ht="19.95" customHeight="1">
      <c r="A214" s="3" t="s">
        <v>301</v>
      </c>
      <c r="B214" s="9" t="s">
        <v>306</v>
      </c>
      <c r="C214" s="26"/>
    </row>
    <row r="215" spans="1:3" ht="19.95" customHeight="1">
      <c r="A215" s="3" t="s">
        <v>307</v>
      </c>
      <c r="B215" s="4" t="s">
        <v>308</v>
      </c>
      <c r="C215" s="24" t="s">
        <v>309</v>
      </c>
    </row>
    <row r="216" spans="1:3" ht="19.95" customHeight="1">
      <c r="A216" s="3" t="s">
        <v>307</v>
      </c>
      <c r="B216" s="4" t="s">
        <v>310</v>
      </c>
      <c r="C216" s="25"/>
    </row>
    <row r="217" spans="1:3" ht="19.95" customHeight="1">
      <c r="A217" s="3" t="s">
        <v>307</v>
      </c>
      <c r="B217" s="4" t="s">
        <v>311</v>
      </c>
      <c r="C217" s="26"/>
    </row>
    <row r="218" spans="1:3" ht="19.95" customHeight="1">
      <c r="A218" s="3" t="s">
        <v>312</v>
      </c>
      <c r="B218" s="4" t="s">
        <v>313</v>
      </c>
      <c r="C218" s="27" t="s">
        <v>314</v>
      </c>
    </row>
    <row r="219" spans="1:3" ht="19.95" customHeight="1">
      <c r="A219" s="3" t="s">
        <v>312</v>
      </c>
      <c r="B219" s="4" t="s">
        <v>315</v>
      </c>
      <c r="C219" s="25"/>
    </row>
    <row r="220" spans="1:3" ht="19.95" customHeight="1">
      <c r="A220" s="3" t="s">
        <v>312</v>
      </c>
      <c r="B220" s="4" t="s">
        <v>316</v>
      </c>
      <c r="C220" s="26"/>
    </row>
    <row r="221" spans="1:3" ht="19.95" customHeight="1">
      <c r="A221" s="3" t="s">
        <v>317</v>
      </c>
      <c r="B221" s="4" t="s">
        <v>318</v>
      </c>
      <c r="C221" s="24" t="s">
        <v>319</v>
      </c>
    </row>
    <row r="222" spans="1:3" ht="19.95" customHeight="1">
      <c r="A222" s="3" t="s">
        <v>317</v>
      </c>
      <c r="B222" s="4" t="s">
        <v>320</v>
      </c>
      <c r="C222" s="26"/>
    </row>
    <row r="223" spans="1:3" ht="19.95" customHeight="1">
      <c r="A223" s="3" t="s">
        <v>321</v>
      </c>
      <c r="B223" s="4" t="s">
        <v>322</v>
      </c>
      <c r="C223" s="24" t="s">
        <v>323</v>
      </c>
    </row>
    <row r="224" spans="1:3" ht="19.95" customHeight="1">
      <c r="A224" s="3" t="s">
        <v>321</v>
      </c>
      <c r="B224" s="4" t="s">
        <v>324</v>
      </c>
      <c r="C224" s="26"/>
    </row>
    <row r="225" spans="1:3" ht="19.95" customHeight="1">
      <c r="A225" s="3" t="s">
        <v>325</v>
      </c>
      <c r="B225" s="4" t="s">
        <v>326</v>
      </c>
      <c r="C225" s="24" t="s">
        <v>327</v>
      </c>
    </row>
    <row r="226" spans="1:3" ht="19.95" customHeight="1">
      <c r="A226" s="3" t="s">
        <v>325</v>
      </c>
      <c r="B226" s="10" t="s">
        <v>328</v>
      </c>
      <c r="C226" s="25"/>
    </row>
    <row r="227" spans="1:3" ht="19.95" customHeight="1">
      <c r="A227" s="3" t="s">
        <v>325</v>
      </c>
      <c r="B227" s="4" t="s">
        <v>329</v>
      </c>
      <c r="C227" s="25"/>
    </row>
    <row r="228" spans="1:3" ht="19.95" customHeight="1">
      <c r="A228" s="3" t="s">
        <v>325</v>
      </c>
      <c r="B228" s="4" t="s">
        <v>330</v>
      </c>
      <c r="C228" s="25"/>
    </row>
    <row r="229" spans="1:3" ht="19.95" customHeight="1">
      <c r="A229" s="3" t="s">
        <v>325</v>
      </c>
      <c r="B229" s="4" t="s">
        <v>331</v>
      </c>
      <c r="C229" s="26"/>
    </row>
    <row r="230" spans="1:3" ht="19.95" customHeight="1">
      <c r="A230" s="3" t="s">
        <v>332</v>
      </c>
      <c r="B230" s="4" t="s">
        <v>333</v>
      </c>
      <c r="C230" s="37"/>
    </row>
    <row r="231" spans="1:3" ht="19.95" customHeight="1">
      <c r="A231" s="3" t="s">
        <v>332</v>
      </c>
      <c r="B231" s="4" t="s">
        <v>334</v>
      </c>
      <c r="C231" s="37"/>
    </row>
    <row r="232" spans="1:3" ht="19.95" customHeight="1">
      <c r="A232" s="3" t="s">
        <v>332</v>
      </c>
      <c r="B232" s="4" t="s">
        <v>335</v>
      </c>
      <c r="C232" s="37"/>
    </row>
    <row r="233" spans="1:3" ht="19.95" customHeight="1">
      <c r="A233" s="44" t="s">
        <v>336</v>
      </c>
      <c r="B233" s="7" t="s">
        <v>337</v>
      </c>
      <c r="C233" s="33" t="s">
        <v>338</v>
      </c>
    </row>
    <row r="234" spans="1:3" ht="19.95" customHeight="1">
      <c r="A234" s="44" t="s">
        <v>336</v>
      </c>
      <c r="B234" s="7" t="s">
        <v>339</v>
      </c>
      <c r="C234" s="25"/>
    </row>
    <row r="235" spans="1:3" ht="19.95" customHeight="1">
      <c r="A235" s="44" t="s">
        <v>336</v>
      </c>
      <c r="B235" s="7" t="s">
        <v>340</v>
      </c>
      <c r="C235" s="26"/>
    </row>
    <row r="236" spans="1:3" ht="19.95" customHeight="1">
      <c r="A236" s="46" t="s">
        <v>341</v>
      </c>
      <c r="B236" s="9" t="s">
        <v>342</v>
      </c>
    </row>
    <row r="237" spans="1:3" ht="19.95" customHeight="1">
      <c r="A237" s="46" t="s">
        <v>341</v>
      </c>
      <c r="B237" s="4" t="s">
        <v>343</v>
      </c>
      <c r="C237" s="24" t="s">
        <v>344</v>
      </c>
    </row>
    <row r="238" spans="1:3" ht="19.95" customHeight="1">
      <c r="A238" s="46" t="s">
        <v>341</v>
      </c>
      <c r="B238" s="4" t="s">
        <v>345</v>
      </c>
      <c r="C238" s="25"/>
    </row>
    <row r="239" spans="1:3" ht="19.95" customHeight="1">
      <c r="A239" s="46" t="s">
        <v>341</v>
      </c>
      <c r="B239" s="4" t="s">
        <v>346</v>
      </c>
      <c r="C239" s="25"/>
    </row>
    <row r="240" spans="1:3" ht="19.95" customHeight="1">
      <c r="A240" s="46" t="s">
        <v>341</v>
      </c>
      <c r="B240" s="4" t="s">
        <v>347</v>
      </c>
      <c r="C240" s="25"/>
    </row>
    <row r="241" spans="1:3" ht="19.95" customHeight="1">
      <c r="A241" s="46" t="s">
        <v>341</v>
      </c>
      <c r="B241" s="4" t="s">
        <v>348</v>
      </c>
      <c r="C241" s="25"/>
    </row>
    <row r="242" spans="1:3" ht="19.95" customHeight="1">
      <c r="A242" s="46" t="s">
        <v>341</v>
      </c>
      <c r="B242" s="4" t="s">
        <v>349</v>
      </c>
      <c r="C242" s="25"/>
    </row>
    <row r="243" spans="1:3" ht="19.95" customHeight="1">
      <c r="A243" s="46" t="s">
        <v>341</v>
      </c>
      <c r="B243" s="4" t="s">
        <v>350</v>
      </c>
      <c r="C243" s="25"/>
    </row>
    <row r="244" spans="1:3" ht="19.95" customHeight="1">
      <c r="A244" s="46" t="s">
        <v>341</v>
      </c>
      <c r="B244" s="4" t="s">
        <v>351</v>
      </c>
      <c r="C244" s="25"/>
    </row>
    <row r="245" spans="1:3" ht="19.95" customHeight="1">
      <c r="A245" s="46" t="s">
        <v>341</v>
      </c>
      <c r="B245" s="4" t="s">
        <v>352</v>
      </c>
      <c r="C245" s="25"/>
    </row>
    <row r="246" spans="1:3" ht="19.95" customHeight="1">
      <c r="A246" s="46" t="s">
        <v>341</v>
      </c>
      <c r="B246" s="4" t="s">
        <v>353</v>
      </c>
      <c r="C246" s="26"/>
    </row>
    <row r="247" spans="1:3" ht="19.95" customHeight="1">
      <c r="A247" s="45" t="s">
        <v>354</v>
      </c>
      <c r="B247" s="1" t="s">
        <v>355</v>
      </c>
      <c r="C247" s="28" t="s">
        <v>356</v>
      </c>
    </row>
    <row r="248" spans="1:3" ht="19.95" customHeight="1">
      <c r="A248" s="45" t="s">
        <v>354</v>
      </c>
      <c r="B248" s="1" t="s">
        <v>357</v>
      </c>
      <c r="C248" s="25"/>
    </row>
    <row r="249" spans="1:3" ht="19.95" customHeight="1">
      <c r="A249" s="45" t="s">
        <v>354</v>
      </c>
      <c r="B249" s="1" t="s">
        <v>358</v>
      </c>
      <c r="C249" s="25"/>
    </row>
    <row r="250" spans="1:3" ht="19.95" customHeight="1">
      <c r="A250" s="45" t="s">
        <v>354</v>
      </c>
      <c r="B250" s="1" t="s">
        <v>359</v>
      </c>
      <c r="C250" s="25"/>
    </row>
    <row r="251" spans="1:3" ht="19.95" customHeight="1">
      <c r="A251" s="45" t="s">
        <v>354</v>
      </c>
      <c r="B251" s="1" t="s">
        <v>360</v>
      </c>
      <c r="C251" s="25"/>
    </row>
    <row r="252" spans="1:3" ht="19.95" customHeight="1">
      <c r="A252" s="45" t="s">
        <v>354</v>
      </c>
      <c r="B252" s="1" t="s">
        <v>361</v>
      </c>
      <c r="C252" s="25"/>
    </row>
    <row r="253" spans="1:3" ht="19.95" customHeight="1">
      <c r="A253" s="45" t="s">
        <v>354</v>
      </c>
      <c r="B253" s="1" t="s">
        <v>362</v>
      </c>
      <c r="C253" s="25"/>
    </row>
    <row r="254" spans="1:3" ht="19.95" customHeight="1">
      <c r="A254" s="45" t="s">
        <v>354</v>
      </c>
      <c r="B254" s="1" t="s">
        <v>363</v>
      </c>
      <c r="C254" s="25"/>
    </row>
    <row r="255" spans="1:3" ht="19.95" customHeight="1">
      <c r="A255" s="45" t="s">
        <v>354</v>
      </c>
      <c r="B255" s="1" t="s">
        <v>364</v>
      </c>
      <c r="C255" s="25"/>
    </row>
    <row r="256" spans="1:3" ht="19.95" customHeight="1">
      <c r="A256" s="45" t="s">
        <v>354</v>
      </c>
      <c r="B256" s="1" t="s">
        <v>365</v>
      </c>
      <c r="C256" s="25"/>
    </row>
    <row r="257" spans="1:3" ht="19.95" customHeight="1">
      <c r="A257" s="45" t="s">
        <v>354</v>
      </c>
      <c r="B257" s="1" t="s">
        <v>366</v>
      </c>
      <c r="C257" s="25"/>
    </row>
    <row r="258" spans="1:3" ht="19.95" customHeight="1">
      <c r="A258" s="45" t="s">
        <v>354</v>
      </c>
      <c r="B258" s="1" t="s">
        <v>367</v>
      </c>
      <c r="C258" s="25"/>
    </row>
    <row r="259" spans="1:3" ht="19.95" customHeight="1">
      <c r="A259" s="45" t="s">
        <v>354</v>
      </c>
      <c r="B259" s="1" t="s">
        <v>368</v>
      </c>
      <c r="C259" s="25"/>
    </row>
    <row r="260" spans="1:3" ht="19.95" customHeight="1">
      <c r="A260" s="45" t="s">
        <v>354</v>
      </c>
      <c r="B260" s="1" t="s">
        <v>369</v>
      </c>
      <c r="C260" s="25"/>
    </row>
    <row r="261" spans="1:3" ht="19.95" customHeight="1">
      <c r="A261" s="45" t="s">
        <v>354</v>
      </c>
      <c r="B261" s="1" t="s">
        <v>370</v>
      </c>
      <c r="C261" s="25"/>
    </row>
    <row r="262" spans="1:3" ht="19.95" customHeight="1">
      <c r="A262" s="45" t="s">
        <v>354</v>
      </c>
      <c r="B262" s="1" t="s">
        <v>371</v>
      </c>
      <c r="C262" s="25"/>
    </row>
    <row r="263" spans="1:3" ht="19.95" customHeight="1">
      <c r="A263" s="45" t="s">
        <v>354</v>
      </c>
      <c r="B263" s="1" t="s">
        <v>372</v>
      </c>
      <c r="C263" s="25"/>
    </row>
    <row r="264" spans="1:3" ht="19.95" customHeight="1">
      <c r="A264" s="45" t="s">
        <v>354</v>
      </c>
      <c r="B264" s="1" t="s">
        <v>373</v>
      </c>
      <c r="C264" s="25"/>
    </row>
    <row r="265" spans="1:3" ht="19.95" customHeight="1">
      <c r="A265" s="45" t="s">
        <v>354</v>
      </c>
      <c r="B265" s="1" t="s">
        <v>374</v>
      </c>
      <c r="C265" s="25"/>
    </row>
    <row r="266" spans="1:3" ht="19.95" customHeight="1">
      <c r="A266" s="45" t="s">
        <v>354</v>
      </c>
      <c r="B266" s="1" t="s">
        <v>375</v>
      </c>
      <c r="C266" s="25"/>
    </row>
    <row r="267" spans="1:3" ht="19.95" customHeight="1">
      <c r="A267" s="45" t="s">
        <v>354</v>
      </c>
      <c r="B267" s="1" t="s">
        <v>376</v>
      </c>
      <c r="C267" s="25"/>
    </row>
    <row r="268" spans="1:3" ht="19.95" customHeight="1">
      <c r="A268" s="45" t="s">
        <v>354</v>
      </c>
      <c r="B268" s="1" t="s">
        <v>377</v>
      </c>
      <c r="C268" s="25"/>
    </row>
    <row r="269" spans="1:3" ht="19.95" customHeight="1">
      <c r="A269" s="45" t="s">
        <v>354</v>
      </c>
      <c r="B269" s="1" t="s">
        <v>378</v>
      </c>
      <c r="C269" s="25"/>
    </row>
    <row r="270" spans="1:3" ht="19.95" customHeight="1">
      <c r="A270" s="45" t="s">
        <v>354</v>
      </c>
      <c r="B270" s="1" t="s">
        <v>379</v>
      </c>
      <c r="C270" s="25"/>
    </row>
    <row r="271" spans="1:3" ht="19.95" customHeight="1">
      <c r="A271" s="45" t="s">
        <v>354</v>
      </c>
      <c r="B271" s="1" t="s">
        <v>380</v>
      </c>
      <c r="C271" s="25"/>
    </row>
    <row r="272" spans="1:3" ht="19.95" customHeight="1">
      <c r="A272" s="45" t="s">
        <v>354</v>
      </c>
      <c r="B272" s="1" t="s">
        <v>381</v>
      </c>
      <c r="C272" s="25"/>
    </row>
    <row r="273" spans="1:3" ht="19.95" customHeight="1">
      <c r="A273" s="45" t="s">
        <v>354</v>
      </c>
      <c r="B273" s="1" t="s">
        <v>382</v>
      </c>
      <c r="C273" s="25"/>
    </row>
    <row r="274" spans="1:3" ht="19.95" customHeight="1">
      <c r="A274" s="45" t="s">
        <v>354</v>
      </c>
      <c r="B274" s="1" t="s">
        <v>383</v>
      </c>
      <c r="C274" s="25"/>
    </row>
    <row r="275" spans="1:3" ht="19.95" customHeight="1">
      <c r="A275" s="45" t="s">
        <v>354</v>
      </c>
      <c r="B275" s="1" t="s">
        <v>384</v>
      </c>
      <c r="C275" s="25"/>
    </row>
    <row r="276" spans="1:3" ht="19.95" customHeight="1">
      <c r="A276" s="45" t="s">
        <v>354</v>
      </c>
      <c r="B276" s="1" t="s">
        <v>385</v>
      </c>
      <c r="C276" s="25"/>
    </row>
    <row r="277" spans="1:3" ht="19.95" customHeight="1">
      <c r="A277" s="45" t="s">
        <v>354</v>
      </c>
      <c r="B277" s="7"/>
      <c r="C277" s="25"/>
    </row>
    <row r="278" spans="1:3" ht="19.95" customHeight="1">
      <c r="A278" s="45" t="s">
        <v>354</v>
      </c>
      <c r="B278" s="1" t="s">
        <v>386</v>
      </c>
      <c r="C278" s="25"/>
    </row>
    <row r="279" spans="1:3" ht="19.95" customHeight="1">
      <c r="A279" s="45" t="s">
        <v>354</v>
      </c>
      <c r="B279" s="1" t="s">
        <v>387</v>
      </c>
      <c r="C279" s="26"/>
    </row>
    <row r="280" spans="1:3" ht="19.95" customHeight="1">
      <c r="A280" s="8" t="s">
        <v>388</v>
      </c>
      <c r="B280" s="7" t="s">
        <v>389</v>
      </c>
      <c r="C280" s="29" t="s">
        <v>390</v>
      </c>
    </row>
    <row r="281" spans="1:3" ht="19.95" customHeight="1">
      <c r="A281" s="8" t="s">
        <v>388</v>
      </c>
      <c r="B281" s="1" t="s">
        <v>391</v>
      </c>
      <c r="C281" s="25"/>
    </row>
    <row r="282" spans="1:3" ht="19.95" customHeight="1">
      <c r="A282" s="8" t="s">
        <v>388</v>
      </c>
      <c r="B282" s="1" t="s">
        <v>392</v>
      </c>
      <c r="C282" s="25"/>
    </row>
    <row r="283" spans="1:3" ht="19.95" customHeight="1">
      <c r="A283" s="8" t="s">
        <v>388</v>
      </c>
      <c r="B283" s="1" t="s">
        <v>393</v>
      </c>
      <c r="C283" s="26"/>
    </row>
    <row r="284" spans="1:3" ht="19.95" customHeight="1">
      <c r="A284" s="45" t="s">
        <v>394</v>
      </c>
      <c r="B284" s="1" t="s">
        <v>395</v>
      </c>
      <c r="C284" s="28" t="s">
        <v>396</v>
      </c>
    </row>
    <row r="285" spans="1:3" ht="19.95" customHeight="1">
      <c r="A285" s="45" t="s">
        <v>394</v>
      </c>
      <c r="B285" s="7" t="s">
        <v>397</v>
      </c>
      <c r="C285" s="25"/>
    </row>
    <row r="286" spans="1:3" ht="19.95" customHeight="1">
      <c r="A286" s="45" t="s">
        <v>394</v>
      </c>
      <c r="B286" s="7" t="s">
        <v>398</v>
      </c>
      <c r="C286" s="25"/>
    </row>
    <row r="287" spans="1:3" ht="19.95" customHeight="1">
      <c r="A287" s="45" t="s">
        <v>394</v>
      </c>
      <c r="B287" s="7" t="s">
        <v>398</v>
      </c>
      <c r="C287" s="25"/>
    </row>
    <row r="288" spans="1:3" ht="19.95" customHeight="1">
      <c r="A288" s="45" t="s">
        <v>394</v>
      </c>
      <c r="B288" s="7" t="s">
        <v>399</v>
      </c>
      <c r="C288" s="26"/>
    </row>
    <row r="289" spans="1:3" ht="19.95" customHeight="1">
      <c r="A289" s="45" t="s">
        <v>400</v>
      </c>
      <c r="B289" s="1" t="s">
        <v>401</v>
      </c>
      <c r="C289" s="28" t="s">
        <v>402</v>
      </c>
    </row>
    <row r="290" spans="1:3" ht="19.95" customHeight="1">
      <c r="A290" s="45" t="s">
        <v>400</v>
      </c>
      <c r="B290" s="1" t="s">
        <v>403</v>
      </c>
      <c r="C290" s="25"/>
    </row>
    <row r="291" spans="1:3" ht="19.95" customHeight="1">
      <c r="A291" s="45" t="s">
        <v>400</v>
      </c>
      <c r="B291" s="1" t="s">
        <v>404</v>
      </c>
      <c r="C291" s="25"/>
    </row>
    <row r="292" spans="1:3" ht="19.95" customHeight="1">
      <c r="A292" s="45" t="s">
        <v>400</v>
      </c>
      <c r="B292" s="1" t="s">
        <v>405</v>
      </c>
      <c r="C292" s="25"/>
    </row>
    <row r="293" spans="1:3" ht="19.95" customHeight="1">
      <c r="A293" s="45" t="s">
        <v>400</v>
      </c>
      <c r="B293" s="1" t="s">
        <v>406</v>
      </c>
      <c r="C293" s="25"/>
    </row>
    <row r="294" spans="1:3" ht="19.95" customHeight="1">
      <c r="A294" s="45" t="s">
        <v>400</v>
      </c>
      <c r="B294" s="11" t="s">
        <v>407</v>
      </c>
      <c r="C294" s="25"/>
    </row>
    <row r="295" spans="1:3" ht="19.95" customHeight="1">
      <c r="A295" s="45" t="s">
        <v>400</v>
      </c>
      <c r="B295" s="1" t="s">
        <v>408</v>
      </c>
      <c r="C295" s="25"/>
    </row>
    <row r="296" spans="1:3" ht="19.95" customHeight="1">
      <c r="A296" s="45" t="s">
        <v>400</v>
      </c>
      <c r="B296" s="12" t="s">
        <v>409</v>
      </c>
      <c r="C296" s="26"/>
    </row>
    <row r="297" spans="1:3" ht="19.95" customHeight="1">
      <c r="A297" s="8" t="s">
        <v>410</v>
      </c>
      <c r="B297" s="1" t="s">
        <v>411</v>
      </c>
      <c r="C297" s="32" t="s">
        <v>412</v>
      </c>
    </row>
    <row r="298" spans="1:3" ht="19.95" customHeight="1">
      <c r="A298" s="8" t="s">
        <v>410</v>
      </c>
      <c r="B298" s="1" t="s">
        <v>413</v>
      </c>
      <c r="C298" s="25"/>
    </row>
    <row r="299" spans="1:3" ht="19.95" customHeight="1">
      <c r="A299" s="8" t="s">
        <v>410</v>
      </c>
      <c r="B299" s="1" t="s">
        <v>414</v>
      </c>
      <c r="C299" s="25"/>
    </row>
    <row r="300" spans="1:3" ht="19.95" customHeight="1">
      <c r="A300" s="8" t="s">
        <v>410</v>
      </c>
      <c r="B300" s="11" t="s">
        <v>415</v>
      </c>
      <c r="C300" s="25"/>
    </row>
    <row r="301" spans="1:3" ht="19.95" customHeight="1">
      <c r="A301" s="8" t="s">
        <v>410</v>
      </c>
      <c r="B301" s="11" t="s">
        <v>416</v>
      </c>
      <c r="C301" s="25"/>
    </row>
    <row r="302" spans="1:3" ht="19.95" customHeight="1">
      <c r="A302" s="8" t="s">
        <v>410</v>
      </c>
      <c r="B302" s="1" t="s">
        <v>417</v>
      </c>
      <c r="C302" s="25"/>
    </row>
    <row r="303" spans="1:3" ht="19.95" customHeight="1">
      <c r="A303" s="8" t="s">
        <v>410</v>
      </c>
      <c r="B303" s="1" t="s">
        <v>418</v>
      </c>
      <c r="C303" s="25"/>
    </row>
    <row r="304" spans="1:3" ht="19.95" customHeight="1">
      <c r="A304" s="8" t="s">
        <v>410</v>
      </c>
      <c r="B304" s="12" t="s">
        <v>419</v>
      </c>
      <c r="C304" s="26"/>
    </row>
    <row r="305" spans="1:3" ht="19.95" customHeight="1">
      <c r="A305" s="8" t="s">
        <v>420</v>
      </c>
      <c r="B305" s="1" t="s">
        <v>421</v>
      </c>
      <c r="C305" s="32" t="s">
        <v>422</v>
      </c>
    </row>
    <row r="306" spans="1:3" ht="19.95" customHeight="1">
      <c r="A306" s="8" t="s">
        <v>420</v>
      </c>
      <c r="B306" s="1" t="s">
        <v>423</v>
      </c>
      <c r="C306" s="25"/>
    </row>
    <row r="307" spans="1:3" ht="19.95" customHeight="1">
      <c r="A307" s="8" t="s">
        <v>420</v>
      </c>
      <c r="B307" s="1" t="s">
        <v>424</v>
      </c>
      <c r="C307" s="25"/>
    </row>
    <row r="308" spans="1:3" ht="19.95" customHeight="1">
      <c r="A308" s="8" t="s">
        <v>420</v>
      </c>
      <c r="B308" s="1" t="s">
        <v>425</v>
      </c>
      <c r="C308" s="25"/>
    </row>
    <row r="309" spans="1:3" ht="19.95" customHeight="1">
      <c r="A309" s="8" t="s">
        <v>420</v>
      </c>
      <c r="B309" s="1" t="s">
        <v>426</v>
      </c>
      <c r="C309" s="25"/>
    </row>
    <row r="310" spans="1:3" ht="19.95" customHeight="1">
      <c r="A310" s="8" t="s">
        <v>420</v>
      </c>
      <c r="B310" s="1" t="s">
        <v>427</v>
      </c>
      <c r="C310" s="25"/>
    </row>
    <row r="311" spans="1:3" ht="19.95" customHeight="1">
      <c r="A311" s="8" t="s">
        <v>420</v>
      </c>
      <c r="B311" s="1" t="s">
        <v>428</v>
      </c>
      <c r="C311" s="25"/>
    </row>
    <row r="312" spans="1:3" ht="19.95" customHeight="1">
      <c r="A312" s="8" t="s">
        <v>420</v>
      </c>
      <c r="B312" s="1" t="s">
        <v>429</v>
      </c>
      <c r="C312" s="26"/>
    </row>
    <row r="313" spans="1:3" ht="19.95" customHeight="1">
      <c r="A313" s="8" t="s">
        <v>430</v>
      </c>
      <c r="B313" s="1" t="s">
        <v>431</v>
      </c>
      <c r="C313" s="32" t="s">
        <v>432</v>
      </c>
    </row>
    <row r="314" spans="1:3" ht="19.95" customHeight="1">
      <c r="A314" s="8" t="s">
        <v>430</v>
      </c>
      <c r="B314" s="1" t="s">
        <v>433</v>
      </c>
      <c r="C314" s="25"/>
    </row>
    <row r="315" spans="1:3" ht="19.95" customHeight="1">
      <c r="A315" s="8" t="s">
        <v>430</v>
      </c>
      <c r="B315" s="1" t="s">
        <v>434</v>
      </c>
      <c r="C315" s="25"/>
    </row>
    <row r="316" spans="1:3" ht="19.95" customHeight="1">
      <c r="A316" s="8" t="s">
        <v>430</v>
      </c>
      <c r="B316" s="1" t="s">
        <v>435</v>
      </c>
      <c r="C316" s="25"/>
    </row>
    <row r="317" spans="1:3" ht="19.95" customHeight="1">
      <c r="A317" s="8" t="s">
        <v>430</v>
      </c>
      <c r="B317" s="1" t="s">
        <v>436</v>
      </c>
      <c r="C317" s="26"/>
    </row>
    <row r="318" spans="1:3" ht="19.95" customHeight="1">
      <c r="A318" s="8" t="s">
        <v>437</v>
      </c>
      <c r="B318" s="1" t="s">
        <v>438</v>
      </c>
      <c r="C318" s="38" t="s">
        <v>439</v>
      </c>
    </row>
    <row r="319" spans="1:3" ht="19.95" customHeight="1">
      <c r="A319" s="8" t="s">
        <v>437</v>
      </c>
      <c r="B319" s="1" t="s">
        <v>437</v>
      </c>
      <c r="C319" s="25"/>
    </row>
    <row r="320" spans="1:3" ht="19.95" customHeight="1">
      <c r="A320" s="8" t="s">
        <v>437</v>
      </c>
      <c r="B320" s="1" t="s">
        <v>440</v>
      </c>
      <c r="C320" s="25"/>
    </row>
    <row r="321" spans="1:3" ht="19.95" customHeight="1">
      <c r="A321" s="8" t="s">
        <v>437</v>
      </c>
      <c r="B321" s="1" t="s">
        <v>441</v>
      </c>
      <c r="C321" s="25"/>
    </row>
    <row r="322" spans="1:3" ht="19.95" customHeight="1">
      <c r="A322" s="8" t="s">
        <v>437</v>
      </c>
      <c r="B322" s="1" t="s">
        <v>442</v>
      </c>
      <c r="C322" s="25"/>
    </row>
    <row r="323" spans="1:3" ht="19.95" customHeight="1">
      <c r="A323" s="8" t="s">
        <v>437</v>
      </c>
      <c r="B323" s="1" t="s">
        <v>443</v>
      </c>
      <c r="C323" s="25"/>
    </row>
    <row r="324" spans="1:3" ht="19.95" customHeight="1">
      <c r="A324" s="8" t="s">
        <v>437</v>
      </c>
      <c r="B324" s="1" t="s">
        <v>444</v>
      </c>
      <c r="C324" s="25"/>
    </row>
    <row r="325" spans="1:3" ht="19.95" customHeight="1">
      <c r="A325" s="8" t="s">
        <v>437</v>
      </c>
      <c r="B325" s="1" t="s">
        <v>445</v>
      </c>
      <c r="C325" s="25"/>
    </row>
    <row r="326" spans="1:3" ht="19.95" customHeight="1">
      <c r="A326" s="8" t="s">
        <v>437</v>
      </c>
      <c r="B326" s="1" t="s">
        <v>446</v>
      </c>
      <c r="C326" s="25"/>
    </row>
    <row r="327" spans="1:3" ht="19.95" customHeight="1">
      <c r="A327" s="8" t="s">
        <v>437</v>
      </c>
      <c r="B327" s="1" t="s">
        <v>447</v>
      </c>
      <c r="C327" s="25"/>
    </row>
    <row r="328" spans="1:3" ht="19.95" customHeight="1">
      <c r="A328" s="8" t="s">
        <v>437</v>
      </c>
      <c r="B328" s="1" t="s">
        <v>448</v>
      </c>
      <c r="C328" s="26"/>
    </row>
    <row r="329" spans="1:3" ht="19.95" customHeight="1">
      <c r="A329" s="44" t="s">
        <v>449</v>
      </c>
      <c r="B329" s="1" t="s">
        <v>450</v>
      </c>
      <c r="C329" s="32" t="s">
        <v>451</v>
      </c>
    </row>
    <row r="330" spans="1:3" ht="19.95" customHeight="1">
      <c r="A330" s="44" t="s">
        <v>449</v>
      </c>
      <c r="B330" s="1" t="s">
        <v>452</v>
      </c>
      <c r="C330" s="25"/>
    </row>
    <row r="331" spans="1:3" ht="19.95" customHeight="1">
      <c r="A331" s="44" t="s">
        <v>449</v>
      </c>
      <c r="B331" s="1" t="s">
        <v>453</v>
      </c>
      <c r="C331" s="25"/>
    </row>
    <row r="332" spans="1:3" ht="19.95" customHeight="1">
      <c r="A332" s="44" t="s">
        <v>449</v>
      </c>
      <c r="B332" s="1" t="s">
        <v>454</v>
      </c>
      <c r="C332" s="25"/>
    </row>
    <row r="333" spans="1:3" ht="19.95" customHeight="1">
      <c r="A333" s="44" t="s">
        <v>449</v>
      </c>
      <c r="B333" s="1" t="s">
        <v>455</v>
      </c>
      <c r="C333" s="25"/>
    </row>
    <row r="334" spans="1:3" ht="19.95" customHeight="1">
      <c r="A334" s="44" t="s">
        <v>449</v>
      </c>
      <c r="B334" s="1" t="s">
        <v>456</v>
      </c>
      <c r="C334" s="26"/>
    </row>
    <row r="335" spans="1:3" ht="19.95" customHeight="1">
      <c r="A335" s="8" t="s">
        <v>164</v>
      </c>
      <c r="B335" s="1" t="s">
        <v>165</v>
      </c>
      <c r="C335" s="38" t="s">
        <v>457</v>
      </c>
    </row>
    <row r="336" spans="1:3" ht="19.95" customHeight="1">
      <c r="A336" s="8" t="s">
        <v>164</v>
      </c>
      <c r="B336" s="4" t="s">
        <v>458</v>
      </c>
      <c r="C336" s="25"/>
    </row>
    <row r="337" spans="1:3" ht="19.95" customHeight="1">
      <c r="A337" s="8" t="s">
        <v>164</v>
      </c>
      <c r="B337" s="4" t="s">
        <v>459</v>
      </c>
      <c r="C337" s="25"/>
    </row>
    <row r="338" spans="1:3" ht="19.95" customHeight="1">
      <c r="A338" s="8" t="s">
        <v>164</v>
      </c>
      <c r="B338" s="4" t="s">
        <v>460</v>
      </c>
      <c r="C338" s="25"/>
    </row>
    <row r="339" spans="1:3" ht="19.95" customHeight="1">
      <c r="A339" s="8" t="s">
        <v>164</v>
      </c>
      <c r="B339" s="4" t="s">
        <v>461</v>
      </c>
      <c r="C339" s="26"/>
    </row>
    <row r="340" spans="1:3" ht="19.95" customHeight="1">
      <c r="A340" s="3" t="s">
        <v>462</v>
      </c>
      <c r="B340" s="4" t="s">
        <v>463</v>
      </c>
      <c r="C340" s="24" t="s">
        <v>464</v>
      </c>
    </row>
    <row r="341" spans="1:3" ht="19.95" customHeight="1">
      <c r="A341" s="3" t="s">
        <v>462</v>
      </c>
      <c r="B341" s="1" t="s">
        <v>465</v>
      </c>
      <c r="C341" s="25"/>
    </row>
    <row r="342" spans="1:3" ht="19.95" customHeight="1">
      <c r="A342" s="3" t="s">
        <v>462</v>
      </c>
      <c r="B342" s="7" t="s">
        <v>466</v>
      </c>
      <c r="C342" s="25"/>
    </row>
    <row r="343" spans="1:3" ht="19.95" customHeight="1">
      <c r="A343" s="3" t="s">
        <v>462</v>
      </c>
      <c r="B343" s="1" t="s">
        <v>467</v>
      </c>
      <c r="C343" s="26"/>
    </row>
    <row r="344" spans="1:3" ht="19.95" customHeight="1">
      <c r="A344" s="8" t="s">
        <v>468</v>
      </c>
      <c r="B344" s="1" t="s">
        <v>469</v>
      </c>
      <c r="C344" s="32" t="s">
        <v>470</v>
      </c>
    </row>
    <row r="345" spans="1:3" ht="19.95" customHeight="1">
      <c r="A345" s="8" t="s">
        <v>468</v>
      </c>
      <c r="B345" s="1" t="s">
        <v>471</v>
      </c>
      <c r="C345" s="25"/>
    </row>
    <row r="346" spans="1:3" ht="19.95" customHeight="1">
      <c r="A346" s="8" t="s">
        <v>468</v>
      </c>
      <c r="B346" s="1" t="s">
        <v>472</v>
      </c>
      <c r="C346" s="25"/>
    </row>
    <row r="347" spans="1:3" ht="19.95" customHeight="1">
      <c r="A347" s="8" t="s">
        <v>468</v>
      </c>
      <c r="B347" s="1" t="s">
        <v>473</v>
      </c>
      <c r="C347" s="25"/>
    </row>
    <row r="348" spans="1:3" ht="19.95" customHeight="1">
      <c r="A348" s="8" t="s">
        <v>468</v>
      </c>
      <c r="B348" s="4" t="s">
        <v>474</v>
      </c>
      <c r="C348" s="26"/>
    </row>
    <row r="349" spans="1:3" ht="19.95" customHeight="1">
      <c r="A349" s="45" t="s">
        <v>476</v>
      </c>
      <c r="B349" s="1" t="s">
        <v>477</v>
      </c>
      <c r="C349" s="28" t="s">
        <v>478</v>
      </c>
    </row>
    <row r="350" spans="1:3" ht="19.95" customHeight="1">
      <c r="A350" s="45" t="s">
        <v>476</v>
      </c>
      <c r="B350" s="1"/>
      <c r="C350" s="25"/>
    </row>
    <row r="351" spans="1:3" ht="19.95" customHeight="1">
      <c r="A351" s="45" t="s">
        <v>476</v>
      </c>
      <c r="B351" s="1"/>
      <c r="C351" s="25"/>
    </row>
    <row r="352" spans="1:3" ht="19.95" customHeight="1">
      <c r="A352" s="45" t="s">
        <v>476</v>
      </c>
      <c r="B352" s="1" t="s">
        <v>479</v>
      </c>
      <c r="C352" s="25"/>
    </row>
    <row r="353" spans="1:3" ht="19.95" customHeight="1">
      <c r="A353" s="45" t="s">
        <v>476</v>
      </c>
      <c r="B353" s="1" t="s">
        <v>480</v>
      </c>
      <c r="C353" s="25"/>
    </row>
    <row r="354" spans="1:3" ht="19.95" customHeight="1">
      <c r="A354" s="45" t="s">
        <v>476</v>
      </c>
      <c r="B354" s="1" t="s">
        <v>481</v>
      </c>
      <c r="C354" s="25"/>
    </row>
    <row r="355" spans="1:3" ht="19.95" customHeight="1">
      <c r="A355" s="45" t="s">
        <v>476</v>
      </c>
      <c r="B355" s="6" t="s">
        <v>482</v>
      </c>
      <c r="C355" s="25"/>
    </row>
    <row r="356" spans="1:3" ht="19.95" customHeight="1">
      <c r="A356" s="45" t="s">
        <v>476</v>
      </c>
      <c r="B356" s="6" t="s">
        <v>483</v>
      </c>
      <c r="C356" s="25"/>
    </row>
    <row r="357" spans="1:3" ht="19.95" customHeight="1">
      <c r="A357" s="45" t="s">
        <v>476</v>
      </c>
      <c r="B357" s="6"/>
      <c r="C357" s="25"/>
    </row>
    <row r="358" spans="1:3" ht="19.95" customHeight="1">
      <c r="A358" s="45" t="s">
        <v>476</v>
      </c>
      <c r="B358" s="6"/>
      <c r="C358" s="26"/>
    </row>
    <row r="359" spans="1:3" ht="19.95" customHeight="1">
      <c r="A359" s="8" t="s">
        <v>484</v>
      </c>
      <c r="B359" s="6" t="s">
        <v>485</v>
      </c>
      <c r="C359" s="40" t="s">
        <v>486</v>
      </c>
    </row>
    <row r="360" spans="1:3" ht="19.95" customHeight="1">
      <c r="A360" s="8" t="s">
        <v>484</v>
      </c>
      <c r="B360" s="4" t="s">
        <v>487</v>
      </c>
      <c r="C360" s="25"/>
    </row>
    <row r="361" spans="1:3" ht="19.95" customHeight="1">
      <c r="A361" s="8" t="s">
        <v>484</v>
      </c>
      <c r="B361" s="4" t="s">
        <v>488</v>
      </c>
      <c r="C361" s="25"/>
    </row>
    <row r="362" spans="1:3" ht="19.95" customHeight="1">
      <c r="A362" s="8" t="s">
        <v>484</v>
      </c>
      <c r="B362" s="4" t="s">
        <v>489</v>
      </c>
      <c r="C362" s="26"/>
    </row>
    <row r="363" spans="1:3" ht="19.95" customHeight="1">
      <c r="A363" s="8" t="s">
        <v>490</v>
      </c>
      <c r="B363" s="4" t="s">
        <v>491</v>
      </c>
      <c r="C363" s="39" t="s">
        <v>492</v>
      </c>
    </row>
    <row r="364" spans="1:3" ht="19.95" customHeight="1">
      <c r="A364" s="8" t="s">
        <v>490</v>
      </c>
      <c r="B364" s="4" t="s">
        <v>493</v>
      </c>
      <c r="C364" s="25"/>
    </row>
    <row r="365" spans="1:3" ht="19.95" customHeight="1">
      <c r="A365" s="8" t="s">
        <v>490</v>
      </c>
      <c r="B365" s="4" t="s">
        <v>494</v>
      </c>
      <c r="C365" s="26"/>
    </row>
    <row r="366" spans="1:3" ht="19.95" customHeight="1">
      <c r="A366" s="8" t="s">
        <v>495</v>
      </c>
      <c r="B366" s="24" t="s">
        <v>496</v>
      </c>
      <c r="C366" s="39" t="s">
        <v>497</v>
      </c>
    </row>
    <row r="367" spans="1:3" ht="19.95" customHeight="1">
      <c r="A367" s="8" t="s">
        <v>495</v>
      </c>
      <c r="B367" s="25"/>
      <c r="C367" s="25"/>
    </row>
    <row r="368" spans="1:3" ht="19.95" customHeight="1">
      <c r="A368" s="8" t="s">
        <v>495</v>
      </c>
      <c r="B368" s="25"/>
      <c r="C368" s="25"/>
    </row>
    <row r="369" spans="1:3" ht="19.95" customHeight="1">
      <c r="A369" s="8" t="s">
        <v>495</v>
      </c>
      <c r="B369" s="26"/>
      <c r="C369" s="25"/>
    </row>
    <row r="370" spans="1:3" ht="19.95" customHeight="1">
      <c r="A370" s="8" t="s">
        <v>495</v>
      </c>
      <c r="B370" s="4" t="s">
        <v>498</v>
      </c>
      <c r="C370" s="26"/>
    </row>
    <row r="371" spans="1:3" ht="19.95" customHeight="1">
      <c r="A371" s="8" t="s">
        <v>499</v>
      </c>
      <c r="B371" s="4" t="s">
        <v>500</v>
      </c>
      <c r="C371" s="40" t="s">
        <v>501</v>
      </c>
    </row>
    <row r="372" spans="1:3" ht="19.95" customHeight="1">
      <c r="A372" s="8" t="s">
        <v>499</v>
      </c>
      <c r="B372" s="4" t="s">
        <v>502</v>
      </c>
      <c r="C372" s="25"/>
    </row>
    <row r="373" spans="1:3" ht="19.95" customHeight="1">
      <c r="A373" s="8" t="s">
        <v>499</v>
      </c>
      <c r="B373" s="4" t="s">
        <v>503</v>
      </c>
      <c r="C373" s="25"/>
    </row>
    <row r="374" spans="1:3" ht="19.95" customHeight="1">
      <c r="A374" s="8" t="s">
        <v>499</v>
      </c>
      <c r="B374" s="4" t="s">
        <v>504</v>
      </c>
      <c r="C374" s="26"/>
    </row>
    <row r="375" spans="1:3" ht="19.95" customHeight="1">
      <c r="A375" s="8" t="s">
        <v>505</v>
      </c>
      <c r="B375" s="14" t="s">
        <v>506</v>
      </c>
      <c r="C375" s="40" t="s">
        <v>507</v>
      </c>
    </row>
    <row r="376" spans="1:3" ht="19.95" customHeight="1">
      <c r="A376" s="8" t="s">
        <v>505</v>
      </c>
      <c r="B376" s="4" t="s">
        <v>508</v>
      </c>
      <c r="C376" s="25"/>
    </row>
    <row r="377" spans="1:3" ht="19.95" customHeight="1">
      <c r="A377" s="8" t="s">
        <v>505</v>
      </c>
      <c r="B377" s="4" t="s">
        <v>509</v>
      </c>
      <c r="C377" s="25"/>
    </row>
    <row r="378" spans="1:3" ht="19.95" customHeight="1">
      <c r="A378" s="8" t="s">
        <v>505</v>
      </c>
      <c r="B378" s="4" t="s">
        <v>510</v>
      </c>
      <c r="C378" s="26"/>
    </row>
    <row r="379" spans="1:3" ht="19.95" customHeight="1">
      <c r="A379" s="8" t="s">
        <v>511</v>
      </c>
      <c r="B379" s="4" t="s">
        <v>512</v>
      </c>
      <c r="C379" s="41" t="s">
        <v>513</v>
      </c>
    </row>
    <row r="380" spans="1:3" ht="19.95" customHeight="1">
      <c r="A380" s="8" t="s">
        <v>511</v>
      </c>
      <c r="B380" s="4" t="s">
        <v>514</v>
      </c>
      <c r="C380" s="26"/>
    </row>
    <row r="381" spans="1:3" ht="19.95" customHeight="1">
      <c r="A381" s="45" t="s">
        <v>515</v>
      </c>
      <c r="B381" s="1" t="s">
        <v>516</v>
      </c>
      <c r="C381" s="29" t="s">
        <v>517</v>
      </c>
    </row>
    <row r="382" spans="1:3" ht="19.95" customHeight="1">
      <c r="A382" s="45" t="s">
        <v>515</v>
      </c>
      <c r="B382" s="1" t="s">
        <v>518</v>
      </c>
      <c r="C382" s="25"/>
    </row>
    <row r="383" spans="1:3" ht="19.95" customHeight="1">
      <c r="A383" s="45" t="s">
        <v>515</v>
      </c>
      <c r="B383" s="1" t="s">
        <v>519</v>
      </c>
      <c r="C383" s="25"/>
    </row>
    <row r="384" spans="1:3" ht="19.95" customHeight="1">
      <c r="A384" s="45" t="s">
        <v>515</v>
      </c>
      <c r="B384" s="1" t="s">
        <v>520</v>
      </c>
      <c r="C384" s="25"/>
    </row>
    <row r="385" spans="1:3" ht="19.95" customHeight="1">
      <c r="A385" s="45" t="s">
        <v>515</v>
      </c>
      <c r="B385" s="1" t="s">
        <v>521</v>
      </c>
      <c r="C385" s="25"/>
    </row>
    <row r="386" spans="1:3" ht="19.95" customHeight="1">
      <c r="A386" s="45" t="s">
        <v>515</v>
      </c>
      <c r="B386" s="1" t="s">
        <v>522</v>
      </c>
      <c r="C386" s="25"/>
    </row>
    <row r="387" spans="1:3" ht="19.95" customHeight="1">
      <c r="A387" s="45" t="s">
        <v>515</v>
      </c>
      <c r="B387" s="6" t="s">
        <v>523</v>
      </c>
      <c r="C387" s="25"/>
    </row>
    <row r="388" spans="1:3" ht="19.95" customHeight="1">
      <c r="A388" s="45" t="s">
        <v>515</v>
      </c>
      <c r="B388" s="6" t="s">
        <v>524</v>
      </c>
      <c r="C388" s="25"/>
    </row>
    <row r="389" spans="1:3" ht="19.95" customHeight="1">
      <c r="A389" s="45" t="s">
        <v>515</v>
      </c>
      <c r="B389" s="1" t="s">
        <v>525</v>
      </c>
      <c r="C389" s="26"/>
    </row>
    <row r="390" spans="1:3" ht="19.95" customHeight="1">
      <c r="A390" s="3" t="s">
        <v>526</v>
      </c>
      <c r="B390" s="4" t="s">
        <v>527</v>
      </c>
      <c r="C390" s="24" t="s">
        <v>528</v>
      </c>
    </row>
    <row r="391" spans="1:3" ht="19.95" customHeight="1">
      <c r="A391" s="3" t="s">
        <v>526</v>
      </c>
      <c r="B391" s="4" t="s">
        <v>529</v>
      </c>
      <c r="C391" s="26"/>
    </row>
    <row r="392" spans="1:3" ht="19.95" customHeight="1">
      <c r="A392" s="3" t="s">
        <v>530</v>
      </c>
      <c r="B392" s="4" t="s">
        <v>531</v>
      </c>
      <c r="C392" s="24" t="s">
        <v>532</v>
      </c>
    </row>
    <row r="393" spans="1:3" ht="19.95" customHeight="1">
      <c r="A393" s="3" t="s">
        <v>530</v>
      </c>
      <c r="B393" s="4" t="s">
        <v>533</v>
      </c>
      <c r="C393" s="26"/>
    </row>
    <row r="394" spans="1:3" ht="19.95" customHeight="1">
      <c r="A394" s="3" t="s">
        <v>534</v>
      </c>
      <c r="B394" s="4" t="s">
        <v>535</v>
      </c>
      <c r="C394" s="24" t="s">
        <v>536</v>
      </c>
    </row>
    <row r="395" spans="1:3" ht="19.95" customHeight="1">
      <c r="A395" s="3" t="s">
        <v>534</v>
      </c>
      <c r="B395" s="4" t="s">
        <v>537</v>
      </c>
      <c r="C395" s="25"/>
    </row>
    <row r="396" spans="1:3" ht="19.95" customHeight="1">
      <c r="A396" s="3" t="s">
        <v>534</v>
      </c>
      <c r="B396" s="4" t="s">
        <v>538</v>
      </c>
      <c r="C396" s="25"/>
    </row>
    <row r="397" spans="1:3" ht="19.95" customHeight="1">
      <c r="A397" s="3" t="s">
        <v>534</v>
      </c>
      <c r="B397" s="4" t="s">
        <v>539</v>
      </c>
      <c r="C397" s="25"/>
    </row>
    <row r="398" spans="1:3" ht="19.95" customHeight="1">
      <c r="A398" s="3" t="s">
        <v>534</v>
      </c>
      <c r="B398" s="4" t="s">
        <v>540</v>
      </c>
      <c r="C398" s="26"/>
    </row>
    <row r="399" spans="1:3" ht="19.95" customHeight="1">
      <c r="A399" s="3" t="s">
        <v>541</v>
      </c>
      <c r="B399" s="4" t="s">
        <v>542</v>
      </c>
      <c r="C399" s="24" t="s">
        <v>543</v>
      </c>
    </row>
    <row r="400" spans="1:3" ht="19.95" customHeight="1">
      <c r="A400" s="3" t="s">
        <v>541</v>
      </c>
      <c r="B400" s="4" t="s">
        <v>544</v>
      </c>
      <c r="C400" s="25"/>
    </row>
    <row r="401" spans="1:3" ht="19.95" customHeight="1">
      <c r="A401" s="3" t="s">
        <v>541</v>
      </c>
      <c r="B401" s="4" t="s">
        <v>545</v>
      </c>
      <c r="C401" s="25"/>
    </row>
    <row r="402" spans="1:3" ht="19.95" customHeight="1">
      <c r="A402" s="3" t="s">
        <v>541</v>
      </c>
      <c r="B402" s="4" t="s">
        <v>546</v>
      </c>
      <c r="C402" s="26"/>
    </row>
    <row r="403" spans="1:3" ht="19.95" customHeight="1">
      <c r="A403" s="3" t="s">
        <v>547</v>
      </c>
      <c r="B403" s="4" t="s">
        <v>548</v>
      </c>
      <c r="C403" s="24" t="s">
        <v>549</v>
      </c>
    </row>
    <row r="404" spans="1:3" ht="19.95" customHeight="1">
      <c r="A404" s="3" t="s">
        <v>547</v>
      </c>
      <c r="B404" s="4" t="s">
        <v>550</v>
      </c>
      <c r="C404" s="26"/>
    </row>
    <row r="405" spans="1:3" ht="19.95" customHeight="1">
      <c r="A405" s="4" t="s">
        <v>551</v>
      </c>
      <c r="B405" s="4" t="s">
        <v>552</v>
      </c>
      <c r="C405" s="4"/>
    </row>
    <row r="406" spans="1:3" ht="19.95" customHeight="1">
      <c r="A406" s="3" t="s">
        <v>553</v>
      </c>
      <c r="B406" s="10" t="s">
        <v>554</v>
      </c>
      <c r="C406" s="24" t="s">
        <v>555</v>
      </c>
    </row>
    <row r="407" spans="1:3" ht="19.95" customHeight="1">
      <c r="A407" s="3" t="s">
        <v>553</v>
      </c>
      <c r="B407" s="4" t="s">
        <v>556</v>
      </c>
      <c r="C407" s="25"/>
    </row>
    <row r="408" spans="1:3" ht="19.95" customHeight="1">
      <c r="A408" s="3" t="s">
        <v>553</v>
      </c>
      <c r="B408" s="4" t="s">
        <v>557</v>
      </c>
      <c r="C408" s="25"/>
    </row>
    <row r="409" spans="1:3" ht="19.95" customHeight="1">
      <c r="A409" s="3" t="s">
        <v>553</v>
      </c>
      <c r="B409" s="4" t="s">
        <v>558</v>
      </c>
      <c r="C409" s="25"/>
    </row>
    <row r="410" spans="1:3" ht="19.95" customHeight="1">
      <c r="A410" s="3" t="s">
        <v>553</v>
      </c>
      <c r="B410" s="4" t="s">
        <v>559</v>
      </c>
      <c r="C410" s="25"/>
    </row>
    <row r="411" spans="1:3" ht="19.95" customHeight="1">
      <c r="A411" s="3" t="s">
        <v>553</v>
      </c>
      <c r="B411" s="4" t="s">
        <v>560</v>
      </c>
      <c r="C411" s="25"/>
    </row>
    <row r="412" spans="1:3" ht="19.95" customHeight="1">
      <c r="A412" s="3" t="s">
        <v>553</v>
      </c>
      <c r="B412" s="4" t="s">
        <v>561</v>
      </c>
      <c r="C412" s="25"/>
    </row>
    <row r="413" spans="1:3" ht="19.95" customHeight="1">
      <c r="A413" s="3" t="s">
        <v>553</v>
      </c>
      <c r="B413" s="4" t="s">
        <v>562</v>
      </c>
      <c r="C413" s="25"/>
    </row>
    <row r="414" spans="1:3" ht="19.95" customHeight="1">
      <c r="A414" s="3" t="s">
        <v>553</v>
      </c>
      <c r="B414" s="4" t="s">
        <v>563</v>
      </c>
      <c r="C414" s="25"/>
    </row>
    <row r="415" spans="1:3" ht="19.95" customHeight="1">
      <c r="A415" s="3" t="s">
        <v>553</v>
      </c>
      <c r="B415" s="4" t="s">
        <v>564</v>
      </c>
      <c r="C415" s="26"/>
    </row>
    <row r="416" spans="1:3" ht="19.95" customHeight="1">
      <c r="A416" s="3" t="s">
        <v>553</v>
      </c>
      <c r="B416" s="4" t="s">
        <v>565</v>
      </c>
      <c r="C416" s="4"/>
    </row>
    <row r="417" spans="1:3" ht="19.95" customHeight="1">
      <c r="A417" s="3" t="s">
        <v>566</v>
      </c>
      <c r="B417" s="4" t="s">
        <v>567</v>
      </c>
      <c r="C417" s="27" t="s">
        <v>568</v>
      </c>
    </row>
    <row r="418" spans="1:3" ht="19.95" customHeight="1">
      <c r="A418" s="3" t="s">
        <v>566</v>
      </c>
      <c r="B418" s="4" t="s">
        <v>569</v>
      </c>
      <c r="C418" s="25"/>
    </row>
    <row r="419" spans="1:3" ht="19.95" customHeight="1">
      <c r="A419" s="3" t="s">
        <v>566</v>
      </c>
      <c r="B419" s="4" t="s">
        <v>570</v>
      </c>
      <c r="C419" s="25"/>
    </row>
    <row r="420" spans="1:3" ht="19.95" customHeight="1">
      <c r="A420" s="3" t="s">
        <v>566</v>
      </c>
      <c r="B420" s="4" t="s">
        <v>571</v>
      </c>
      <c r="C420" s="25"/>
    </row>
    <row r="421" spans="1:3" ht="19.95" customHeight="1">
      <c r="A421" s="3" t="s">
        <v>566</v>
      </c>
      <c r="B421" s="4" t="s">
        <v>572</v>
      </c>
      <c r="C421" s="25"/>
    </row>
    <row r="422" spans="1:3" ht="19.95" customHeight="1">
      <c r="A422" s="3" t="s">
        <v>566</v>
      </c>
      <c r="B422" s="4" t="s">
        <v>573</v>
      </c>
      <c r="C422" s="26"/>
    </row>
    <row r="423" spans="1:3" ht="19.95" customHeight="1">
      <c r="A423" s="3" t="s">
        <v>574</v>
      </c>
      <c r="B423" s="4" t="s">
        <v>575</v>
      </c>
      <c r="C423" s="24" t="s">
        <v>576</v>
      </c>
    </row>
    <row r="424" spans="1:3" ht="19.95" customHeight="1">
      <c r="A424" s="3" t="s">
        <v>574</v>
      </c>
      <c r="B424" s="4" t="s">
        <v>577</v>
      </c>
      <c r="C424" s="25"/>
    </row>
    <row r="425" spans="1:3" ht="19.95" customHeight="1">
      <c r="A425" s="3" t="s">
        <v>574</v>
      </c>
      <c r="B425" s="4" t="s">
        <v>578</v>
      </c>
      <c r="C425" s="25"/>
    </row>
    <row r="426" spans="1:3" ht="19.95" customHeight="1">
      <c r="A426" s="3" t="s">
        <v>574</v>
      </c>
      <c r="B426" s="4" t="s">
        <v>579</v>
      </c>
      <c r="C426" s="25"/>
    </row>
    <row r="427" spans="1:3" ht="19.95" customHeight="1">
      <c r="A427" s="3" t="s">
        <v>574</v>
      </c>
      <c r="B427" s="4" t="s">
        <v>580</v>
      </c>
      <c r="C427" s="25"/>
    </row>
    <row r="428" spans="1:3" ht="19.95" customHeight="1">
      <c r="A428" s="3" t="s">
        <v>574</v>
      </c>
      <c r="B428" s="4" t="s">
        <v>581</v>
      </c>
      <c r="C428" s="26"/>
    </row>
    <row r="429" spans="1:3" ht="19.95" customHeight="1">
      <c r="A429" s="3" t="s">
        <v>582</v>
      </c>
      <c r="B429" s="4" t="s">
        <v>583</v>
      </c>
      <c r="C429" s="24" t="s">
        <v>584</v>
      </c>
    </row>
    <row r="430" spans="1:3" ht="19.95" customHeight="1">
      <c r="A430" s="3" t="s">
        <v>582</v>
      </c>
      <c r="B430" s="4" t="s">
        <v>585</v>
      </c>
      <c r="C430" s="25"/>
    </row>
    <row r="431" spans="1:3" ht="19.95" customHeight="1">
      <c r="A431" s="3" t="s">
        <v>582</v>
      </c>
      <c r="B431" s="4" t="s">
        <v>586</v>
      </c>
      <c r="C431" s="25"/>
    </row>
    <row r="432" spans="1:3" ht="19.95" customHeight="1">
      <c r="A432" s="3" t="s">
        <v>582</v>
      </c>
      <c r="B432" s="4" t="s">
        <v>587</v>
      </c>
      <c r="C432" s="25"/>
    </row>
    <row r="433" spans="1:3" ht="19.95" customHeight="1">
      <c r="A433" s="3" t="s">
        <v>582</v>
      </c>
      <c r="B433" s="4" t="s">
        <v>588</v>
      </c>
      <c r="C433" s="25"/>
    </row>
    <row r="434" spans="1:3" ht="19.95" customHeight="1">
      <c r="A434" s="3" t="s">
        <v>582</v>
      </c>
      <c r="B434" s="4" t="s">
        <v>589</v>
      </c>
      <c r="C434" s="25"/>
    </row>
    <row r="435" spans="1:3" ht="19.95" customHeight="1">
      <c r="A435" s="3" t="s">
        <v>582</v>
      </c>
      <c r="B435" s="4" t="s">
        <v>590</v>
      </c>
      <c r="C435" s="25"/>
    </row>
    <row r="436" spans="1:3" ht="19.95" customHeight="1">
      <c r="A436" s="3" t="s">
        <v>582</v>
      </c>
      <c r="B436" s="4" t="s">
        <v>552</v>
      </c>
      <c r="C436" s="25"/>
    </row>
    <row r="437" spans="1:3" ht="19.95" customHeight="1">
      <c r="A437" s="3" t="s">
        <v>582</v>
      </c>
      <c r="B437" s="4" t="s">
        <v>591</v>
      </c>
      <c r="C437" s="25"/>
    </row>
    <row r="438" spans="1:3" ht="19.95" customHeight="1">
      <c r="A438" s="3" t="s">
        <v>582</v>
      </c>
      <c r="B438" s="4" t="s">
        <v>592</v>
      </c>
      <c r="C438" s="25"/>
    </row>
    <row r="439" spans="1:3" ht="19.95" customHeight="1">
      <c r="A439" s="3" t="s">
        <v>582</v>
      </c>
      <c r="B439" s="4" t="s">
        <v>593</v>
      </c>
      <c r="C439" s="26"/>
    </row>
    <row r="440" spans="1:3" ht="19.95" customHeight="1">
      <c r="A440" s="3" t="s">
        <v>594</v>
      </c>
      <c r="B440" s="4" t="s">
        <v>595</v>
      </c>
      <c r="C440" s="24" t="s">
        <v>596</v>
      </c>
    </row>
    <row r="441" spans="1:3" ht="19.95" customHeight="1">
      <c r="A441" s="3" t="s">
        <v>594</v>
      </c>
      <c r="B441" s="4" t="s">
        <v>597</v>
      </c>
      <c r="C441" s="25"/>
    </row>
    <row r="442" spans="1:3" ht="19.95" customHeight="1">
      <c r="A442" s="3" t="s">
        <v>594</v>
      </c>
      <c r="B442" s="4" t="s">
        <v>598</v>
      </c>
      <c r="C442" s="25"/>
    </row>
    <row r="443" spans="1:3" ht="19.95" customHeight="1">
      <c r="A443" s="3" t="s">
        <v>594</v>
      </c>
      <c r="B443" s="4" t="s">
        <v>599</v>
      </c>
      <c r="C443" s="25"/>
    </row>
    <row r="444" spans="1:3" ht="19.95" customHeight="1">
      <c r="A444" s="3" t="s">
        <v>594</v>
      </c>
      <c r="B444" s="4" t="s">
        <v>600</v>
      </c>
      <c r="C444" s="26"/>
    </row>
    <row r="445" spans="1:3" ht="19.95" customHeight="1">
      <c r="A445" s="3" t="s">
        <v>601</v>
      </c>
      <c r="B445" s="4" t="s">
        <v>602</v>
      </c>
      <c r="C445" s="24" t="s">
        <v>603</v>
      </c>
    </row>
    <row r="446" spans="1:3" ht="19.95" customHeight="1">
      <c r="A446" s="3" t="s">
        <v>601</v>
      </c>
      <c r="B446" s="4" t="s">
        <v>604</v>
      </c>
      <c r="C446" s="25"/>
    </row>
    <row r="447" spans="1:3" ht="19.95" customHeight="1">
      <c r="A447" s="3" t="s">
        <v>601</v>
      </c>
      <c r="B447" s="4" t="s">
        <v>605</v>
      </c>
      <c r="C447" s="25"/>
    </row>
    <row r="448" spans="1:3" ht="19.95" customHeight="1">
      <c r="A448" s="3" t="s">
        <v>601</v>
      </c>
      <c r="B448" s="4" t="s">
        <v>606</v>
      </c>
      <c r="C448" s="25"/>
    </row>
    <row r="449" spans="1:3" ht="19.95" customHeight="1">
      <c r="A449" s="3" t="s">
        <v>601</v>
      </c>
      <c r="B449" s="4" t="s">
        <v>607</v>
      </c>
      <c r="C449" s="26"/>
    </row>
    <row r="450" spans="1:3" ht="19.95" customHeight="1">
      <c r="A450" s="46" t="s">
        <v>608</v>
      </c>
      <c r="B450" s="4" t="s">
        <v>609</v>
      </c>
      <c r="C450" s="24" t="s">
        <v>610</v>
      </c>
    </row>
    <row r="451" spans="1:3" ht="19.95" customHeight="1">
      <c r="A451" s="46" t="s">
        <v>608</v>
      </c>
      <c r="B451" s="4" t="s">
        <v>611</v>
      </c>
      <c r="C451" s="25"/>
    </row>
    <row r="452" spans="1:3" ht="19.95" customHeight="1">
      <c r="A452" s="46" t="s">
        <v>608</v>
      </c>
      <c r="B452" s="4" t="s">
        <v>612</v>
      </c>
      <c r="C452" s="25"/>
    </row>
    <row r="453" spans="1:3" ht="19.95" customHeight="1">
      <c r="A453" s="46" t="s">
        <v>608</v>
      </c>
      <c r="B453" s="4" t="s">
        <v>613</v>
      </c>
      <c r="C453" s="25"/>
    </row>
    <row r="454" spans="1:3" ht="19.95" customHeight="1">
      <c r="A454" s="46" t="s">
        <v>608</v>
      </c>
      <c r="B454" s="4" t="s">
        <v>614</v>
      </c>
      <c r="C454" s="26"/>
    </row>
    <row r="455" spans="1:3" ht="19.95" customHeight="1">
      <c r="A455" s="2" t="s">
        <v>615</v>
      </c>
      <c r="B455" s="4" t="s">
        <v>616</v>
      </c>
      <c r="C455" s="24" t="s">
        <v>617</v>
      </c>
    </row>
    <row r="456" spans="1:3" ht="19.95" customHeight="1">
      <c r="A456" s="2" t="s">
        <v>615</v>
      </c>
      <c r="B456" s="4" t="s">
        <v>618</v>
      </c>
      <c r="C456" s="26"/>
    </row>
    <row r="457" spans="1:3" ht="19.95" customHeight="1">
      <c r="A457" s="3" t="s">
        <v>619</v>
      </c>
      <c r="B457" s="4" t="s">
        <v>620</v>
      </c>
      <c r="C457" s="24" t="s">
        <v>621</v>
      </c>
    </row>
    <row r="458" spans="1:3" ht="19.95" customHeight="1">
      <c r="A458" s="3" t="s">
        <v>619</v>
      </c>
      <c r="B458" s="4" t="s">
        <v>622</v>
      </c>
      <c r="C458" s="26"/>
    </row>
    <row r="459" spans="1:3" ht="19.95" customHeight="1">
      <c r="A459" s="3" t="s">
        <v>623</v>
      </c>
      <c r="B459" s="4" t="s">
        <v>624</v>
      </c>
      <c r="C459" s="24" t="s">
        <v>625</v>
      </c>
    </row>
    <row r="460" spans="1:3" ht="19.95" customHeight="1">
      <c r="A460" s="3" t="s">
        <v>623</v>
      </c>
      <c r="B460" s="4" t="s">
        <v>626</v>
      </c>
      <c r="C460" s="25"/>
    </row>
    <row r="461" spans="1:3" ht="19.95" customHeight="1">
      <c r="A461" s="3" t="s">
        <v>623</v>
      </c>
      <c r="B461" s="4" t="s">
        <v>627</v>
      </c>
      <c r="C461" s="26"/>
    </row>
    <row r="462" spans="1:3" ht="19.95" customHeight="1">
      <c r="A462" s="3" t="s">
        <v>628</v>
      </c>
      <c r="B462" s="4" t="s">
        <v>629</v>
      </c>
      <c r="C462" s="27" t="s">
        <v>630</v>
      </c>
    </row>
    <row r="463" spans="1:3" ht="19.95" customHeight="1">
      <c r="A463" s="3" t="s">
        <v>628</v>
      </c>
      <c r="B463" s="4" t="s">
        <v>631</v>
      </c>
      <c r="C463" s="25"/>
    </row>
    <row r="464" spans="1:3" ht="19.95" customHeight="1">
      <c r="A464" s="3" t="s">
        <v>628</v>
      </c>
      <c r="B464" s="4" t="s">
        <v>632</v>
      </c>
      <c r="C464" s="25"/>
    </row>
    <row r="465" spans="1:3" ht="19.95" customHeight="1">
      <c r="A465" s="3" t="s">
        <v>628</v>
      </c>
      <c r="B465" s="4" t="s">
        <v>633</v>
      </c>
      <c r="C465" s="25"/>
    </row>
    <row r="466" spans="1:3" ht="19.95" customHeight="1">
      <c r="A466" s="3" t="s">
        <v>628</v>
      </c>
      <c r="B466" s="4" t="s">
        <v>634</v>
      </c>
      <c r="C466" s="26"/>
    </row>
    <row r="467" spans="1:3" ht="19.95" customHeight="1">
      <c r="A467" s="3" t="s">
        <v>635</v>
      </c>
      <c r="B467" s="4" t="s">
        <v>636</v>
      </c>
      <c r="C467" s="27" t="s">
        <v>637</v>
      </c>
    </row>
    <row r="468" spans="1:3" ht="19.95" customHeight="1">
      <c r="A468" s="3" t="s">
        <v>635</v>
      </c>
      <c r="B468" s="4" t="s">
        <v>638</v>
      </c>
      <c r="C468" s="26"/>
    </row>
    <row r="469" spans="1:3" ht="19.95" customHeight="1">
      <c r="A469" s="3" t="s">
        <v>639</v>
      </c>
      <c r="B469" s="4" t="s">
        <v>640</v>
      </c>
      <c r="C469" s="24" t="s">
        <v>641</v>
      </c>
    </row>
    <row r="470" spans="1:3" ht="19.95" customHeight="1">
      <c r="A470" s="3" t="s">
        <v>639</v>
      </c>
      <c r="B470" s="4" t="s">
        <v>642</v>
      </c>
      <c r="C470" s="26"/>
    </row>
    <row r="471" spans="1:3" ht="19.95" customHeight="1">
      <c r="A471" s="4" t="s">
        <v>643</v>
      </c>
      <c r="B471" s="4" t="s">
        <v>644</v>
      </c>
      <c r="C471" s="4" t="s">
        <v>645</v>
      </c>
    </row>
    <row r="472" spans="1:3" ht="19.95" customHeight="1">
      <c r="A472" s="3" t="s">
        <v>646</v>
      </c>
      <c r="B472" s="4" t="s">
        <v>647</v>
      </c>
      <c r="C472" s="24" t="s">
        <v>648</v>
      </c>
    </row>
    <row r="473" spans="1:3" ht="19.95" customHeight="1">
      <c r="A473" s="3" t="s">
        <v>646</v>
      </c>
      <c r="B473" s="4" t="s">
        <v>649</v>
      </c>
      <c r="C473" s="25"/>
    </row>
    <row r="474" spans="1:3" ht="19.95" customHeight="1">
      <c r="A474" s="3" t="s">
        <v>646</v>
      </c>
      <c r="B474" s="15" t="s">
        <v>650</v>
      </c>
      <c r="C474" s="25"/>
    </row>
    <row r="475" spans="1:3" ht="19.95" customHeight="1">
      <c r="A475" s="3" t="s">
        <v>646</v>
      </c>
      <c r="B475" s="4" t="s">
        <v>651</v>
      </c>
      <c r="C475" s="25"/>
    </row>
    <row r="476" spans="1:3" ht="19.95" customHeight="1">
      <c r="A476" s="3" t="s">
        <v>646</v>
      </c>
      <c r="B476" s="4" t="s">
        <v>652</v>
      </c>
      <c r="C476" s="25"/>
    </row>
    <row r="477" spans="1:3" ht="19.95" customHeight="1">
      <c r="A477" s="3" t="s">
        <v>646</v>
      </c>
      <c r="B477" s="4" t="s">
        <v>653</v>
      </c>
      <c r="C477" s="25"/>
    </row>
    <row r="478" spans="1:3" ht="19.95" customHeight="1">
      <c r="A478" s="3" t="s">
        <v>646</v>
      </c>
      <c r="B478" s="4" t="s">
        <v>654</v>
      </c>
      <c r="C478" s="25"/>
    </row>
    <row r="479" spans="1:3" ht="19.95" customHeight="1">
      <c r="A479" s="3" t="s">
        <v>646</v>
      </c>
      <c r="B479" s="4" t="s">
        <v>655</v>
      </c>
      <c r="C479" s="25"/>
    </row>
    <row r="480" spans="1:3" ht="19.95" customHeight="1">
      <c r="A480" s="3" t="s">
        <v>646</v>
      </c>
      <c r="B480" s="4" t="s">
        <v>656</v>
      </c>
      <c r="C480" s="25"/>
    </row>
    <row r="481" spans="1:3" ht="19.95" customHeight="1">
      <c r="A481" s="3" t="s">
        <v>646</v>
      </c>
      <c r="B481" s="4" t="s">
        <v>657</v>
      </c>
      <c r="C481" s="25"/>
    </row>
    <row r="482" spans="1:3" ht="19.95" customHeight="1">
      <c r="A482" s="3" t="s">
        <v>646</v>
      </c>
      <c r="B482" s="4" t="s">
        <v>658</v>
      </c>
      <c r="C482" s="26"/>
    </row>
    <row r="483" spans="1:3" ht="19.95" customHeight="1">
      <c r="A483" s="3" t="s">
        <v>659</v>
      </c>
      <c r="B483" s="4" t="s">
        <v>660</v>
      </c>
      <c r="C483" s="27" t="s">
        <v>661</v>
      </c>
    </row>
    <row r="484" spans="1:3" ht="19.95" customHeight="1">
      <c r="A484" s="3" t="s">
        <v>659</v>
      </c>
      <c r="B484" s="4" t="s">
        <v>662</v>
      </c>
      <c r="C484" s="25"/>
    </row>
    <row r="485" spans="1:3" ht="19.95" customHeight="1">
      <c r="A485" s="3" t="s">
        <v>659</v>
      </c>
      <c r="B485" s="4" t="s">
        <v>663</v>
      </c>
      <c r="C485" s="26"/>
    </row>
    <row r="486" spans="1:3" ht="19.95" customHeight="1">
      <c r="A486" s="45" t="s">
        <v>664</v>
      </c>
      <c r="B486" s="1" t="s">
        <v>665</v>
      </c>
      <c r="C486" s="28" t="s">
        <v>666</v>
      </c>
    </row>
    <row r="487" spans="1:3" ht="19.95" customHeight="1">
      <c r="A487" s="45" t="s">
        <v>664</v>
      </c>
      <c r="B487" s="1" t="s">
        <v>667</v>
      </c>
      <c r="C487" s="25"/>
    </row>
    <row r="488" spans="1:3" ht="19.95" customHeight="1">
      <c r="A488" s="45" t="s">
        <v>664</v>
      </c>
      <c r="B488" s="1" t="s">
        <v>668</v>
      </c>
      <c r="C488" s="25"/>
    </row>
    <row r="489" spans="1:3" ht="19.95" customHeight="1">
      <c r="A489" s="45" t="s">
        <v>664</v>
      </c>
      <c r="B489" s="1" t="s">
        <v>669</v>
      </c>
      <c r="C489" s="25"/>
    </row>
    <row r="490" spans="1:3" ht="19.95" customHeight="1">
      <c r="A490" s="45" t="s">
        <v>664</v>
      </c>
      <c r="B490" s="1" t="s">
        <v>670</v>
      </c>
      <c r="C490" s="25"/>
    </row>
    <row r="491" spans="1:3" ht="19.95" customHeight="1">
      <c r="A491" s="45" t="s">
        <v>664</v>
      </c>
      <c r="B491" s="1" t="s">
        <v>671</v>
      </c>
      <c r="C491" s="25"/>
    </row>
    <row r="492" spans="1:3" ht="19.95" customHeight="1">
      <c r="A492" s="45" t="s">
        <v>664</v>
      </c>
      <c r="B492" s="6" t="s">
        <v>672</v>
      </c>
      <c r="C492" s="25"/>
    </row>
    <row r="493" spans="1:3" ht="19.95" customHeight="1">
      <c r="A493" s="45" t="s">
        <v>664</v>
      </c>
      <c r="B493" s="1" t="s">
        <v>673</v>
      </c>
      <c r="C493" s="25"/>
    </row>
    <row r="494" spans="1:3" ht="19.95" customHeight="1">
      <c r="A494" s="45" t="s">
        <v>664</v>
      </c>
      <c r="B494" s="1"/>
      <c r="C494" s="25"/>
    </row>
    <row r="495" spans="1:3" ht="19.95" customHeight="1">
      <c r="A495" s="45" t="s">
        <v>664</v>
      </c>
      <c r="B495" s="1"/>
      <c r="C495" s="25"/>
    </row>
    <row r="496" spans="1:3" ht="19.95" customHeight="1">
      <c r="A496" s="45" t="s">
        <v>664</v>
      </c>
      <c r="B496" s="1"/>
      <c r="C496" s="25"/>
    </row>
    <row r="497" spans="1:3" ht="19.95" customHeight="1">
      <c r="A497" s="45" t="s">
        <v>664</v>
      </c>
      <c r="B497" s="1"/>
      <c r="C497" s="25"/>
    </row>
    <row r="498" spans="1:3" ht="19.95" customHeight="1">
      <c r="A498" s="45" t="s">
        <v>664</v>
      </c>
      <c r="B498" s="1"/>
      <c r="C498" s="26"/>
    </row>
    <row r="499" spans="1:3" ht="19.95" customHeight="1">
      <c r="A499" s="3" t="s">
        <v>674</v>
      </c>
      <c r="B499" s="4" t="s">
        <v>675</v>
      </c>
      <c r="C499" s="27" t="s">
        <v>676</v>
      </c>
    </row>
    <row r="500" spans="1:3" ht="19.95" customHeight="1">
      <c r="A500" s="3" t="s">
        <v>674</v>
      </c>
      <c r="B500" s="4" t="s">
        <v>677</v>
      </c>
      <c r="C500" s="25"/>
    </row>
    <row r="501" spans="1:3" ht="19.95" customHeight="1">
      <c r="A501" s="3" t="s">
        <v>674</v>
      </c>
      <c r="B501" s="4" t="s">
        <v>678</v>
      </c>
      <c r="C501" s="26"/>
    </row>
    <row r="502" spans="1:3" ht="19.95" customHeight="1">
      <c r="A502" s="3" t="s">
        <v>679</v>
      </c>
      <c r="B502" s="4" t="s">
        <v>680</v>
      </c>
      <c r="C502" s="24" t="s">
        <v>681</v>
      </c>
    </row>
    <row r="503" spans="1:3" ht="19.95" customHeight="1">
      <c r="A503" s="3" t="s">
        <v>679</v>
      </c>
      <c r="B503" s="4" t="s">
        <v>682</v>
      </c>
      <c r="C503" s="25"/>
    </row>
    <row r="504" spans="1:3" ht="19.95" customHeight="1">
      <c r="A504" s="3" t="s">
        <v>679</v>
      </c>
      <c r="B504" s="4" t="s">
        <v>683</v>
      </c>
      <c r="C504" s="26"/>
    </row>
    <row r="505" spans="1:3" ht="19.95" customHeight="1">
      <c r="A505" s="3" t="s">
        <v>684</v>
      </c>
      <c r="B505" s="4" t="s">
        <v>685</v>
      </c>
      <c r="C505" s="24" t="s">
        <v>686</v>
      </c>
    </row>
    <row r="506" spans="1:3" ht="19.95" customHeight="1">
      <c r="A506" s="3" t="s">
        <v>684</v>
      </c>
      <c r="B506" s="4" t="s">
        <v>687</v>
      </c>
      <c r="C506" s="26"/>
    </row>
    <row r="507" spans="1:3" ht="19.95" customHeight="1">
      <c r="A507" s="3" t="s">
        <v>688</v>
      </c>
      <c r="B507" s="4" t="s">
        <v>689</v>
      </c>
      <c r="C507" s="24" t="s">
        <v>690</v>
      </c>
    </row>
    <row r="508" spans="1:3" ht="19.95" customHeight="1">
      <c r="A508" s="3" t="s">
        <v>688</v>
      </c>
      <c r="B508" s="4" t="s">
        <v>691</v>
      </c>
      <c r="C508" s="26"/>
    </row>
    <row r="509" spans="1:3" ht="19.95" customHeight="1">
      <c r="A509" s="3" t="s">
        <v>692</v>
      </c>
      <c r="B509" s="4" t="s">
        <v>693</v>
      </c>
      <c r="C509" s="24" t="s">
        <v>694</v>
      </c>
    </row>
    <row r="510" spans="1:3" ht="19.95" customHeight="1">
      <c r="A510" s="3" t="s">
        <v>692</v>
      </c>
      <c r="B510" s="4" t="s">
        <v>695</v>
      </c>
      <c r="C510" s="25"/>
    </row>
    <row r="511" spans="1:3" ht="19.95" customHeight="1">
      <c r="A511" s="3" t="s">
        <v>692</v>
      </c>
      <c r="B511" s="4" t="s">
        <v>696</v>
      </c>
      <c r="C511" s="25"/>
    </row>
    <row r="512" spans="1:3" ht="19.95" customHeight="1">
      <c r="A512" s="3" t="s">
        <v>692</v>
      </c>
      <c r="B512" s="7"/>
      <c r="C512" s="26"/>
    </row>
    <row r="513" spans="1:3" ht="19.95" customHeight="1">
      <c r="A513" s="3" t="s">
        <v>697</v>
      </c>
      <c r="B513" s="4" t="s">
        <v>698</v>
      </c>
      <c r="C513" s="24" t="s">
        <v>699</v>
      </c>
    </row>
    <row r="514" spans="1:3" ht="19.95" customHeight="1">
      <c r="A514" s="3" t="s">
        <v>697</v>
      </c>
      <c r="B514" s="4" t="s">
        <v>700</v>
      </c>
      <c r="C514" s="25"/>
    </row>
    <row r="515" spans="1:3" ht="19.95" customHeight="1">
      <c r="A515" s="3" t="s">
        <v>697</v>
      </c>
      <c r="B515" s="4" t="s">
        <v>701</v>
      </c>
      <c r="C515" s="25"/>
    </row>
    <row r="516" spans="1:3" ht="19.95" customHeight="1">
      <c r="A516" s="3" t="s">
        <v>697</v>
      </c>
      <c r="B516" s="4" t="s">
        <v>702</v>
      </c>
      <c r="C516" s="26"/>
    </row>
    <row r="517" spans="1:3" ht="19.95" customHeight="1">
      <c r="A517" s="3" t="s">
        <v>703</v>
      </c>
      <c r="B517" s="4" t="s">
        <v>704</v>
      </c>
      <c r="C517" s="24" t="s">
        <v>705</v>
      </c>
    </row>
    <row r="518" spans="1:3" ht="19.95" customHeight="1">
      <c r="A518" s="3" t="s">
        <v>703</v>
      </c>
      <c r="B518" s="4" t="s">
        <v>706</v>
      </c>
      <c r="C518" s="25"/>
    </row>
    <row r="519" spans="1:3" ht="19.95" customHeight="1">
      <c r="A519" s="3" t="s">
        <v>703</v>
      </c>
      <c r="B519" s="4" t="s">
        <v>707</v>
      </c>
      <c r="C519" s="25"/>
    </row>
    <row r="520" spans="1:3" ht="19.95" customHeight="1">
      <c r="A520" s="3" t="s">
        <v>703</v>
      </c>
      <c r="B520" s="4" t="s">
        <v>708</v>
      </c>
      <c r="C520" s="26"/>
    </row>
    <row r="521" spans="1:3" ht="19.95" customHeight="1">
      <c r="A521" s="3" t="s">
        <v>709</v>
      </c>
      <c r="B521" s="4" t="s">
        <v>710</v>
      </c>
      <c r="C521" s="24" t="s">
        <v>711</v>
      </c>
    </row>
    <row r="522" spans="1:3" ht="19.95" customHeight="1">
      <c r="A522" s="3" t="s">
        <v>709</v>
      </c>
      <c r="B522" s="4" t="s">
        <v>712</v>
      </c>
      <c r="C522" s="25"/>
    </row>
    <row r="523" spans="1:3" ht="19.95" customHeight="1">
      <c r="A523" s="3" t="s">
        <v>709</v>
      </c>
      <c r="B523" s="16" t="s">
        <v>713</v>
      </c>
      <c r="C523" s="25"/>
    </row>
    <row r="524" spans="1:3" ht="19.95" customHeight="1">
      <c r="A524" s="3" t="s">
        <v>709</v>
      </c>
      <c r="B524" s="4" t="s">
        <v>714</v>
      </c>
      <c r="C524" s="25"/>
    </row>
    <row r="525" spans="1:3" ht="19.95" customHeight="1">
      <c r="A525" s="3" t="s">
        <v>709</v>
      </c>
      <c r="B525" s="4" t="s">
        <v>715</v>
      </c>
      <c r="C525" s="25"/>
    </row>
    <row r="526" spans="1:3" ht="19.95" customHeight="1">
      <c r="A526" s="3" t="s">
        <v>709</v>
      </c>
      <c r="B526" s="4" t="s">
        <v>716</v>
      </c>
      <c r="C526" s="25"/>
    </row>
    <row r="527" spans="1:3" ht="19.95" customHeight="1">
      <c r="A527" s="3" t="s">
        <v>709</v>
      </c>
      <c r="B527" s="4" t="s">
        <v>717</v>
      </c>
      <c r="C527" s="25"/>
    </row>
    <row r="528" spans="1:3" ht="19.95" customHeight="1">
      <c r="A528" s="3" t="s">
        <v>709</v>
      </c>
      <c r="B528" s="4" t="s">
        <v>718</v>
      </c>
      <c r="C528" s="25"/>
    </row>
    <row r="529" spans="1:3" ht="19.95" customHeight="1">
      <c r="A529" s="3" t="s">
        <v>709</v>
      </c>
      <c r="B529" s="4" t="s">
        <v>719</v>
      </c>
      <c r="C529" s="25"/>
    </row>
    <row r="530" spans="1:3" ht="19.95" customHeight="1">
      <c r="A530" s="3" t="s">
        <v>709</v>
      </c>
      <c r="B530" s="4" t="s">
        <v>720</v>
      </c>
      <c r="C530" s="25"/>
    </row>
    <row r="531" spans="1:3" ht="19.95" customHeight="1">
      <c r="A531" s="3" t="s">
        <v>709</v>
      </c>
      <c r="B531" s="4" t="s">
        <v>721</v>
      </c>
      <c r="C531" s="26"/>
    </row>
    <row r="532" spans="1:3" ht="19.95" customHeight="1">
      <c r="A532" s="3" t="s">
        <v>722</v>
      </c>
      <c r="B532" s="4" t="s">
        <v>723</v>
      </c>
      <c r="C532" s="24" t="s">
        <v>724</v>
      </c>
    </row>
    <row r="533" spans="1:3" ht="19.95" customHeight="1">
      <c r="A533" s="3" t="s">
        <v>722</v>
      </c>
      <c r="B533" s="4" t="s">
        <v>725</v>
      </c>
      <c r="C533" s="25"/>
    </row>
    <row r="534" spans="1:3" ht="19.95" customHeight="1">
      <c r="A534" s="3" t="s">
        <v>722</v>
      </c>
      <c r="B534" s="4" t="s">
        <v>726</v>
      </c>
      <c r="C534" s="26"/>
    </row>
    <row r="535" spans="1:3" ht="19.95" customHeight="1">
      <c r="A535" s="3" t="s">
        <v>727</v>
      </c>
      <c r="B535" s="4" t="s">
        <v>728</v>
      </c>
      <c r="C535" s="24" t="s">
        <v>729</v>
      </c>
    </row>
    <row r="536" spans="1:3" ht="19.95" customHeight="1">
      <c r="A536" s="3" t="s">
        <v>727</v>
      </c>
      <c r="B536" s="4" t="s">
        <v>730</v>
      </c>
      <c r="C536" s="25"/>
    </row>
    <row r="537" spans="1:3" ht="19.95" customHeight="1">
      <c r="A537" s="3" t="s">
        <v>727</v>
      </c>
      <c r="B537" s="4" t="s">
        <v>731</v>
      </c>
      <c r="C537" s="26"/>
    </row>
    <row r="538" spans="1:3" ht="19.95" customHeight="1">
      <c r="A538" s="3" t="s">
        <v>732</v>
      </c>
      <c r="B538" s="4" t="s">
        <v>733</v>
      </c>
      <c r="C538" s="43" t="s">
        <v>734</v>
      </c>
    </row>
    <row r="539" spans="1:3" ht="19.95" customHeight="1">
      <c r="A539" s="3" t="s">
        <v>732</v>
      </c>
      <c r="B539" s="4" t="s">
        <v>735</v>
      </c>
      <c r="C539" s="26"/>
    </row>
    <row r="540" spans="1:3" ht="19.95" customHeight="1">
      <c r="A540" s="44" t="s">
        <v>736</v>
      </c>
      <c r="B540" s="7" t="s">
        <v>737</v>
      </c>
      <c r="C540" s="24" t="s">
        <v>738</v>
      </c>
    </row>
    <row r="541" spans="1:3" ht="19.95" customHeight="1">
      <c r="A541" s="44" t="s">
        <v>736</v>
      </c>
      <c r="B541" s="4" t="s">
        <v>739</v>
      </c>
      <c r="C541" s="25"/>
    </row>
    <row r="542" spans="1:3" ht="19.95" customHeight="1">
      <c r="A542" s="44" t="s">
        <v>736</v>
      </c>
      <c r="B542" s="9" t="s">
        <v>740</v>
      </c>
      <c r="C542" s="25"/>
    </row>
    <row r="543" spans="1:3" ht="19.95" customHeight="1">
      <c r="A543" s="44" t="s">
        <v>736</v>
      </c>
      <c r="B543" s="4" t="s">
        <v>741</v>
      </c>
      <c r="C543" s="26"/>
    </row>
  </sheetData>
  <mergeCells count="111">
    <mergeCell ref="C540:C543"/>
    <mergeCell ref="C532:C534"/>
    <mergeCell ref="C535:C537"/>
    <mergeCell ref="C538:C539"/>
    <mergeCell ref="C513:C516"/>
    <mergeCell ref="C517:C520"/>
    <mergeCell ref="C521:C531"/>
    <mergeCell ref="C505:C506"/>
    <mergeCell ref="C507:C508"/>
    <mergeCell ref="C509:C512"/>
    <mergeCell ref="C486:C498"/>
    <mergeCell ref="C499:C501"/>
    <mergeCell ref="C502:C504"/>
    <mergeCell ref="C469:C470"/>
    <mergeCell ref="C472:C482"/>
    <mergeCell ref="C483:C485"/>
    <mergeCell ref="C459:C461"/>
    <mergeCell ref="C462:C466"/>
    <mergeCell ref="C467:C468"/>
    <mergeCell ref="C450:C454"/>
    <mergeCell ref="C455:C456"/>
    <mergeCell ref="C457:C458"/>
    <mergeCell ref="C429:C439"/>
    <mergeCell ref="C440:C444"/>
    <mergeCell ref="C445:C449"/>
    <mergeCell ref="C406:C415"/>
    <mergeCell ref="C417:C422"/>
    <mergeCell ref="C423:C428"/>
    <mergeCell ref="C394:C398"/>
    <mergeCell ref="C399:C402"/>
    <mergeCell ref="C403:C404"/>
    <mergeCell ref="C381:C389"/>
    <mergeCell ref="C390:C391"/>
    <mergeCell ref="C392:C393"/>
    <mergeCell ref="C371:C374"/>
    <mergeCell ref="C375:C378"/>
    <mergeCell ref="C379:C380"/>
    <mergeCell ref="C359:C362"/>
    <mergeCell ref="C363:C365"/>
    <mergeCell ref="B366:B369"/>
    <mergeCell ref="C366:C370"/>
    <mergeCell ref="C340:C343"/>
    <mergeCell ref="C344:C348"/>
    <mergeCell ref="C349:C358"/>
    <mergeCell ref="C318:C328"/>
    <mergeCell ref="C329:C334"/>
    <mergeCell ref="C335:C339"/>
    <mergeCell ref="C297:C304"/>
    <mergeCell ref="C305:C312"/>
    <mergeCell ref="C313:C317"/>
    <mergeCell ref="C280:C283"/>
    <mergeCell ref="C284:C288"/>
    <mergeCell ref="C289:C296"/>
    <mergeCell ref="C233:C235"/>
    <mergeCell ref="C237:C246"/>
    <mergeCell ref="C247:C279"/>
    <mergeCell ref="C223:C224"/>
    <mergeCell ref="C225:C229"/>
    <mergeCell ref="C230:C232"/>
    <mergeCell ref="C215:C217"/>
    <mergeCell ref="C218:C220"/>
    <mergeCell ref="C221:C222"/>
    <mergeCell ref="C205:C206"/>
    <mergeCell ref="C207:C210"/>
    <mergeCell ref="C211:C214"/>
    <mergeCell ref="C195:C197"/>
    <mergeCell ref="C199:C201"/>
    <mergeCell ref="C202:C204"/>
    <mergeCell ref="C182:C184"/>
    <mergeCell ref="C185:C186"/>
    <mergeCell ref="C188:C194"/>
    <mergeCell ref="C166:C175"/>
    <mergeCell ref="C176:C178"/>
    <mergeCell ref="C179:C181"/>
    <mergeCell ref="C153:C154"/>
    <mergeCell ref="C155:C162"/>
    <mergeCell ref="C163:C165"/>
    <mergeCell ref="C143:C145"/>
    <mergeCell ref="C146:C147"/>
    <mergeCell ref="C148:C152"/>
    <mergeCell ref="C132:C134"/>
    <mergeCell ref="C135:C138"/>
    <mergeCell ref="C139:C142"/>
    <mergeCell ref="C118:C127"/>
    <mergeCell ref="B122:B123"/>
    <mergeCell ref="C128:C129"/>
    <mergeCell ref="C130:C131"/>
    <mergeCell ref="C103:C107"/>
    <mergeCell ref="C108:C111"/>
    <mergeCell ref="C112:C117"/>
    <mergeCell ref="C91:C95"/>
    <mergeCell ref="C96:C99"/>
    <mergeCell ref="C100:C102"/>
    <mergeCell ref="C74:C77"/>
    <mergeCell ref="C78:C82"/>
    <mergeCell ref="C83:C90"/>
    <mergeCell ref="C58:C60"/>
    <mergeCell ref="C61:C62"/>
    <mergeCell ref="C63:C72"/>
    <mergeCell ref="C40:C41"/>
    <mergeCell ref="C42:C54"/>
    <mergeCell ref="C55:C57"/>
    <mergeCell ref="C33:C34"/>
    <mergeCell ref="C35:C36"/>
    <mergeCell ref="C37:C38"/>
    <mergeCell ref="C16:C19"/>
    <mergeCell ref="C20:C25"/>
    <mergeCell ref="C27:C32"/>
    <mergeCell ref="C2:C5"/>
    <mergeCell ref="C6:C12"/>
    <mergeCell ref="C13:C15"/>
  </mergeCells>
  <hyperlinks>
    <hyperlink ref="C2" r:id="rId1" xr:uid="{8A98C8EE-069E-4FD1-9B1A-AFC33B0C636A}"/>
    <hyperlink ref="C6" r:id="rId2" xr:uid="{9029DF1A-2628-4D34-B333-DA4BD1A4C613}"/>
    <hyperlink ref="C13" r:id="rId3" xr:uid="{EEF6DD5F-1160-4B3D-BA24-1823172C997E}"/>
    <hyperlink ref="C20" r:id="rId4" xr:uid="{E9EB8A8B-CCCB-42CA-A033-D23A853605BC}"/>
    <hyperlink ref="C27" r:id="rId5" xr:uid="{5AD36100-6EE5-4D8F-B29B-2D9EC9448C7D}"/>
    <hyperlink ref="C37" r:id="rId6" xr:uid="{81AC6693-A0A6-407D-9EFB-16AA945D6E70}"/>
    <hyperlink ref="C40" r:id="rId7" xr:uid="{DE8CEAF4-E578-41ED-8EBD-1CAFA04BB6D9}"/>
    <hyperlink ref="C61" r:id="rId8" xr:uid="{96C9CCD4-97FB-48A2-8A24-5CE45FE8B7EA}"/>
    <hyperlink ref="C63" r:id="rId9" xr:uid="{76AC0293-0C13-447A-AD6F-9E7534BE08D4}"/>
    <hyperlink ref="C74" r:id="rId10" xr:uid="{F642D275-30D6-475E-A4F5-F74A8AF2C310}"/>
    <hyperlink ref="C83" r:id="rId11" xr:uid="{FE715849-69FB-4FB8-80CF-3C2894294EA9}"/>
    <hyperlink ref="C91" r:id="rId12" xr:uid="{11633F33-AD29-43A2-AB07-607BBE5F9606}"/>
    <hyperlink ref="C96" r:id="rId13" xr:uid="{83145916-4F2A-453F-B0AF-17F47EFD3AF7}"/>
    <hyperlink ref="C103" r:id="rId14" xr:uid="{B2C84E8C-31E2-4A38-8081-5701DA2DACBB}"/>
    <hyperlink ref="C112" r:id="rId15" xr:uid="{6272E1A0-7E98-47A7-905B-A1E0607EB941}"/>
    <hyperlink ref="C132" r:id="rId16" xr:uid="{B8537542-40F8-446D-BED2-0D62B5DD3D20}"/>
    <hyperlink ref="C135" r:id="rId17" xr:uid="{DECB0068-D727-4C09-A72A-476687F5B881}"/>
    <hyperlink ref="C143" r:id="rId18" xr:uid="{64D3DF16-A476-413D-83E4-1D61CC1A5907}"/>
    <hyperlink ref="C146" r:id="rId19" xr:uid="{806794B8-6FA5-4B2F-B65E-23032A455F10}"/>
    <hyperlink ref="C148" r:id="rId20" xr:uid="{E0D6277D-0D5B-48C8-B26B-D1A1DA14B6FA}"/>
    <hyperlink ref="C155" r:id="rId21" xr:uid="{B5FC60E1-698D-4FED-A044-A005AFE3E1DF}"/>
    <hyperlink ref="C179" r:id="rId22" xr:uid="{17250271-CCCE-435B-8EBE-D63DD80ECA29}"/>
    <hyperlink ref="C185" r:id="rId23" xr:uid="{8CEE2661-7281-4533-95E9-A679E86448E6}"/>
    <hyperlink ref="C188" r:id="rId24" xr:uid="{ADF446B5-0F00-412C-880F-693CC2B2BB1F}"/>
    <hyperlink ref="C207" r:id="rId25" xr:uid="{FAD83BF3-6D22-43F9-9620-A76B1D148361}"/>
    <hyperlink ref="C218" r:id="rId26" xr:uid="{F7F07615-4A49-4316-B586-7526042F2FEF}"/>
    <hyperlink ref="C247" r:id="rId27" xr:uid="{698B0A22-BA5A-4D41-A8A7-5D34050A9451}"/>
    <hyperlink ref="C284" r:id="rId28" xr:uid="{98B848AB-568D-4713-802D-031209CCDAB4}"/>
    <hyperlink ref="C289" r:id="rId29" xr:uid="{7D40D969-C64A-4A12-AC98-42C8D66DC54B}"/>
    <hyperlink ref="C318" r:id="rId30" xr:uid="{3889BB65-5C3A-4D71-A4D2-28FB68E91729}"/>
    <hyperlink ref="C335" r:id="rId31" xr:uid="{E2FF1764-1C76-4FF1-96E1-0A6F50931C92}"/>
    <hyperlink ref="C349" r:id="rId32" xr:uid="{23E2DE25-16EC-4030-972B-A275F19953EF}"/>
    <hyperlink ref="C363" r:id="rId33" xr:uid="{3D6E92CA-809A-4C09-95D1-6189FDC696A6}"/>
    <hyperlink ref="C366" r:id="rId34" xr:uid="{A2F3EC50-E3B5-4DD1-AD31-7162C0435DF0}"/>
    <hyperlink ref="C379" r:id="rId35" xr:uid="{79090947-4BB4-4445-A07B-0A70B3235840}"/>
    <hyperlink ref="C417" r:id="rId36" xr:uid="{EDA07CF4-4055-46C8-B31F-8FF0B516DDD8}"/>
    <hyperlink ref="C462" r:id="rId37" xr:uid="{AF240E1F-A4CF-44AB-8587-D4DCF2E019A9}"/>
    <hyperlink ref="C467" r:id="rId38" xr:uid="{1FCAC6ED-DFA0-4A03-8C81-7A872E34E17C}"/>
    <hyperlink ref="C483" r:id="rId39" xr:uid="{C2398208-9072-4DF2-BC00-33780C6A2922}"/>
    <hyperlink ref="C486" r:id="rId40" xr:uid="{4794E6F2-F9AB-4DEA-933D-D3F4FCE14073}"/>
    <hyperlink ref="C499" r:id="rId41" xr:uid="{BDB1C99D-0207-4ADE-A506-921A9C722A9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996"/>
  <sheetViews>
    <sheetView topLeftCell="A7" workbookViewId="0"/>
  </sheetViews>
  <sheetFormatPr defaultColWidth="14.44140625" defaultRowHeight="15" customHeight="1"/>
  <cols>
    <col min="1" max="1" width="67.33203125" customWidth="1"/>
    <col min="2" max="2" width="214" customWidth="1"/>
  </cols>
  <sheetData>
    <row r="1" spans="1:2">
      <c r="A1" s="17"/>
      <c r="B1" s="17" t="s">
        <v>742</v>
      </c>
    </row>
    <row r="2" spans="1:2">
      <c r="A2" s="18"/>
      <c r="B2" s="18" t="s">
        <v>743</v>
      </c>
    </row>
    <row r="3" spans="1:2">
      <c r="A3" s="18"/>
      <c r="B3" s="18" t="s">
        <v>744</v>
      </c>
    </row>
    <row r="4" spans="1:2">
      <c r="A4" s="18"/>
      <c r="B4" s="18" t="s">
        <v>745</v>
      </c>
    </row>
    <row r="5" spans="1:2">
      <c r="A5" s="18"/>
      <c r="B5" s="18" t="s">
        <v>487</v>
      </c>
    </row>
    <row r="6" spans="1:2">
      <c r="A6" s="18"/>
      <c r="B6" s="18" t="s">
        <v>746</v>
      </c>
    </row>
    <row r="7" spans="1:2">
      <c r="A7" s="18"/>
      <c r="B7" s="18" t="s">
        <v>747</v>
      </c>
    </row>
    <row r="8" spans="1:2">
      <c r="A8" s="18"/>
      <c r="B8" s="18" t="s">
        <v>748</v>
      </c>
    </row>
    <row r="9" spans="1:2">
      <c r="A9" s="18"/>
      <c r="B9" s="18" t="s">
        <v>749</v>
      </c>
    </row>
    <row r="10" spans="1:2">
      <c r="A10" s="18"/>
      <c r="B10" s="18" t="s">
        <v>750</v>
      </c>
    </row>
    <row r="11" spans="1:2">
      <c r="A11" s="18"/>
      <c r="B11" s="18" t="s">
        <v>450</v>
      </c>
    </row>
    <row r="12" spans="1:2">
      <c r="A12" s="18"/>
      <c r="B12" s="18" t="s">
        <v>751</v>
      </c>
    </row>
    <row r="13" spans="1:2">
      <c r="A13" s="18"/>
      <c r="B13" s="18" t="s">
        <v>437</v>
      </c>
    </row>
    <row r="14" spans="1:2">
      <c r="A14" s="18"/>
      <c r="B14" s="18" t="s">
        <v>752</v>
      </c>
    </row>
    <row r="15" spans="1:2">
      <c r="A15" s="18"/>
      <c r="B15" s="18" t="s">
        <v>531</v>
      </c>
    </row>
    <row r="16" spans="1:2">
      <c r="A16" s="18"/>
      <c r="B16" s="18" t="s">
        <v>753</v>
      </c>
    </row>
    <row r="17" spans="1:2">
      <c r="A17" s="18"/>
      <c r="B17" s="18" t="s">
        <v>682</v>
      </c>
    </row>
    <row r="18" spans="1:2">
      <c r="A18" s="18"/>
      <c r="B18" s="18" t="s">
        <v>406</v>
      </c>
    </row>
    <row r="19" spans="1:2">
      <c r="A19" s="18"/>
      <c r="B19" s="18" t="s">
        <v>754</v>
      </c>
    </row>
    <row r="20" spans="1:2">
      <c r="A20" s="18"/>
      <c r="B20" s="18" t="s">
        <v>755</v>
      </c>
    </row>
    <row r="21" spans="1:2">
      <c r="A21" s="18"/>
      <c r="B21" s="18" t="s">
        <v>756</v>
      </c>
    </row>
    <row r="22" spans="1:2">
      <c r="A22" s="18"/>
      <c r="B22" s="18" t="s">
        <v>757</v>
      </c>
    </row>
    <row r="23" spans="1:2">
      <c r="A23" s="18"/>
      <c r="B23" s="18" t="s">
        <v>758</v>
      </c>
    </row>
    <row r="24" spans="1:2">
      <c r="A24" s="18"/>
      <c r="B24" s="18" t="s">
        <v>759</v>
      </c>
    </row>
    <row r="25" spans="1:2">
      <c r="A25" s="19"/>
      <c r="B25" s="19" t="s">
        <v>760</v>
      </c>
    </row>
    <row r="26" spans="1:2">
      <c r="A26" s="18"/>
      <c r="B26" s="18" t="s">
        <v>761</v>
      </c>
    </row>
    <row r="27" spans="1:2">
      <c r="A27" s="19"/>
      <c r="B27" s="19" t="s">
        <v>762</v>
      </c>
    </row>
    <row r="28" spans="1:2">
      <c r="A28" s="18"/>
      <c r="B28" s="18" t="s">
        <v>273</v>
      </c>
    </row>
    <row r="29" spans="1:2">
      <c r="A29" s="18"/>
      <c r="B29" s="18" t="s">
        <v>763</v>
      </c>
    </row>
    <row r="30" spans="1:2">
      <c r="A30" s="18"/>
      <c r="B30" s="18" t="s">
        <v>440</v>
      </c>
    </row>
    <row r="31" spans="1:2">
      <c r="A31" s="18"/>
      <c r="B31" s="18" t="s">
        <v>764</v>
      </c>
    </row>
    <row r="32" spans="1:2">
      <c r="A32" s="18"/>
      <c r="B32" s="18" t="s">
        <v>765</v>
      </c>
    </row>
    <row r="33" spans="1:2">
      <c r="A33" s="18"/>
      <c r="B33" s="18" t="s">
        <v>766</v>
      </c>
    </row>
    <row r="34" spans="1:2">
      <c r="A34" s="18"/>
      <c r="B34" s="18" t="s">
        <v>607</v>
      </c>
    </row>
    <row r="35" spans="1:2">
      <c r="A35" s="18"/>
      <c r="B35" s="18" t="s">
        <v>767</v>
      </c>
    </row>
    <row r="36" spans="1:2">
      <c r="A36" s="18"/>
      <c r="B36" s="18" t="s">
        <v>335</v>
      </c>
    </row>
    <row r="37" spans="1:2">
      <c r="A37" s="18"/>
      <c r="B37" s="18" t="s">
        <v>768</v>
      </c>
    </row>
    <row r="38" spans="1:2">
      <c r="A38" s="18"/>
      <c r="B38" s="18" t="s">
        <v>769</v>
      </c>
    </row>
    <row r="39" spans="1:2">
      <c r="A39" s="18"/>
      <c r="B39" s="18" t="s">
        <v>770</v>
      </c>
    </row>
    <row r="40" spans="1:2">
      <c r="A40" s="18"/>
      <c r="B40" s="18" t="s">
        <v>771</v>
      </c>
    </row>
    <row r="41" spans="1:2">
      <c r="A41" s="18"/>
      <c r="B41" s="18" t="s">
        <v>772</v>
      </c>
    </row>
    <row r="42" spans="1:2">
      <c r="A42" s="19"/>
      <c r="B42" s="19" t="s">
        <v>773</v>
      </c>
    </row>
    <row r="43" spans="1:2">
      <c r="A43" s="18"/>
      <c r="B43" s="18" t="s">
        <v>580</v>
      </c>
    </row>
    <row r="44" spans="1:2">
      <c r="A44" s="19"/>
      <c r="B44" s="19" t="s">
        <v>774</v>
      </c>
    </row>
    <row r="45" spans="1:2">
      <c r="A45" s="19"/>
      <c r="B45" s="19" t="s">
        <v>720</v>
      </c>
    </row>
    <row r="46" spans="1:2">
      <c r="A46" s="19"/>
      <c r="B46" s="19" t="s">
        <v>775</v>
      </c>
    </row>
    <row r="47" spans="1:2">
      <c r="A47" s="18"/>
      <c r="B47" s="18" t="s">
        <v>776</v>
      </c>
    </row>
    <row r="48" spans="1:2">
      <c r="A48" s="19"/>
      <c r="B48" s="19" t="s">
        <v>777</v>
      </c>
    </row>
    <row r="49" spans="1:2">
      <c r="A49" s="19"/>
      <c r="B49" s="19" t="s">
        <v>778</v>
      </c>
    </row>
    <row r="50" spans="1:2">
      <c r="A50" s="18"/>
      <c r="B50" s="18" t="s">
        <v>779</v>
      </c>
    </row>
    <row r="51" spans="1:2">
      <c r="A51" s="19"/>
      <c r="B51" s="19" t="s">
        <v>780</v>
      </c>
    </row>
    <row r="52" spans="1:2">
      <c r="A52" s="19"/>
      <c r="B52" s="19" t="s">
        <v>780</v>
      </c>
    </row>
    <row r="53" spans="1:2">
      <c r="A53" s="18"/>
      <c r="B53" s="18" t="s">
        <v>533</v>
      </c>
    </row>
    <row r="54" spans="1:2">
      <c r="A54" s="19"/>
      <c r="B54" s="19" t="s">
        <v>781</v>
      </c>
    </row>
    <row r="55" spans="1:2">
      <c r="A55" s="19"/>
      <c r="B55" s="19" t="s">
        <v>782</v>
      </c>
    </row>
    <row r="56" spans="1:2">
      <c r="A56" s="18"/>
      <c r="B56" s="18" t="s">
        <v>708</v>
      </c>
    </row>
    <row r="57" spans="1:2">
      <c r="A57" s="19"/>
      <c r="B57" s="19" t="s">
        <v>783</v>
      </c>
    </row>
    <row r="58" spans="1:2">
      <c r="A58" s="18"/>
      <c r="B58" s="18" t="s">
        <v>784</v>
      </c>
    </row>
    <row r="59" spans="1:2">
      <c r="A59" s="18"/>
      <c r="B59" s="18" t="s">
        <v>785</v>
      </c>
    </row>
    <row r="60" spans="1:2">
      <c r="A60" s="18"/>
      <c r="B60" s="18" t="s">
        <v>786</v>
      </c>
    </row>
    <row r="61" spans="1:2">
      <c r="A61" s="19"/>
      <c r="B61" s="19" t="s">
        <v>787</v>
      </c>
    </row>
    <row r="62" spans="1:2">
      <c r="A62" s="19"/>
      <c r="B62" s="19" t="s">
        <v>788</v>
      </c>
    </row>
    <row r="63" spans="1:2">
      <c r="A63" s="19"/>
      <c r="B63" s="19" t="s">
        <v>789</v>
      </c>
    </row>
    <row r="64" spans="1:2">
      <c r="A64" s="18"/>
      <c r="B64" s="18" t="s">
        <v>790</v>
      </c>
    </row>
    <row r="65" spans="1:2">
      <c r="A65" s="19"/>
      <c r="B65" s="19" t="s">
        <v>791</v>
      </c>
    </row>
    <row r="66" spans="1:2">
      <c r="A66" s="19"/>
      <c r="B66" s="19" t="s">
        <v>792</v>
      </c>
    </row>
    <row r="67" spans="1:2">
      <c r="A67" s="19"/>
      <c r="B67" s="19" t="s">
        <v>658</v>
      </c>
    </row>
    <row r="68" spans="1:2">
      <c r="A68" s="19"/>
      <c r="B68" s="19" t="s">
        <v>793</v>
      </c>
    </row>
    <row r="69" spans="1:2">
      <c r="A69" s="19"/>
      <c r="B69" s="19" t="s">
        <v>794</v>
      </c>
    </row>
    <row r="70" spans="1:2">
      <c r="A70" s="19"/>
      <c r="B70" s="19" t="s">
        <v>795</v>
      </c>
    </row>
    <row r="71" spans="1:2">
      <c r="A71" s="19"/>
      <c r="B71" s="19" t="s">
        <v>296</v>
      </c>
    </row>
    <row r="72" spans="1:2">
      <c r="A72" s="19"/>
      <c r="B72" s="19" t="s">
        <v>796</v>
      </c>
    </row>
    <row r="73" spans="1:2">
      <c r="A73" s="19"/>
      <c r="B73" s="19" t="s">
        <v>797</v>
      </c>
    </row>
    <row r="74" spans="1:2">
      <c r="A74" s="19"/>
      <c r="B74" s="19" t="s">
        <v>798</v>
      </c>
    </row>
    <row r="75" spans="1:2">
      <c r="A75" s="19"/>
      <c r="B75" s="19" t="s">
        <v>571</v>
      </c>
    </row>
    <row r="76" spans="1:2">
      <c r="A76" s="19"/>
      <c r="B76" s="19" t="s">
        <v>123</v>
      </c>
    </row>
    <row r="77" spans="1:2">
      <c r="A77" s="19"/>
      <c r="B77" s="19" t="s">
        <v>157</v>
      </c>
    </row>
    <row r="78" spans="1:2">
      <c r="A78" s="19"/>
      <c r="B78" s="19" t="s">
        <v>799</v>
      </c>
    </row>
    <row r="79" spans="1:2">
      <c r="A79" s="18"/>
      <c r="B79" s="18" t="s">
        <v>302</v>
      </c>
    </row>
    <row r="80" spans="1:2">
      <c r="A80" s="19"/>
      <c r="B80" s="19" t="s">
        <v>796</v>
      </c>
    </row>
    <row r="81" spans="1:2">
      <c r="A81" s="19"/>
      <c r="B81" s="19" t="s">
        <v>800</v>
      </c>
    </row>
    <row r="82" spans="1:2">
      <c r="A82" s="19"/>
      <c r="B82" s="19" t="s">
        <v>173</v>
      </c>
    </row>
    <row r="83" spans="1:2">
      <c r="A83" s="19"/>
      <c r="B83" s="19" t="s">
        <v>5</v>
      </c>
    </row>
    <row r="84" spans="1:2">
      <c r="A84" s="19"/>
      <c r="B84" s="19" t="s">
        <v>572</v>
      </c>
    </row>
    <row r="85" spans="1:2">
      <c r="A85" s="19"/>
      <c r="B85" s="19" t="s">
        <v>717</v>
      </c>
    </row>
    <row r="86" spans="1:2">
      <c r="A86" s="19"/>
      <c r="B86" s="19" t="s">
        <v>299</v>
      </c>
    </row>
    <row r="87" spans="1:2">
      <c r="A87" s="19"/>
      <c r="B87" s="19" t="s">
        <v>300</v>
      </c>
    </row>
    <row r="88" spans="1:2">
      <c r="A88" s="19"/>
      <c r="B88" s="19" t="s">
        <v>801</v>
      </c>
    </row>
    <row r="89" spans="1:2">
      <c r="A89" s="19"/>
      <c r="B89" s="19" t="s">
        <v>802</v>
      </c>
    </row>
    <row r="90" spans="1:2">
      <c r="A90" s="19"/>
      <c r="B90" s="19" t="s">
        <v>113</v>
      </c>
    </row>
    <row r="91" spans="1:2">
      <c r="A91" s="19"/>
      <c r="B91" s="19" t="s">
        <v>112</v>
      </c>
    </row>
    <row r="92" spans="1:2">
      <c r="A92" s="19"/>
      <c r="B92" s="19" t="s">
        <v>803</v>
      </c>
    </row>
    <row r="93" spans="1:2">
      <c r="A93" s="19"/>
      <c r="B93" s="19" t="s">
        <v>714</v>
      </c>
    </row>
    <row r="94" spans="1:2">
      <c r="A94" s="19"/>
      <c r="B94" s="19" t="s">
        <v>427</v>
      </c>
    </row>
    <row r="95" spans="1:2">
      <c r="A95" s="19"/>
      <c r="B95" s="19" t="s">
        <v>168</v>
      </c>
    </row>
    <row r="96" spans="1:2">
      <c r="A96" s="19"/>
      <c r="B96" s="19" t="s">
        <v>313</v>
      </c>
    </row>
    <row r="97" spans="1:2">
      <c r="A97" s="18"/>
      <c r="B97" s="18" t="s">
        <v>804</v>
      </c>
    </row>
    <row r="98" spans="1:2">
      <c r="A98" s="18"/>
      <c r="B98" s="18" t="s">
        <v>805</v>
      </c>
    </row>
    <row r="99" spans="1:2">
      <c r="A99" s="18"/>
      <c r="B99" s="18" t="s">
        <v>713</v>
      </c>
    </row>
    <row r="100" spans="1:2">
      <c r="A100" s="18"/>
      <c r="B100" s="18" t="s">
        <v>570</v>
      </c>
    </row>
    <row r="101" spans="1:2">
      <c r="A101" s="18"/>
      <c r="B101" s="18" t="s">
        <v>41</v>
      </c>
    </row>
    <row r="102" spans="1:2">
      <c r="A102" s="18"/>
      <c r="B102" s="18" t="s">
        <v>427</v>
      </c>
    </row>
    <row r="103" spans="1:2">
      <c r="A103" s="20"/>
      <c r="B103" s="20" t="s">
        <v>806</v>
      </c>
    </row>
    <row r="104" spans="1:2">
      <c r="A104" s="20"/>
      <c r="B104" s="20" t="s">
        <v>807</v>
      </c>
    </row>
    <row r="105" spans="1:2">
      <c r="A105" s="20"/>
      <c r="B105" s="20" t="s">
        <v>427</v>
      </c>
    </row>
    <row r="106" spans="1:2">
      <c r="A106" s="20"/>
      <c r="B106" s="20" t="s">
        <v>808</v>
      </c>
    </row>
    <row r="107" spans="1:2">
      <c r="A107" s="20"/>
      <c r="B107" s="20" t="s">
        <v>809</v>
      </c>
    </row>
    <row r="108" spans="1:2">
      <c r="A108" s="20"/>
      <c r="B108" s="20" t="s">
        <v>810</v>
      </c>
    </row>
    <row r="109" spans="1:2">
      <c r="A109" s="20"/>
      <c r="B109" s="20" t="s">
        <v>811</v>
      </c>
    </row>
    <row r="110" spans="1:2">
      <c r="A110" s="20"/>
      <c r="B110" s="20" t="s">
        <v>812</v>
      </c>
    </row>
    <row r="111" spans="1:2">
      <c r="A111" s="20"/>
      <c r="B111" s="20" t="s">
        <v>805</v>
      </c>
    </row>
    <row r="112" spans="1:2">
      <c r="A112" s="20"/>
      <c r="B112" s="20" t="s">
        <v>813</v>
      </c>
    </row>
    <row r="113" spans="1:2">
      <c r="A113" s="20"/>
      <c r="B113" s="20" t="s">
        <v>814</v>
      </c>
    </row>
    <row r="114" spans="1:2">
      <c r="A114" s="20"/>
      <c r="B114" s="20" t="s">
        <v>815</v>
      </c>
    </row>
    <row r="115" spans="1:2">
      <c r="A115" s="20"/>
      <c r="B115" s="20" t="s">
        <v>816</v>
      </c>
    </row>
    <row r="116" spans="1:2">
      <c r="A116" s="20"/>
      <c r="B116" s="20" t="s">
        <v>805</v>
      </c>
    </row>
    <row r="117" spans="1:2">
      <c r="A117" s="20"/>
      <c r="B117" s="20" t="s">
        <v>817</v>
      </c>
    </row>
    <row r="118" spans="1:2">
      <c r="A118" s="20"/>
      <c r="B118" s="20" t="s">
        <v>818</v>
      </c>
    </row>
    <row r="119" spans="1:2">
      <c r="A119" s="20"/>
      <c r="B119" s="20" t="s">
        <v>819</v>
      </c>
    </row>
    <row r="120" spans="1:2">
      <c r="A120" s="20"/>
      <c r="B120" s="20" t="s">
        <v>820</v>
      </c>
    </row>
    <row r="121" spans="1:2">
      <c r="A121" s="20"/>
      <c r="B121" s="20" t="s">
        <v>821</v>
      </c>
    </row>
    <row r="122" spans="1:2">
      <c r="A122" s="20"/>
      <c r="B122" s="20" t="s">
        <v>822</v>
      </c>
    </row>
    <row r="123" spans="1:2">
      <c r="A123" s="20"/>
      <c r="B123" s="20" t="s">
        <v>823</v>
      </c>
    </row>
    <row r="124" spans="1:2">
      <c r="A124" s="20"/>
      <c r="B124" s="20" t="s">
        <v>824</v>
      </c>
    </row>
    <row r="125" spans="1:2">
      <c r="A125" s="20"/>
      <c r="B125" s="20" t="s">
        <v>427</v>
      </c>
    </row>
    <row r="126" spans="1:2">
      <c r="A126" s="20"/>
      <c r="B126" s="20" t="s">
        <v>825</v>
      </c>
    </row>
    <row r="127" spans="1:2">
      <c r="A127" s="20"/>
      <c r="B127" s="20" t="s">
        <v>826</v>
      </c>
    </row>
    <row r="128" spans="1:2">
      <c r="A128" s="20"/>
      <c r="B128" s="20" t="s">
        <v>827</v>
      </c>
    </row>
    <row r="129" spans="1:2">
      <c r="A129" s="20"/>
      <c r="B129" s="20" t="s">
        <v>828</v>
      </c>
    </row>
    <row r="130" spans="1:2">
      <c r="A130" s="20"/>
      <c r="B130" s="20" t="s">
        <v>829</v>
      </c>
    </row>
    <row r="131" spans="1:2">
      <c r="A131" s="20"/>
      <c r="B131" s="20" t="s">
        <v>829</v>
      </c>
    </row>
    <row r="132" spans="1:2">
      <c r="A132" s="20"/>
      <c r="B132" s="20" t="s">
        <v>830</v>
      </c>
    </row>
    <row r="133" spans="1:2">
      <c r="A133" s="20"/>
      <c r="B133" s="20" t="s">
        <v>826</v>
      </c>
    </row>
    <row r="134" spans="1:2">
      <c r="A134" s="20"/>
      <c r="B134" s="20" t="s">
        <v>827</v>
      </c>
    </row>
    <row r="135" spans="1:2">
      <c r="A135" s="20"/>
      <c r="B135" s="20" t="s">
        <v>831</v>
      </c>
    </row>
    <row r="136" spans="1:2">
      <c r="A136" s="20"/>
      <c r="B136" s="20" t="s">
        <v>832</v>
      </c>
    </row>
    <row r="137" spans="1:2">
      <c r="A137" s="20"/>
      <c r="B137" s="20" t="s">
        <v>833</v>
      </c>
    </row>
    <row r="138" spans="1:2">
      <c r="A138" s="20"/>
      <c r="B138" s="20" t="s">
        <v>834</v>
      </c>
    </row>
    <row r="139" spans="1:2">
      <c r="A139" s="20"/>
      <c r="B139" s="20" t="s">
        <v>835</v>
      </c>
    </row>
    <row r="140" spans="1:2">
      <c r="A140" s="20"/>
      <c r="B140" s="20" t="s">
        <v>836</v>
      </c>
    </row>
    <row r="141" spans="1:2">
      <c r="A141" s="20"/>
      <c r="B141" s="20" t="s">
        <v>837</v>
      </c>
    </row>
    <row r="142" spans="1:2">
      <c r="A142" s="20"/>
      <c r="B142" s="20" t="s">
        <v>838</v>
      </c>
    </row>
    <row r="143" spans="1:2">
      <c r="A143" s="20"/>
      <c r="B143" s="20" t="s">
        <v>839</v>
      </c>
    </row>
    <row r="144" spans="1:2">
      <c r="A144" s="20"/>
      <c r="B144" s="20" t="s">
        <v>805</v>
      </c>
    </row>
    <row r="145" spans="1:2">
      <c r="A145" s="20"/>
      <c r="B145" s="20" t="s">
        <v>840</v>
      </c>
    </row>
    <row r="146" spans="1:2">
      <c r="A146" s="20"/>
      <c r="B146" s="20" t="s">
        <v>841</v>
      </c>
    </row>
    <row r="147" spans="1:2">
      <c r="A147" s="20"/>
      <c r="B147" s="20" t="s">
        <v>842</v>
      </c>
    </row>
    <row r="148" spans="1:2">
      <c r="A148" s="20"/>
      <c r="B148" s="20" t="s">
        <v>843</v>
      </c>
    </row>
    <row r="149" spans="1:2">
      <c r="A149" s="20"/>
      <c r="B149" s="20" t="s">
        <v>844</v>
      </c>
    </row>
    <row r="150" spans="1:2">
      <c r="A150" s="20"/>
      <c r="B150" s="20" t="s">
        <v>845</v>
      </c>
    </row>
    <row r="151" spans="1:2">
      <c r="A151" s="20"/>
      <c r="B151" s="20" t="s">
        <v>846</v>
      </c>
    </row>
    <row r="152" spans="1:2">
      <c r="A152" s="20"/>
      <c r="B152" s="20" t="s">
        <v>847</v>
      </c>
    </row>
    <row r="153" spans="1:2">
      <c r="A153" s="20"/>
      <c r="B153" s="20" t="s">
        <v>848</v>
      </c>
    </row>
    <row r="154" spans="1:2">
      <c r="A154" s="20"/>
      <c r="B154" s="20" t="s">
        <v>849</v>
      </c>
    </row>
    <row r="155" spans="1:2">
      <c r="A155" s="20"/>
      <c r="B155" s="20" t="s">
        <v>850</v>
      </c>
    </row>
    <row r="156" spans="1:2">
      <c r="A156" s="20"/>
      <c r="B156" s="20" t="s">
        <v>851</v>
      </c>
    </row>
    <row r="157" spans="1:2">
      <c r="A157" s="20"/>
      <c r="B157" s="20" t="s">
        <v>852</v>
      </c>
    </row>
    <row r="158" spans="1:2">
      <c r="A158" s="20"/>
      <c r="B158" s="20" t="s">
        <v>853</v>
      </c>
    </row>
    <row r="159" spans="1:2">
      <c r="A159" s="20"/>
      <c r="B159" s="20" t="s">
        <v>854</v>
      </c>
    </row>
    <row r="160" spans="1:2">
      <c r="A160" s="20"/>
      <c r="B160" s="20" t="s">
        <v>855</v>
      </c>
    </row>
    <row r="161" spans="1:2">
      <c r="A161" s="20"/>
      <c r="B161" s="20" t="s">
        <v>856</v>
      </c>
    </row>
    <row r="162" spans="1:2">
      <c r="A162" s="20"/>
      <c r="B162" s="20" t="s">
        <v>857</v>
      </c>
    </row>
    <row r="163" spans="1:2">
      <c r="A163" s="20"/>
      <c r="B163" s="20" t="s">
        <v>858</v>
      </c>
    </row>
    <row r="164" spans="1:2">
      <c r="A164" s="20"/>
      <c r="B164" s="20" t="s">
        <v>859</v>
      </c>
    </row>
    <row r="165" spans="1:2">
      <c r="A165" s="20"/>
      <c r="B165" s="20" t="s">
        <v>860</v>
      </c>
    </row>
    <row r="166" spans="1:2">
      <c r="A166" s="20"/>
      <c r="B166" s="20" t="s">
        <v>861</v>
      </c>
    </row>
    <row r="167" spans="1:2">
      <c r="A167" s="20"/>
      <c r="B167" s="20" t="s">
        <v>862</v>
      </c>
    </row>
    <row r="168" spans="1:2">
      <c r="A168" s="20"/>
      <c r="B168" s="20" t="s">
        <v>863</v>
      </c>
    </row>
    <row r="169" spans="1:2">
      <c r="A169" s="20"/>
      <c r="B169" s="20" t="s">
        <v>864</v>
      </c>
    </row>
    <row r="170" spans="1:2">
      <c r="A170" s="20"/>
      <c r="B170" s="20" t="s">
        <v>865</v>
      </c>
    </row>
    <row r="171" spans="1:2">
      <c r="A171" s="20"/>
      <c r="B171" s="20" t="s">
        <v>866</v>
      </c>
    </row>
    <row r="172" spans="1:2">
      <c r="A172" s="20"/>
      <c r="B172" s="20" t="s">
        <v>867</v>
      </c>
    </row>
    <row r="173" spans="1:2">
      <c r="A173" s="20"/>
      <c r="B173" s="20" t="s">
        <v>868</v>
      </c>
    </row>
    <row r="174" spans="1:2">
      <c r="A174" s="20"/>
      <c r="B174" s="20" t="s">
        <v>869</v>
      </c>
    </row>
    <row r="175" spans="1:2">
      <c r="A175" s="20"/>
      <c r="B175" s="20" t="s">
        <v>870</v>
      </c>
    </row>
    <row r="176" spans="1:2">
      <c r="A176" s="20"/>
      <c r="B176" s="20" t="s">
        <v>805</v>
      </c>
    </row>
    <row r="177" spans="1:2">
      <c r="A177" s="20"/>
      <c r="B177" s="20" t="s">
        <v>871</v>
      </c>
    </row>
    <row r="178" spans="1:2">
      <c r="A178" s="20"/>
      <c r="B178" s="20" t="s">
        <v>872</v>
      </c>
    </row>
    <row r="179" spans="1:2">
      <c r="A179" s="20"/>
      <c r="B179" s="20" t="s">
        <v>873</v>
      </c>
    </row>
    <row r="180" spans="1:2">
      <c r="A180" s="20"/>
      <c r="B180" s="20" t="s">
        <v>874</v>
      </c>
    </row>
    <row r="181" spans="1:2">
      <c r="A181" s="20"/>
      <c r="B181" s="20" t="s">
        <v>875</v>
      </c>
    </row>
    <row r="182" spans="1:2">
      <c r="A182" s="20"/>
      <c r="B182" s="20" t="s">
        <v>876</v>
      </c>
    </row>
    <row r="183" spans="1:2">
      <c r="A183" s="20"/>
      <c r="B183" s="20" t="s">
        <v>877</v>
      </c>
    </row>
    <row r="184" spans="1:2">
      <c r="A184" s="20"/>
      <c r="B184" s="20" t="s">
        <v>878</v>
      </c>
    </row>
    <row r="185" spans="1:2">
      <c r="A185" s="20"/>
      <c r="B185" s="20" t="s">
        <v>879</v>
      </c>
    </row>
    <row r="186" spans="1:2">
      <c r="A186" s="20"/>
      <c r="B186" s="20" t="s">
        <v>807</v>
      </c>
    </row>
    <row r="187" spans="1:2">
      <c r="A187" s="20"/>
      <c r="B187" s="20" t="s">
        <v>880</v>
      </c>
    </row>
    <row r="188" spans="1:2">
      <c r="A188" s="20"/>
      <c r="B188" s="20" t="s">
        <v>881</v>
      </c>
    </row>
    <row r="189" spans="1:2">
      <c r="A189" s="20"/>
      <c r="B189" s="20" t="s">
        <v>882</v>
      </c>
    </row>
    <row r="190" spans="1:2">
      <c r="A190" s="20"/>
      <c r="B190" s="20" t="s">
        <v>883</v>
      </c>
    </row>
    <row r="191" spans="1:2">
      <c r="A191" s="20"/>
      <c r="B191" s="20" t="s">
        <v>884</v>
      </c>
    </row>
    <row r="192" spans="1:2">
      <c r="A192" s="20"/>
      <c r="B192" s="20" t="s">
        <v>885</v>
      </c>
    </row>
    <row r="193" spans="1:2">
      <c r="A193" s="20"/>
      <c r="B193" s="20" t="s">
        <v>886</v>
      </c>
    </row>
    <row r="194" spans="1:2">
      <c r="A194" s="20"/>
      <c r="B194" s="20" t="s">
        <v>887</v>
      </c>
    </row>
    <row r="195" spans="1:2">
      <c r="A195" s="20"/>
      <c r="B195" s="20" t="s">
        <v>888</v>
      </c>
    </row>
    <row r="196" spans="1:2">
      <c r="A196" s="20"/>
      <c r="B196" s="20" t="s">
        <v>889</v>
      </c>
    </row>
    <row r="197" spans="1:2">
      <c r="A197" s="20"/>
      <c r="B197" s="20" t="s">
        <v>890</v>
      </c>
    </row>
    <row r="198" spans="1:2">
      <c r="A198" s="20"/>
      <c r="B198" s="20" t="s">
        <v>891</v>
      </c>
    </row>
    <row r="199" spans="1:2">
      <c r="A199" s="20"/>
      <c r="B199" s="20" t="s">
        <v>892</v>
      </c>
    </row>
    <row r="200" spans="1:2">
      <c r="A200" s="20"/>
      <c r="B200" s="20" t="s">
        <v>893</v>
      </c>
    </row>
    <row r="201" spans="1:2">
      <c r="A201" s="20"/>
      <c r="B201" s="20" t="s">
        <v>894</v>
      </c>
    </row>
    <row r="202" spans="1:2">
      <c r="A202" s="20"/>
      <c r="B202" s="20" t="s">
        <v>895</v>
      </c>
    </row>
    <row r="203" spans="1:2">
      <c r="A203" s="20"/>
      <c r="B203" s="20" t="s">
        <v>896</v>
      </c>
    </row>
    <row r="204" spans="1:2">
      <c r="A204" s="20"/>
      <c r="B204" s="20" t="s">
        <v>897</v>
      </c>
    </row>
    <row r="205" spans="1:2">
      <c r="A205" s="20"/>
      <c r="B205" s="20" t="s">
        <v>898</v>
      </c>
    </row>
    <row r="206" spans="1:2">
      <c r="A206" s="20"/>
      <c r="B206" s="20" t="s">
        <v>899</v>
      </c>
    </row>
    <row r="207" spans="1:2">
      <c r="A207" s="20"/>
      <c r="B207" s="20" t="s">
        <v>900</v>
      </c>
    </row>
    <row r="208" spans="1:2">
      <c r="A208" s="20"/>
      <c r="B208" s="20" t="s">
        <v>901</v>
      </c>
    </row>
    <row r="209" spans="1:2">
      <c r="A209" s="20"/>
      <c r="B209" s="20" t="s">
        <v>902</v>
      </c>
    </row>
    <row r="210" spans="1:2">
      <c r="A210" s="20"/>
      <c r="B210" s="20" t="s">
        <v>903</v>
      </c>
    </row>
    <row r="211" spans="1:2">
      <c r="A211" s="20"/>
      <c r="B211" s="20" t="s">
        <v>904</v>
      </c>
    </row>
    <row r="212" spans="1:2">
      <c r="A212" s="20"/>
      <c r="B212" s="20" t="s">
        <v>905</v>
      </c>
    </row>
    <row r="213" spans="1:2">
      <c r="A213" s="20"/>
      <c r="B213" s="20" t="s">
        <v>906</v>
      </c>
    </row>
    <row r="214" spans="1:2">
      <c r="A214" s="20"/>
      <c r="B214" s="20" t="s">
        <v>907</v>
      </c>
    </row>
    <row r="215" spans="1:2">
      <c r="A215" s="20"/>
      <c r="B215" s="20" t="s">
        <v>908</v>
      </c>
    </row>
    <row r="216" spans="1:2">
      <c r="A216" s="20"/>
      <c r="B216" s="20" t="s">
        <v>909</v>
      </c>
    </row>
    <row r="217" spans="1:2">
      <c r="A217" s="20"/>
      <c r="B217" s="20" t="s">
        <v>910</v>
      </c>
    </row>
    <row r="218" spans="1:2">
      <c r="A218" s="20"/>
      <c r="B218" s="20" t="s">
        <v>911</v>
      </c>
    </row>
    <row r="219" spans="1:2">
      <c r="A219" s="20"/>
      <c r="B219" s="20" t="s">
        <v>912</v>
      </c>
    </row>
    <row r="220" spans="1:2">
      <c r="A220" s="20"/>
      <c r="B220" s="20" t="s">
        <v>913</v>
      </c>
    </row>
    <row r="221" spans="1:2">
      <c r="A221" s="20"/>
      <c r="B221" s="20" t="s">
        <v>914</v>
      </c>
    </row>
    <row r="222" spans="1:2">
      <c r="A222" s="20"/>
      <c r="B222" s="20" t="s">
        <v>915</v>
      </c>
    </row>
    <row r="223" spans="1:2">
      <c r="A223" s="20"/>
      <c r="B223" s="20" t="s">
        <v>916</v>
      </c>
    </row>
    <row r="224" spans="1:2">
      <c r="A224" s="20"/>
      <c r="B224" s="20" t="s">
        <v>917</v>
      </c>
    </row>
    <row r="225" spans="1:2">
      <c r="A225" s="20"/>
      <c r="B225" s="20" t="s">
        <v>876</v>
      </c>
    </row>
    <row r="226" spans="1:2">
      <c r="A226" s="20"/>
      <c r="B226" s="20" t="s">
        <v>918</v>
      </c>
    </row>
    <row r="227" spans="1:2">
      <c r="A227" s="20"/>
      <c r="B227" s="20" t="s">
        <v>919</v>
      </c>
    </row>
    <row r="228" spans="1:2">
      <c r="A228" s="20"/>
      <c r="B228" s="20" t="s">
        <v>920</v>
      </c>
    </row>
    <row r="229" spans="1:2">
      <c r="A229" s="20"/>
      <c r="B229" s="20" t="s">
        <v>921</v>
      </c>
    </row>
    <row r="230" spans="1:2">
      <c r="A230" s="20"/>
      <c r="B230" s="20" t="s">
        <v>922</v>
      </c>
    </row>
    <row r="231" spans="1:2">
      <c r="A231" s="20"/>
      <c r="B231" s="20" t="s">
        <v>923</v>
      </c>
    </row>
    <row r="232" spans="1:2">
      <c r="A232" s="20"/>
      <c r="B232" s="20" t="s">
        <v>924</v>
      </c>
    </row>
    <row r="233" spans="1:2">
      <c r="A233" s="20"/>
      <c r="B233" s="20" t="s">
        <v>925</v>
      </c>
    </row>
    <row r="234" spans="1:2">
      <c r="A234" s="20"/>
      <c r="B234" s="20" t="s">
        <v>926</v>
      </c>
    </row>
    <row r="235" spans="1:2">
      <c r="A235" s="20"/>
      <c r="B235" s="20" t="s">
        <v>927</v>
      </c>
    </row>
    <row r="236" spans="1:2">
      <c r="A236" s="20"/>
      <c r="B236" s="20" t="s">
        <v>928</v>
      </c>
    </row>
    <row r="237" spans="1:2">
      <c r="A237" s="20"/>
      <c r="B237" s="20" t="s">
        <v>929</v>
      </c>
    </row>
    <row r="238" spans="1:2">
      <c r="A238" s="20"/>
      <c r="B238" s="20" t="s">
        <v>930</v>
      </c>
    </row>
    <row r="239" spans="1:2">
      <c r="A239" s="20"/>
      <c r="B239" s="20" t="s">
        <v>931</v>
      </c>
    </row>
    <row r="240" spans="1:2">
      <c r="A240" s="20"/>
      <c r="B240" s="20" t="s">
        <v>804</v>
      </c>
    </row>
    <row r="241" spans="1:2">
      <c r="A241" s="20"/>
      <c r="B241" s="20" t="s">
        <v>932</v>
      </c>
    </row>
    <row r="242" spans="1:2">
      <c r="A242" s="20"/>
      <c r="B242" s="20" t="s">
        <v>805</v>
      </c>
    </row>
    <row r="243" spans="1:2">
      <c r="A243" s="20"/>
      <c r="B243" s="20" t="s">
        <v>933</v>
      </c>
    </row>
    <row r="244" spans="1:2">
      <c r="A244" s="20"/>
      <c r="B244" s="20" t="s">
        <v>934</v>
      </c>
    </row>
    <row r="245" spans="1:2">
      <c r="A245" s="20"/>
      <c r="B245" s="20"/>
    </row>
    <row r="246" spans="1:2">
      <c r="A246" s="20"/>
      <c r="B246" s="20"/>
    </row>
    <row r="247" spans="1:2">
      <c r="A247" s="20"/>
      <c r="B247" s="20"/>
    </row>
    <row r="248" spans="1:2">
      <c r="A248" s="20"/>
      <c r="B248" s="20"/>
    </row>
    <row r="249" spans="1:2">
      <c r="A249" s="20"/>
      <c r="B249" s="20"/>
    </row>
    <row r="250" spans="1:2">
      <c r="A250" s="20"/>
      <c r="B250" s="20"/>
    </row>
    <row r="251" spans="1:2">
      <c r="A251" s="20"/>
      <c r="B251" s="20"/>
    </row>
    <row r="252" spans="1:2">
      <c r="A252" s="20"/>
      <c r="B252" s="20"/>
    </row>
    <row r="253" spans="1:2">
      <c r="A253" s="20"/>
      <c r="B253" s="20"/>
    </row>
    <row r="254" spans="1:2">
      <c r="A254" s="20"/>
      <c r="B254" s="20"/>
    </row>
    <row r="255" spans="1:2">
      <c r="A255" s="20"/>
      <c r="B255" s="20"/>
    </row>
    <row r="256" spans="1:2">
      <c r="A256" s="20"/>
      <c r="B256" s="20"/>
    </row>
    <row r="257" spans="1:2">
      <c r="A257" s="20"/>
      <c r="B257" s="20"/>
    </row>
    <row r="258" spans="1:2">
      <c r="A258" s="20"/>
      <c r="B258" s="20"/>
    </row>
    <row r="259" spans="1:2">
      <c r="A259" s="20"/>
      <c r="B259" s="20"/>
    </row>
    <row r="260" spans="1:2">
      <c r="A260" s="20"/>
      <c r="B260" s="20"/>
    </row>
    <row r="261" spans="1:2">
      <c r="A261" s="20"/>
      <c r="B261" s="20"/>
    </row>
    <row r="262" spans="1:2">
      <c r="A262" s="20"/>
      <c r="B262" s="20"/>
    </row>
    <row r="263" spans="1:2">
      <c r="A263" s="20"/>
      <c r="B263" s="20"/>
    </row>
    <row r="264" spans="1:2">
      <c r="A264" s="20"/>
      <c r="B264" s="20"/>
    </row>
    <row r="265" spans="1:2">
      <c r="A265" s="20"/>
      <c r="B265" s="20"/>
    </row>
    <row r="266" spans="1:2">
      <c r="A266" s="20"/>
      <c r="B266" s="20"/>
    </row>
    <row r="267" spans="1:2">
      <c r="A267" s="20"/>
      <c r="B267" s="20"/>
    </row>
    <row r="268" spans="1:2">
      <c r="A268" s="20"/>
      <c r="B268" s="20"/>
    </row>
    <row r="269" spans="1:2">
      <c r="A269" s="20"/>
      <c r="B269" s="20"/>
    </row>
    <row r="270" spans="1:2">
      <c r="A270" s="20"/>
      <c r="B270" s="20"/>
    </row>
    <row r="271" spans="1:2">
      <c r="A271" s="20"/>
      <c r="B271" s="20"/>
    </row>
    <row r="272" spans="1:2">
      <c r="A272" s="20"/>
      <c r="B272" s="20"/>
    </row>
    <row r="273" spans="1:2">
      <c r="A273" s="20"/>
      <c r="B273" s="20"/>
    </row>
    <row r="274" spans="1:2">
      <c r="A274" s="20"/>
      <c r="B274" s="20"/>
    </row>
    <row r="275" spans="1:2">
      <c r="A275" s="20"/>
      <c r="B275" s="20"/>
    </row>
    <row r="276" spans="1:2">
      <c r="A276" s="20"/>
      <c r="B276" s="20"/>
    </row>
    <row r="277" spans="1:2">
      <c r="A277" s="20"/>
      <c r="B277" s="20"/>
    </row>
    <row r="278" spans="1:2">
      <c r="A278" s="20"/>
      <c r="B278" s="20"/>
    </row>
    <row r="279" spans="1:2">
      <c r="A279" s="20"/>
      <c r="B279" s="20"/>
    </row>
    <row r="280" spans="1:2">
      <c r="A280" s="20"/>
      <c r="B280" s="20"/>
    </row>
    <row r="281" spans="1:2">
      <c r="A281" s="20"/>
      <c r="B281" s="20"/>
    </row>
    <row r="282" spans="1:2">
      <c r="A282" s="20"/>
      <c r="B282" s="20"/>
    </row>
    <row r="283" spans="1:2">
      <c r="A283" s="20"/>
      <c r="B283" s="20"/>
    </row>
    <row r="284" spans="1:2">
      <c r="A284" s="20"/>
      <c r="B284" s="20"/>
    </row>
    <row r="285" spans="1:2">
      <c r="A285" s="20"/>
      <c r="B285" s="20"/>
    </row>
    <row r="286" spans="1:2">
      <c r="A286" s="20"/>
      <c r="B286" s="20"/>
    </row>
    <row r="287" spans="1:2">
      <c r="A287" s="20"/>
      <c r="B287" s="20"/>
    </row>
    <row r="288" spans="1:2">
      <c r="A288" s="20"/>
      <c r="B288" s="20"/>
    </row>
    <row r="289" spans="1:2">
      <c r="A289" s="20"/>
      <c r="B289" s="20"/>
    </row>
    <row r="290" spans="1:2">
      <c r="A290" s="20"/>
      <c r="B290" s="20"/>
    </row>
    <row r="291" spans="1:2">
      <c r="A291" s="20"/>
      <c r="B291" s="20"/>
    </row>
    <row r="292" spans="1:2">
      <c r="A292" s="20"/>
      <c r="B292" s="20"/>
    </row>
    <row r="293" spans="1:2">
      <c r="A293" s="20"/>
      <c r="B293" s="20"/>
    </row>
    <row r="294" spans="1:2">
      <c r="A294" s="20"/>
      <c r="B294" s="20"/>
    </row>
    <row r="295" spans="1:2">
      <c r="A295" s="20"/>
      <c r="B295" s="20"/>
    </row>
    <row r="296" spans="1:2">
      <c r="A296" s="20"/>
      <c r="B296" s="20"/>
    </row>
    <row r="297" spans="1:2">
      <c r="A297" s="20"/>
      <c r="B297" s="20"/>
    </row>
    <row r="298" spans="1:2">
      <c r="A298" s="20"/>
      <c r="B298" s="20"/>
    </row>
    <row r="299" spans="1:2">
      <c r="A299" s="20"/>
      <c r="B299" s="20"/>
    </row>
    <row r="300" spans="1:2">
      <c r="A300" s="20"/>
      <c r="B300" s="20"/>
    </row>
    <row r="301" spans="1:2">
      <c r="A301" s="20"/>
      <c r="B301" s="20"/>
    </row>
    <row r="302" spans="1:2">
      <c r="A302" s="20"/>
      <c r="B302" s="20"/>
    </row>
    <row r="303" spans="1:2">
      <c r="A303" s="20"/>
      <c r="B303" s="20"/>
    </row>
    <row r="304" spans="1:2">
      <c r="A304" s="20"/>
      <c r="B304" s="20"/>
    </row>
    <row r="305" spans="1:2">
      <c r="A305" s="20"/>
      <c r="B305" s="20"/>
    </row>
    <row r="306" spans="1:2">
      <c r="A306" s="20"/>
      <c r="B306" s="20"/>
    </row>
    <row r="307" spans="1:2">
      <c r="A307" s="20"/>
      <c r="B307" s="20"/>
    </row>
    <row r="308" spans="1:2">
      <c r="A308" s="20"/>
      <c r="B308" s="20"/>
    </row>
    <row r="309" spans="1:2">
      <c r="A309" s="20"/>
      <c r="B309" s="20"/>
    </row>
    <row r="310" spans="1:2">
      <c r="A310" s="20"/>
      <c r="B310" s="20"/>
    </row>
    <row r="311" spans="1:2">
      <c r="A311" s="20"/>
      <c r="B311" s="20"/>
    </row>
    <row r="312" spans="1:2">
      <c r="A312" s="20"/>
      <c r="B312" s="20"/>
    </row>
    <row r="313" spans="1:2">
      <c r="A313" s="20"/>
      <c r="B313" s="20"/>
    </row>
    <row r="314" spans="1:2">
      <c r="A314" s="20"/>
      <c r="B314" s="20"/>
    </row>
    <row r="315" spans="1:2">
      <c r="A315" s="20"/>
      <c r="B315" s="20"/>
    </row>
    <row r="316" spans="1:2">
      <c r="A316" s="20"/>
      <c r="B316" s="20"/>
    </row>
    <row r="317" spans="1:2">
      <c r="A317" s="20"/>
      <c r="B317" s="20"/>
    </row>
    <row r="318" spans="1:2">
      <c r="A318" s="20"/>
      <c r="B318" s="20"/>
    </row>
    <row r="319" spans="1:2">
      <c r="A319" s="20"/>
      <c r="B319" s="20"/>
    </row>
    <row r="320" spans="1:2">
      <c r="A320" s="20"/>
      <c r="B320" s="20"/>
    </row>
    <row r="321" spans="1:2">
      <c r="A321" s="20"/>
      <c r="B321" s="20"/>
    </row>
    <row r="322" spans="1:2">
      <c r="A322" s="20"/>
      <c r="B322" s="20"/>
    </row>
    <row r="323" spans="1:2">
      <c r="A323" s="20"/>
      <c r="B323" s="20"/>
    </row>
    <row r="324" spans="1:2">
      <c r="A324" s="20"/>
      <c r="B324" s="20"/>
    </row>
    <row r="325" spans="1:2">
      <c r="A325" s="20"/>
      <c r="B325" s="20"/>
    </row>
    <row r="326" spans="1:2">
      <c r="A326" s="20"/>
      <c r="B326" s="20"/>
    </row>
    <row r="327" spans="1:2">
      <c r="A327" s="20"/>
      <c r="B327" s="20"/>
    </row>
    <row r="328" spans="1:2">
      <c r="A328" s="20"/>
      <c r="B328" s="20"/>
    </row>
    <row r="329" spans="1:2">
      <c r="A329" s="20"/>
      <c r="B329" s="20"/>
    </row>
    <row r="330" spans="1:2">
      <c r="A330" s="20"/>
      <c r="B330" s="20"/>
    </row>
    <row r="331" spans="1:2">
      <c r="A331" s="20"/>
      <c r="B331" s="20"/>
    </row>
    <row r="332" spans="1:2">
      <c r="A332" s="20"/>
      <c r="B332" s="20"/>
    </row>
    <row r="333" spans="1:2">
      <c r="A333" s="20"/>
      <c r="B333" s="20"/>
    </row>
    <row r="334" spans="1:2">
      <c r="A334" s="20"/>
      <c r="B334" s="20"/>
    </row>
    <row r="335" spans="1:2">
      <c r="A335" s="20"/>
      <c r="B335" s="20"/>
    </row>
    <row r="336" spans="1:2">
      <c r="A336" s="20"/>
      <c r="B336" s="20"/>
    </row>
    <row r="337" spans="1:2">
      <c r="A337" s="20"/>
      <c r="B337" s="20"/>
    </row>
    <row r="338" spans="1:2">
      <c r="A338" s="20"/>
      <c r="B338" s="20"/>
    </row>
    <row r="339" spans="1:2">
      <c r="A339" s="20"/>
      <c r="B339" s="20"/>
    </row>
    <row r="340" spans="1:2">
      <c r="A340" s="20"/>
      <c r="B340" s="20"/>
    </row>
    <row r="341" spans="1:2">
      <c r="A341" s="20"/>
      <c r="B341" s="20"/>
    </row>
    <row r="342" spans="1:2">
      <c r="A342" s="20"/>
      <c r="B342" s="20"/>
    </row>
    <row r="343" spans="1:2">
      <c r="A343" s="20"/>
      <c r="B343" s="20"/>
    </row>
    <row r="344" spans="1:2">
      <c r="A344" s="20"/>
      <c r="B344" s="20"/>
    </row>
    <row r="345" spans="1:2">
      <c r="A345" s="20"/>
      <c r="B345" s="20"/>
    </row>
    <row r="346" spans="1:2">
      <c r="A346" s="20"/>
      <c r="B346" s="20"/>
    </row>
    <row r="347" spans="1:2">
      <c r="A347" s="20"/>
      <c r="B347" s="20"/>
    </row>
    <row r="348" spans="1:2">
      <c r="A348" s="20"/>
      <c r="B348" s="20"/>
    </row>
    <row r="349" spans="1:2">
      <c r="A349" s="20"/>
      <c r="B349" s="20"/>
    </row>
    <row r="350" spans="1:2">
      <c r="A350" s="20"/>
      <c r="B350" s="20"/>
    </row>
    <row r="351" spans="1:2">
      <c r="A351" s="20"/>
      <c r="B351" s="20"/>
    </row>
    <row r="352" spans="1:2">
      <c r="A352" s="20"/>
      <c r="B352" s="20"/>
    </row>
    <row r="353" spans="1:2">
      <c r="A353" s="20"/>
      <c r="B353" s="20"/>
    </row>
    <row r="354" spans="1:2">
      <c r="A354" s="20"/>
      <c r="B354" s="20"/>
    </row>
    <row r="355" spans="1:2">
      <c r="A355" s="20"/>
      <c r="B355" s="20"/>
    </row>
    <row r="356" spans="1:2">
      <c r="A356" s="20"/>
      <c r="B356" s="20"/>
    </row>
    <row r="357" spans="1:2">
      <c r="A357" s="20"/>
      <c r="B357" s="20"/>
    </row>
    <row r="358" spans="1:2">
      <c r="A358" s="20"/>
      <c r="B358" s="20"/>
    </row>
    <row r="359" spans="1:2">
      <c r="A359" s="20"/>
      <c r="B359" s="20"/>
    </row>
    <row r="360" spans="1:2">
      <c r="A360" s="20"/>
      <c r="B360" s="20"/>
    </row>
    <row r="361" spans="1:2">
      <c r="A361" s="20"/>
      <c r="B361" s="20"/>
    </row>
    <row r="362" spans="1:2">
      <c r="A362" s="20"/>
      <c r="B362" s="20"/>
    </row>
    <row r="363" spans="1:2">
      <c r="A363" s="20"/>
      <c r="B363" s="20"/>
    </row>
    <row r="364" spans="1:2">
      <c r="A364" s="20"/>
      <c r="B364" s="20"/>
    </row>
    <row r="365" spans="1:2">
      <c r="A365" s="20"/>
      <c r="B365" s="20"/>
    </row>
    <row r="366" spans="1:2">
      <c r="A366" s="20"/>
      <c r="B366" s="20"/>
    </row>
    <row r="367" spans="1:2">
      <c r="A367" s="20"/>
      <c r="B367" s="20"/>
    </row>
    <row r="368" spans="1:2">
      <c r="A368" s="20"/>
      <c r="B368" s="20"/>
    </row>
    <row r="369" spans="1:2">
      <c r="A369" s="20"/>
      <c r="B369" s="20"/>
    </row>
    <row r="370" spans="1:2">
      <c r="A370" s="20"/>
      <c r="B370" s="20"/>
    </row>
    <row r="371" spans="1:2">
      <c r="A371" s="20"/>
      <c r="B371" s="20"/>
    </row>
    <row r="372" spans="1:2">
      <c r="A372" s="20"/>
      <c r="B372" s="20"/>
    </row>
    <row r="373" spans="1:2">
      <c r="A373" s="20"/>
      <c r="B373" s="20"/>
    </row>
    <row r="374" spans="1:2">
      <c r="A374" s="20"/>
      <c r="B374" s="20"/>
    </row>
    <row r="375" spans="1:2">
      <c r="A375" s="20"/>
      <c r="B375" s="20"/>
    </row>
    <row r="376" spans="1:2">
      <c r="A376" s="20"/>
      <c r="B376" s="20"/>
    </row>
    <row r="377" spans="1:2">
      <c r="A377" s="20"/>
      <c r="B377" s="20"/>
    </row>
    <row r="378" spans="1:2">
      <c r="A378" s="20"/>
      <c r="B378" s="20"/>
    </row>
    <row r="379" spans="1:2">
      <c r="A379" s="20"/>
      <c r="B379" s="20"/>
    </row>
    <row r="380" spans="1:2">
      <c r="A380" s="20"/>
      <c r="B380" s="20"/>
    </row>
    <row r="381" spans="1:2">
      <c r="A381" s="20"/>
      <c r="B381" s="20"/>
    </row>
    <row r="382" spans="1:2">
      <c r="A382" s="20"/>
      <c r="B382" s="20"/>
    </row>
    <row r="383" spans="1:2">
      <c r="A383" s="20"/>
      <c r="B383" s="20"/>
    </row>
    <row r="384" spans="1:2">
      <c r="A384" s="20"/>
      <c r="B384" s="20"/>
    </row>
    <row r="385" spans="1:2">
      <c r="A385" s="20"/>
      <c r="B385" s="20"/>
    </row>
    <row r="386" spans="1:2">
      <c r="A386" s="20"/>
      <c r="B386" s="20"/>
    </row>
    <row r="387" spans="1:2">
      <c r="A387" s="20"/>
      <c r="B387" s="20"/>
    </row>
    <row r="388" spans="1:2">
      <c r="A388" s="20"/>
      <c r="B388" s="20"/>
    </row>
    <row r="389" spans="1:2">
      <c r="A389" s="20"/>
      <c r="B389" s="20"/>
    </row>
    <row r="390" spans="1:2">
      <c r="A390" s="20"/>
      <c r="B390" s="20"/>
    </row>
    <row r="391" spans="1:2">
      <c r="A391" s="20"/>
      <c r="B391" s="20"/>
    </row>
    <row r="392" spans="1:2">
      <c r="A392" s="20"/>
      <c r="B392" s="20"/>
    </row>
    <row r="393" spans="1:2">
      <c r="A393" s="20"/>
      <c r="B393" s="20"/>
    </row>
    <row r="394" spans="1:2">
      <c r="A394" s="20"/>
      <c r="B394" s="20"/>
    </row>
    <row r="395" spans="1:2">
      <c r="A395" s="20"/>
      <c r="B395" s="20"/>
    </row>
    <row r="396" spans="1:2">
      <c r="A396" s="20"/>
      <c r="B396" s="20"/>
    </row>
    <row r="397" spans="1:2">
      <c r="A397" s="20"/>
      <c r="B397" s="20"/>
    </row>
    <row r="398" spans="1:2">
      <c r="A398" s="20"/>
      <c r="B398" s="20"/>
    </row>
    <row r="399" spans="1:2">
      <c r="A399" s="20"/>
      <c r="B399" s="20"/>
    </row>
    <row r="400" spans="1:2">
      <c r="A400" s="20"/>
      <c r="B400" s="20"/>
    </row>
    <row r="401" spans="1:2">
      <c r="A401" s="20"/>
      <c r="B401" s="20"/>
    </row>
    <row r="402" spans="1:2">
      <c r="A402" s="20"/>
      <c r="B402" s="20"/>
    </row>
    <row r="403" spans="1:2">
      <c r="A403" s="20"/>
      <c r="B403" s="20"/>
    </row>
    <row r="404" spans="1:2">
      <c r="A404" s="20"/>
      <c r="B404" s="20"/>
    </row>
    <row r="405" spans="1:2">
      <c r="A405" s="20"/>
      <c r="B405" s="20"/>
    </row>
    <row r="406" spans="1:2">
      <c r="A406" s="20"/>
      <c r="B406" s="20"/>
    </row>
    <row r="407" spans="1:2">
      <c r="A407" s="20"/>
      <c r="B407" s="20"/>
    </row>
    <row r="408" spans="1:2">
      <c r="A408" s="20"/>
      <c r="B408" s="20"/>
    </row>
    <row r="409" spans="1:2">
      <c r="A409" s="20"/>
      <c r="B409" s="20"/>
    </row>
    <row r="410" spans="1:2">
      <c r="A410" s="20"/>
      <c r="B410" s="20"/>
    </row>
    <row r="411" spans="1:2">
      <c r="A411" s="20"/>
      <c r="B411" s="20"/>
    </row>
    <row r="412" spans="1:2">
      <c r="A412" s="20"/>
      <c r="B412" s="20"/>
    </row>
    <row r="413" spans="1:2">
      <c r="A413" s="20"/>
      <c r="B413" s="20"/>
    </row>
    <row r="414" spans="1:2">
      <c r="A414" s="20"/>
      <c r="B414" s="20"/>
    </row>
    <row r="415" spans="1:2">
      <c r="A415" s="20"/>
      <c r="B415" s="20"/>
    </row>
    <row r="416" spans="1:2">
      <c r="A416" s="20"/>
      <c r="B416" s="20"/>
    </row>
    <row r="417" spans="1:2">
      <c r="A417" s="20"/>
      <c r="B417" s="20"/>
    </row>
    <row r="418" spans="1:2">
      <c r="A418" s="20"/>
      <c r="B418" s="20"/>
    </row>
    <row r="419" spans="1:2">
      <c r="A419" s="20"/>
      <c r="B419" s="20"/>
    </row>
    <row r="420" spans="1:2">
      <c r="A420" s="20"/>
      <c r="B420" s="20"/>
    </row>
    <row r="421" spans="1:2">
      <c r="A421" s="20"/>
      <c r="B421" s="20"/>
    </row>
    <row r="422" spans="1:2">
      <c r="A422" s="20"/>
      <c r="B422" s="20"/>
    </row>
    <row r="423" spans="1:2">
      <c r="A423" s="20"/>
      <c r="B423" s="20"/>
    </row>
    <row r="424" spans="1:2">
      <c r="A424" s="20"/>
      <c r="B424" s="20"/>
    </row>
    <row r="425" spans="1:2">
      <c r="A425" s="20"/>
      <c r="B425" s="20"/>
    </row>
    <row r="426" spans="1:2">
      <c r="A426" s="20"/>
      <c r="B426" s="20"/>
    </row>
    <row r="427" spans="1:2">
      <c r="A427" s="20"/>
      <c r="B427" s="20"/>
    </row>
    <row r="428" spans="1:2">
      <c r="A428" s="20"/>
      <c r="B428" s="20"/>
    </row>
    <row r="429" spans="1:2">
      <c r="A429" s="20"/>
      <c r="B429" s="20"/>
    </row>
    <row r="430" spans="1:2">
      <c r="A430" s="20"/>
      <c r="B430" s="20"/>
    </row>
    <row r="431" spans="1:2">
      <c r="A431" s="20"/>
      <c r="B431" s="20"/>
    </row>
    <row r="432" spans="1:2">
      <c r="A432" s="2"/>
      <c r="B432" s="2"/>
    </row>
    <row r="433" spans="1:2">
      <c r="A433" s="2"/>
      <c r="B433" s="2"/>
    </row>
    <row r="434" spans="1:2">
      <c r="A434" s="2"/>
      <c r="B434" s="2"/>
    </row>
    <row r="435" spans="1:2">
      <c r="A435" s="2"/>
      <c r="B435" s="2"/>
    </row>
    <row r="436" spans="1:2">
      <c r="A436" s="2"/>
      <c r="B436" s="2"/>
    </row>
    <row r="437" spans="1:2">
      <c r="A437" s="2"/>
      <c r="B437" s="2"/>
    </row>
    <row r="438" spans="1:2">
      <c r="A438" s="2"/>
      <c r="B438" s="2"/>
    </row>
    <row r="439" spans="1:2">
      <c r="A439" s="2"/>
      <c r="B439" s="2"/>
    </row>
    <row r="440" spans="1:2">
      <c r="A440" s="2"/>
      <c r="B440" s="2"/>
    </row>
    <row r="441" spans="1:2">
      <c r="A441" s="2"/>
      <c r="B441" s="2"/>
    </row>
    <row r="442" spans="1:2">
      <c r="A442" s="2"/>
      <c r="B442" s="2"/>
    </row>
    <row r="443" spans="1:2">
      <c r="A443" s="2"/>
      <c r="B443" s="2"/>
    </row>
    <row r="444" spans="1:2">
      <c r="A444" s="2"/>
      <c r="B444" s="2"/>
    </row>
    <row r="445" spans="1:2">
      <c r="A445" s="2"/>
      <c r="B445" s="2"/>
    </row>
    <row r="446" spans="1:2">
      <c r="A446" s="2"/>
      <c r="B446" s="2"/>
    </row>
    <row r="447" spans="1:2">
      <c r="A447" s="2"/>
      <c r="B447" s="2"/>
    </row>
    <row r="448" spans="1:2">
      <c r="A448" s="2"/>
      <c r="B448" s="2"/>
    </row>
    <row r="449" spans="1:2">
      <c r="A449" s="2"/>
      <c r="B449" s="2"/>
    </row>
    <row r="450" spans="1:2">
      <c r="A450" s="2"/>
      <c r="B450" s="2"/>
    </row>
    <row r="451" spans="1:2">
      <c r="A451" s="2"/>
      <c r="B451" s="2"/>
    </row>
    <row r="452" spans="1:2">
      <c r="A452" s="2"/>
      <c r="B452" s="2"/>
    </row>
    <row r="453" spans="1:2">
      <c r="A453" s="2"/>
      <c r="B453" s="2"/>
    </row>
    <row r="454" spans="1:2">
      <c r="A454" s="2"/>
      <c r="B454" s="2"/>
    </row>
    <row r="455" spans="1:2">
      <c r="A455" s="2"/>
      <c r="B455" s="2"/>
    </row>
    <row r="456" spans="1:2">
      <c r="A456" s="2"/>
      <c r="B456" s="2"/>
    </row>
    <row r="457" spans="1:2">
      <c r="A457" s="2"/>
      <c r="B457" s="2"/>
    </row>
    <row r="458" spans="1:2">
      <c r="A458" s="2"/>
      <c r="B458" s="2"/>
    </row>
    <row r="459" spans="1:2">
      <c r="A459" s="2"/>
      <c r="B459" s="2"/>
    </row>
    <row r="460" spans="1:2">
      <c r="A460" s="2"/>
      <c r="B460" s="2"/>
    </row>
    <row r="461" spans="1:2">
      <c r="A461" s="2"/>
      <c r="B461" s="2"/>
    </row>
    <row r="462" spans="1:2">
      <c r="A462" s="2"/>
      <c r="B462" s="2"/>
    </row>
    <row r="463" spans="1:2">
      <c r="A463" s="2"/>
      <c r="B463" s="2"/>
    </row>
    <row r="464" spans="1:2">
      <c r="A464" s="2"/>
      <c r="B464" s="2"/>
    </row>
    <row r="465" spans="1:2">
      <c r="A465" s="2"/>
      <c r="B465" s="2"/>
    </row>
    <row r="466" spans="1:2">
      <c r="A466" s="2"/>
      <c r="B466" s="2"/>
    </row>
    <row r="467" spans="1:2">
      <c r="A467" s="2"/>
      <c r="B467" s="2"/>
    </row>
    <row r="468" spans="1:2">
      <c r="A468" s="2"/>
      <c r="B468" s="2"/>
    </row>
    <row r="469" spans="1:2">
      <c r="A469" s="2"/>
      <c r="B469" s="2"/>
    </row>
    <row r="470" spans="1:2">
      <c r="A470" s="2"/>
      <c r="B470" s="2"/>
    </row>
    <row r="471" spans="1:2">
      <c r="A471" s="2"/>
      <c r="B471" s="2"/>
    </row>
    <row r="472" spans="1:2">
      <c r="A472" s="2"/>
      <c r="B472" s="2"/>
    </row>
    <row r="473" spans="1:2">
      <c r="A473" s="2"/>
      <c r="B473" s="2"/>
    </row>
    <row r="474" spans="1:2">
      <c r="A474" s="2"/>
      <c r="B474" s="2"/>
    </row>
    <row r="475" spans="1:2">
      <c r="A475" s="2"/>
      <c r="B475" s="2"/>
    </row>
    <row r="476" spans="1:2">
      <c r="A476" s="2"/>
      <c r="B476" s="2"/>
    </row>
    <row r="477" spans="1:2">
      <c r="A477" s="2"/>
      <c r="B477" s="2"/>
    </row>
    <row r="478" spans="1:2">
      <c r="A478" s="2"/>
      <c r="B478" s="2"/>
    </row>
    <row r="479" spans="1:2">
      <c r="A479" s="2"/>
      <c r="B479" s="2"/>
    </row>
    <row r="480" spans="1:2">
      <c r="A480" s="2"/>
      <c r="B480" s="2"/>
    </row>
    <row r="481" spans="1:2">
      <c r="A481" s="2"/>
      <c r="B481" s="2"/>
    </row>
    <row r="482" spans="1:2">
      <c r="A482" s="2"/>
      <c r="B482" s="2"/>
    </row>
    <row r="483" spans="1:2">
      <c r="A483" s="2"/>
      <c r="B483" s="2"/>
    </row>
    <row r="484" spans="1:2">
      <c r="A484" s="2"/>
      <c r="B484" s="2"/>
    </row>
    <row r="485" spans="1:2">
      <c r="A485" s="2"/>
      <c r="B485" s="2"/>
    </row>
    <row r="486" spans="1:2">
      <c r="A486" s="2"/>
      <c r="B486" s="2"/>
    </row>
    <row r="487" spans="1:2">
      <c r="A487" s="2"/>
      <c r="B487" s="2"/>
    </row>
    <row r="488" spans="1:2">
      <c r="A488" s="2"/>
      <c r="B488" s="2"/>
    </row>
    <row r="489" spans="1:2">
      <c r="A489" s="2"/>
      <c r="B489" s="2"/>
    </row>
    <row r="490" spans="1:2">
      <c r="A490" s="2"/>
      <c r="B490" s="2"/>
    </row>
    <row r="491" spans="1:2">
      <c r="A491" s="2"/>
      <c r="B491" s="2"/>
    </row>
    <row r="492" spans="1:2">
      <c r="A492" s="2"/>
      <c r="B492" s="2"/>
    </row>
    <row r="493" spans="1:2">
      <c r="A493" s="2"/>
      <c r="B493" s="2"/>
    </row>
    <row r="494" spans="1:2">
      <c r="A494" s="2"/>
      <c r="B494" s="2"/>
    </row>
    <row r="495" spans="1:2">
      <c r="A495" s="2"/>
      <c r="B495" s="2"/>
    </row>
    <row r="496" spans="1:2">
      <c r="A496" s="2"/>
      <c r="B496" s="2"/>
    </row>
    <row r="497" spans="1:2">
      <c r="A497" s="2"/>
      <c r="B497" s="2"/>
    </row>
    <row r="498" spans="1:2">
      <c r="A498" s="2"/>
      <c r="B498" s="2"/>
    </row>
    <row r="499" spans="1:2">
      <c r="A499" s="2"/>
      <c r="B499" s="2"/>
    </row>
    <row r="500" spans="1:2">
      <c r="A500" s="2"/>
      <c r="B500" s="2"/>
    </row>
    <row r="501" spans="1:2">
      <c r="A501" s="2"/>
      <c r="B501" s="2"/>
    </row>
    <row r="502" spans="1:2">
      <c r="A502" s="2"/>
      <c r="B502" s="2"/>
    </row>
    <row r="503" spans="1:2">
      <c r="A503" s="2"/>
      <c r="B503" s="2"/>
    </row>
    <row r="504" spans="1:2">
      <c r="A504" s="2"/>
      <c r="B504" s="2"/>
    </row>
    <row r="505" spans="1:2">
      <c r="A505" s="2"/>
      <c r="B505" s="2"/>
    </row>
    <row r="506" spans="1:2">
      <c r="A506" s="2"/>
      <c r="B506" s="2"/>
    </row>
    <row r="507" spans="1:2">
      <c r="A507" s="2"/>
      <c r="B507" s="2"/>
    </row>
    <row r="508" spans="1:2">
      <c r="A508" s="2"/>
      <c r="B508" s="2"/>
    </row>
    <row r="509" spans="1:2">
      <c r="A509" s="2"/>
      <c r="B509" s="2"/>
    </row>
    <row r="510" spans="1:2">
      <c r="A510" s="2"/>
      <c r="B510" s="2"/>
    </row>
    <row r="511" spans="1:2">
      <c r="A511" s="2"/>
      <c r="B511" s="2"/>
    </row>
    <row r="512" spans="1:2">
      <c r="A512" s="2"/>
      <c r="B512" s="2"/>
    </row>
    <row r="513" spans="1:2">
      <c r="A513" s="2"/>
      <c r="B513" s="2"/>
    </row>
    <row r="514" spans="1:2">
      <c r="A514" s="2"/>
      <c r="B514" s="2"/>
    </row>
    <row r="515" spans="1:2">
      <c r="A515" s="2"/>
      <c r="B515" s="2"/>
    </row>
    <row r="516" spans="1:2">
      <c r="A516" s="2"/>
      <c r="B516" s="2"/>
    </row>
    <row r="517" spans="1:2">
      <c r="A517" s="2"/>
      <c r="B517" s="2"/>
    </row>
    <row r="518" spans="1:2">
      <c r="A518" s="2"/>
      <c r="B518" s="2"/>
    </row>
    <row r="519" spans="1:2">
      <c r="A519" s="2"/>
      <c r="B519" s="2"/>
    </row>
    <row r="520" spans="1:2">
      <c r="A520" s="2"/>
      <c r="B520" s="2"/>
    </row>
    <row r="521" spans="1:2">
      <c r="A521" s="2"/>
      <c r="B521" s="2"/>
    </row>
    <row r="522" spans="1:2">
      <c r="A522" s="2"/>
      <c r="B522" s="2"/>
    </row>
    <row r="523" spans="1:2">
      <c r="A523" s="2"/>
      <c r="B523" s="2"/>
    </row>
    <row r="524" spans="1:2">
      <c r="A524" s="2"/>
      <c r="B524" s="2"/>
    </row>
    <row r="525" spans="1:2">
      <c r="A525" s="2"/>
      <c r="B525" s="2"/>
    </row>
    <row r="526" spans="1:2">
      <c r="A526" s="2"/>
      <c r="B526" s="2"/>
    </row>
    <row r="527" spans="1:2">
      <c r="A527" s="2"/>
      <c r="B527" s="2"/>
    </row>
    <row r="528" spans="1:2">
      <c r="A528" s="2"/>
      <c r="B528" s="2"/>
    </row>
    <row r="529" spans="1:2">
      <c r="A529" s="2"/>
      <c r="B529" s="2"/>
    </row>
    <row r="530" spans="1:2">
      <c r="A530" s="2"/>
      <c r="B530" s="2"/>
    </row>
    <row r="531" spans="1:2">
      <c r="A531" s="2"/>
      <c r="B531" s="2"/>
    </row>
    <row r="532" spans="1:2">
      <c r="A532" s="2"/>
      <c r="B532" s="2"/>
    </row>
    <row r="533" spans="1:2">
      <c r="A533" s="2"/>
      <c r="B533" s="2"/>
    </row>
    <row r="534" spans="1:2">
      <c r="A534" s="2"/>
      <c r="B534" s="2"/>
    </row>
    <row r="535" spans="1:2">
      <c r="A535" s="2"/>
      <c r="B535" s="2"/>
    </row>
    <row r="536" spans="1:2">
      <c r="A536" s="2"/>
      <c r="B536" s="2"/>
    </row>
    <row r="537" spans="1:2">
      <c r="A537" s="2"/>
      <c r="B537" s="2"/>
    </row>
    <row r="538" spans="1:2">
      <c r="A538" s="2"/>
      <c r="B538" s="2"/>
    </row>
    <row r="539" spans="1:2">
      <c r="A539" s="2"/>
      <c r="B539" s="2"/>
    </row>
    <row r="540" spans="1:2">
      <c r="A540" s="2"/>
      <c r="B540" s="2"/>
    </row>
    <row r="541" spans="1:2">
      <c r="A541" s="2"/>
      <c r="B541" s="2"/>
    </row>
    <row r="542" spans="1:2">
      <c r="A542" s="2"/>
      <c r="B542" s="2"/>
    </row>
    <row r="543" spans="1:2">
      <c r="A543" s="2"/>
      <c r="B543" s="2"/>
    </row>
    <row r="544" spans="1:2">
      <c r="A544" s="2"/>
      <c r="B544" s="2"/>
    </row>
    <row r="545" spans="1:2">
      <c r="A545" s="2"/>
      <c r="B545" s="2"/>
    </row>
    <row r="546" spans="1:2">
      <c r="A546" s="2"/>
      <c r="B546" s="2"/>
    </row>
    <row r="547" spans="1:2">
      <c r="A547" s="2"/>
      <c r="B547" s="2"/>
    </row>
    <row r="548" spans="1:2">
      <c r="A548" s="2"/>
      <c r="B548" s="2"/>
    </row>
    <row r="549" spans="1:2">
      <c r="A549" s="2"/>
      <c r="B549" s="2"/>
    </row>
    <row r="550" spans="1:2">
      <c r="A550" s="2"/>
      <c r="B550" s="2"/>
    </row>
    <row r="551" spans="1:2">
      <c r="A551" s="2"/>
      <c r="B551" s="2"/>
    </row>
    <row r="552" spans="1:2">
      <c r="A552" s="2"/>
      <c r="B552" s="2"/>
    </row>
    <row r="553" spans="1:2">
      <c r="A553" s="2"/>
      <c r="B553" s="2"/>
    </row>
    <row r="554" spans="1:2">
      <c r="A554" s="2"/>
      <c r="B554" s="2"/>
    </row>
    <row r="555" spans="1:2">
      <c r="A555" s="2"/>
      <c r="B555" s="2"/>
    </row>
    <row r="556" spans="1:2">
      <c r="A556" s="2"/>
      <c r="B556" s="2"/>
    </row>
    <row r="557" spans="1:2">
      <c r="A557" s="2"/>
      <c r="B557" s="2"/>
    </row>
    <row r="558" spans="1:2">
      <c r="A558" s="2"/>
      <c r="B558" s="2"/>
    </row>
    <row r="559" spans="1:2">
      <c r="A559" s="2"/>
      <c r="B559" s="2"/>
    </row>
    <row r="560" spans="1:2">
      <c r="A560" s="2"/>
      <c r="B560" s="2"/>
    </row>
    <row r="561" spans="1:2">
      <c r="A561" s="2"/>
      <c r="B561" s="2"/>
    </row>
    <row r="562" spans="1:2">
      <c r="A562" s="2"/>
      <c r="B562" s="2"/>
    </row>
    <row r="563" spans="1:2">
      <c r="A563" s="2"/>
      <c r="B563" s="2"/>
    </row>
    <row r="564" spans="1:2">
      <c r="A564" s="2"/>
      <c r="B564" s="2"/>
    </row>
    <row r="565" spans="1:2">
      <c r="A565" s="2"/>
      <c r="B565" s="2"/>
    </row>
    <row r="566" spans="1:2">
      <c r="A566" s="2"/>
      <c r="B566" s="2"/>
    </row>
    <row r="567" spans="1:2">
      <c r="A567" s="2"/>
      <c r="B567" s="2"/>
    </row>
    <row r="568" spans="1:2">
      <c r="A568" s="2"/>
      <c r="B568" s="2"/>
    </row>
    <row r="569" spans="1:2">
      <c r="A569" s="2"/>
      <c r="B569" s="2"/>
    </row>
    <row r="570" spans="1:2">
      <c r="A570" s="2"/>
      <c r="B570" s="2"/>
    </row>
    <row r="571" spans="1:2">
      <c r="A571" s="2"/>
      <c r="B571" s="2"/>
    </row>
    <row r="572" spans="1:2">
      <c r="A572" s="2"/>
      <c r="B572" s="2"/>
    </row>
    <row r="573" spans="1:2">
      <c r="A573" s="2"/>
      <c r="B573" s="2"/>
    </row>
    <row r="574" spans="1:2">
      <c r="A574" s="2"/>
      <c r="B574" s="2"/>
    </row>
    <row r="575" spans="1:2">
      <c r="A575" s="2"/>
      <c r="B575" s="2"/>
    </row>
    <row r="576" spans="1:2">
      <c r="A576" s="2"/>
      <c r="B576" s="2"/>
    </row>
    <row r="577" spans="1:2">
      <c r="A577" s="2"/>
      <c r="B577" s="2"/>
    </row>
    <row r="578" spans="1:2">
      <c r="A578" s="2"/>
      <c r="B578" s="2"/>
    </row>
    <row r="579" spans="1:2">
      <c r="A579" s="2"/>
      <c r="B579" s="2"/>
    </row>
    <row r="580" spans="1:2">
      <c r="A580" s="2"/>
      <c r="B580" s="2"/>
    </row>
    <row r="581" spans="1:2">
      <c r="A581" s="2"/>
      <c r="B581" s="2"/>
    </row>
    <row r="582" spans="1:2">
      <c r="A582" s="2"/>
      <c r="B582" s="2"/>
    </row>
    <row r="583" spans="1:2">
      <c r="A583" s="2"/>
      <c r="B583" s="2"/>
    </row>
    <row r="584" spans="1:2">
      <c r="A584" s="2"/>
      <c r="B584" s="2"/>
    </row>
    <row r="585" spans="1:2">
      <c r="A585" s="2"/>
      <c r="B585" s="2"/>
    </row>
    <row r="586" spans="1:2">
      <c r="A586" s="2"/>
      <c r="B586" s="2"/>
    </row>
    <row r="587" spans="1:2">
      <c r="A587" s="2"/>
      <c r="B587" s="2"/>
    </row>
    <row r="588" spans="1:2">
      <c r="A588" s="2"/>
      <c r="B588" s="2"/>
    </row>
    <row r="589" spans="1:2">
      <c r="A589" s="2"/>
      <c r="B589" s="2"/>
    </row>
    <row r="590" spans="1:2">
      <c r="A590" s="2"/>
      <c r="B590" s="2"/>
    </row>
    <row r="591" spans="1:2">
      <c r="A591" s="2"/>
      <c r="B591" s="2"/>
    </row>
    <row r="592" spans="1:2">
      <c r="A592" s="2"/>
      <c r="B592" s="2"/>
    </row>
    <row r="593" spans="1:2">
      <c r="A593" s="2"/>
      <c r="B593" s="2"/>
    </row>
    <row r="594" spans="1:2">
      <c r="A594" s="2"/>
      <c r="B594" s="2"/>
    </row>
    <row r="595" spans="1:2">
      <c r="A595" s="2"/>
      <c r="B595" s="2"/>
    </row>
    <row r="596" spans="1:2">
      <c r="A596" s="2"/>
      <c r="B596" s="2"/>
    </row>
    <row r="597" spans="1:2">
      <c r="A597" s="2"/>
      <c r="B597" s="2"/>
    </row>
    <row r="598" spans="1:2">
      <c r="A598" s="2"/>
      <c r="B598" s="2"/>
    </row>
    <row r="599" spans="1:2">
      <c r="A599" s="2"/>
      <c r="B599" s="2"/>
    </row>
    <row r="600" spans="1:2">
      <c r="A600" s="2"/>
      <c r="B600" s="2"/>
    </row>
    <row r="601" spans="1:2">
      <c r="A601" s="2"/>
      <c r="B601" s="2"/>
    </row>
    <row r="602" spans="1:2">
      <c r="A602" s="2"/>
      <c r="B602" s="2"/>
    </row>
    <row r="603" spans="1:2">
      <c r="A603" s="2"/>
      <c r="B603" s="2"/>
    </row>
    <row r="604" spans="1:2">
      <c r="A604" s="2"/>
      <c r="B604" s="2"/>
    </row>
    <row r="605" spans="1:2">
      <c r="A605" s="2"/>
      <c r="B605" s="2"/>
    </row>
    <row r="606" spans="1:2">
      <c r="A606" s="2"/>
      <c r="B606" s="2"/>
    </row>
    <row r="607" spans="1:2">
      <c r="A607" s="2"/>
      <c r="B607" s="2"/>
    </row>
    <row r="608" spans="1:2">
      <c r="A608" s="2"/>
      <c r="B608" s="2"/>
    </row>
    <row r="609" spans="1:2">
      <c r="A609" s="2"/>
      <c r="B609" s="2"/>
    </row>
    <row r="610" spans="1:2">
      <c r="A610" s="2"/>
      <c r="B610" s="2"/>
    </row>
    <row r="611" spans="1:2">
      <c r="A611" s="2"/>
      <c r="B611" s="2"/>
    </row>
    <row r="612" spans="1:2">
      <c r="A612" s="2"/>
      <c r="B612" s="2"/>
    </row>
    <row r="613" spans="1:2">
      <c r="A613" s="2"/>
      <c r="B613" s="2"/>
    </row>
    <row r="614" spans="1:2">
      <c r="A614" s="2"/>
      <c r="B614" s="2"/>
    </row>
    <row r="615" spans="1:2">
      <c r="A615" s="2"/>
      <c r="B615" s="2"/>
    </row>
    <row r="616" spans="1:2">
      <c r="A616" s="2"/>
      <c r="B616" s="2"/>
    </row>
    <row r="617" spans="1:2">
      <c r="A617" s="2"/>
      <c r="B617" s="2"/>
    </row>
    <row r="618" spans="1:2">
      <c r="A618" s="2"/>
      <c r="B618" s="2"/>
    </row>
    <row r="619" spans="1:2">
      <c r="A619" s="2"/>
      <c r="B619" s="2"/>
    </row>
    <row r="620" spans="1:2">
      <c r="A620" s="2"/>
      <c r="B620" s="2"/>
    </row>
    <row r="621" spans="1:2">
      <c r="A621" s="2"/>
      <c r="B621" s="2"/>
    </row>
    <row r="622" spans="1:2">
      <c r="A622" s="2"/>
      <c r="B622" s="2"/>
    </row>
    <row r="623" spans="1:2">
      <c r="A623" s="2"/>
      <c r="B623" s="2"/>
    </row>
    <row r="624" spans="1:2">
      <c r="A624" s="2"/>
      <c r="B624" s="2"/>
    </row>
    <row r="625" spans="1:2">
      <c r="A625" s="2"/>
      <c r="B625" s="2"/>
    </row>
    <row r="626" spans="1:2">
      <c r="A626" s="2"/>
      <c r="B626" s="2"/>
    </row>
    <row r="627" spans="1:2">
      <c r="A627" s="2"/>
      <c r="B627" s="2"/>
    </row>
    <row r="628" spans="1:2">
      <c r="A628" s="2"/>
      <c r="B628" s="2"/>
    </row>
    <row r="629" spans="1:2">
      <c r="A629" s="2"/>
      <c r="B629" s="2"/>
    </row>
    <row r="630" spans="1:2">
      <c r="A630" s="2"/>
      <c r="B630" s="2"/>
    </row>
    <row r="631" spans="1:2">
      <c r="A631" s="2"/>
      <c r="B631" s="2"/>
    </row>
    <row r="632" spans="1:2">
      <c r="A632" s="2"/>
      <c r="B632" s="2"/>
    </row>
    <row r="633" spans="1:2">
      <c r="A633" s="2"/>
      <c r="B633" s="2"/>
    </row>
    <row r="634" spans="1:2">
      <c r="A634" s="2"/>
      <c r="B634" s="2"/>
    </row>
    <row r="635" spans="1:2">
      <c r="A635" s="2"/>
      <c r="B635" s="2"/>
    </row>
    <row r="636" spans="1:2">
      <c r="A636" s="2"/>
      <c r="B636" s="2"/>
    </row>
    <row r="637" spans="1:2">
      <c r="A637" s="2"/>
      <c r="B637" s="2"/>
    </row>
    <row r="638" spans="1:2">
      <c r="A638" s="2"/>
      <c r="B638" s="2"/>
    </row>
    <row r="639" spans="1:2">
      <c r="A639" s="2"/>
      <c r="B639" s="2"/>
    </row>
    <row r="640" spans="1:2">
      <c r="A640" s="2"/>
      <c r="B640" s="2"/>
    </row>
    <row r="641" spans="1:2">
      <c r="A641" s="2"/>
      <c r="B641" s="2"/>
    </row>
    <row r="642" spans="1:2">
      <c r="A642" s="2"/>
      <c r="B642" s="2"/>
    </row>
    <row r="643" spans="1:2">
      <c r="A643" s="2"/>
      <c r="B643" s="2"/>
    </row>
    <row r="644" spans="1:2">
      <c r="A644" s="2"/>
      <c r="B644" s="2"/>
    </row>
    <row r="645" spans="1:2">
      <c r="A645" s="2"/>
      <c r="B645" s="2"/>
    </row>
    <row r="646" spans="1:2">
      <c r="A646" s="2"/>
      <c r="B646" s="2"/>
    </row>
    <row r="647" spans="1:2">
      <c r="A647" s="2"/>
      <c r="B647" s="2"/>
    </row>
    <row r="648" spans="1:2">
      <c r="A648" s="2"/>
      <c r="B648" s="2"/>
    </row>
    <row r="649" spans="1:2">
      <c r="A649" s="2"/>
      <c r="B649" s="2"/>
    </row>
    <row r="650" spans="1:2">
      <c r="A650" s="2"/>
      <c r="B650" s="2"/>
    </row>
    <row r="651" spans="1:2">
      <c r="A651" s="2"/>
      <c r="B651" s="2"/>
    </row>
    <row r="652" spans="1:2">
      <c r="A652" s="2"/>
      <c r="B652" s="2"/>
    </row>
    <row r="653" spans="1:2">
      <c r="A653" s="2"/>
      <c r="B653" s="2"/>
    </row>
    <row r="654" spans="1:2">
      <c r="A654" s="2"/>
      <c r="B654" s="2"/>
    </row>
    <row r="655" spans="1:2">
      <c r="A655" s="2"/>
      <c r="B655" s="2"/>
    </row>
    <row r="656" spans="1:2">
      <c r="A656" s="2"/>
      <c r="B656" s="2"/>
    </row>
    <row r="657" spans="1:2">
      <c r="A657" s="2"/>
      <c r="B657" s="2"/>
    </row>
    <row r="658" spans="1:2">
      <c r="A658" s="2"/>
      <c r="B658" s="2"/>
    </row>
    <row r="659" spans="1:2">
      <c r="A659" s="2"/>
      <c r="B659" s="2"/>
    </row>
    <row r="660" spans="1:2">
      <c r="A660" s="2"/>
      <c r="B660" s="2"/>
    </row>
    <row r="661" spans="1:2">
      <c r="A661" s="2"/>
      <c r="B661" s="2"/>
    </row>
    <row r="662" spans="1:2">
      <c r="A662" s="2"/>
      <c r="B662" s="2"/>
    </row>
    <row r="663" spans="1:2">
      <c r="A663" s="2"/>
      <c r="B663" s="2"/>
    </row>
    <row r="664" spans="1:2">
      <c r="A664" s="2"/>
      <c r="B664" s="2"/>
    </row>
    <row r="665" spans="1:2">
      <c r="A665" s="2"/>
      <c r="B665" s="2"/>
    </row>
    <row r="666" spans="1:2">
      <c r="A666" s="2"/>
      <c r="B666" s="2"/>
    </row>
    <row r="667" spans="1:2">
      <c r="A667" s="2"/>
      <c r="B667" s="2"/>
    </row>
    <row r="668" spans="1:2">
      <c r="A668" s="2"/>
      <c r="B668" s="2"/>
    </row>
    <row r="669" spans="1:2">
      <c r="A669" s="2"/>
      <c r="B669" s="2"/>
    </row>
    <row r="670" spans="1:2">
      <c r="A670" s="2"/>
      <c r="B670" s="2"/>
    </row>
    <row r="671" spans="1:2">
      <c r="A671" s="2"/>
      <c r="B671" s="2"/>
    </row>
    <row r="672" spans="1:2">
      <c r="A672" s="2"/>
      <c r="B672" s="2"/>
    </row>
    <row r="673" spans="1:2">
      <c r="A673" s="2"/>
      <c r="B673" s="2"/>
    </row>
    <row r="674" spans="1:2">
      <c r="A674" s="2"/>
      <c r="B674" s="2"/>
    </row>
    <row r="675" spans="1:2">
      <c r="A675" s="2"/>
      <c r="B675" s="2"/>
    </row>
    <row r="676" spans="1:2">
      <c r="A676" s="2"/>
      <c r="B676" s="2"/>
    </row>
    <row r="677" spans="1:2">
      <c r="A677" s="2"/>
      <c r="B677" s="2"/>
    </row>
    <row r="678" spans="1:2">
      <c r="A678" s="2"/>
      <c r="B678" s="2"/>
    </row>
    <row r="679" spans="1:2">
      <c r="A679" s="2"/>
      <c r="B679" s="2"/>
    </row>
    <row r="680" spans="1:2">
      <c r="A680" s="2"/>
      <c r="B680" s="2"/>
    </row>
    <row r="681" spans="1:2">
      <c r="A681" s="2"/>
      <c r="B681" s="2"/>
    </row>
    <row r="682" spans="1:2">
      <c r="A682" s="2"/>
      <c r="B682" s="2"/>
    </row>
    <row r="683" spans="1:2">
      <c r="A683" s="2"/>
      <c r="B683" s="2"/>
    </row>
    <row r="684" spans="1:2">
      <c r="A684" s="2"/>
      <c r="B684" s="2"/>
    </row>
    <row r="685" spans="1:2">
      <c r="A685" s="2"/>
      <c r="B685" s="2"/>
    </row>
    <row r="686" spans="1:2">
      <c r="A686" s="2"/>
      <c r="B686" s="2"/>
    </row>
    <row r="687" spans="1:2">
      <c r="A687" s="2"/>
      <c r="B687" s="2"/>
    </row>
    <row r="688" spans="1:2">
      <c r="A688" s="2"/>
      <c r="B688" s="2"/>
    </row>
    <row r="689" spans="1:2">
      <c r="A689" s="2"/>
      <c r="B689" s="2"/>
    </row>
    <row r="690" spans="1:2">
      <c r="A690" s="2"/>
      <c r="B690" s="2"/>
    </row>
    <row r="691" spans="1:2">
      <c r="A691" s="2"/>
      <c r="B691" s="2"/>
    </row>
    <row r="692" spans="1:2">
      <c r="A692" s="2"/>
      <c r="B692" s="2"/>
    </row>
    <row r="693" spans="1:2">
      <c r="A693" s="2"/>
      <c r="B693" s="2"/>
    </row>
    <row r="694" spans="1:2">
      <c r="A694" s="2"/>
      <c r="B694" s="2"/>
    </row>
    <row r="695" spans="1:2">
      <c r="A695" s="2"/>
      <c r="B695" s="2"/>
    </row>
    <row r="696" spans="1:2">
      <c r="A696" s="2"/>
      <c r="B696" s="2"/>
    </row>
    <row r="697" spans="1:2">
      <c r="A697" s="2"/>
      <c r="B697" s="2"/>
    </row>
    <row r="698" spans="1:2">
      <c r="A698" s="2"/>
      <c r="B698" s="2"/>
    </row>
    <row r="699" spans="1:2">
      <c r="A699" s="2"/>
      <c r="B699" s="2"/>
    </row>
    <row r="700" spans="1:2">
      <c r="A700" s="2"/>
      <c r="B700" s="2"/>
    </row>
    <row r="701" spans="1:2">
      <c r="A701" s="2"/>
      <c r="B701" s="2"/>
    </row>
    <row r="702" spans="1:2">
      <c r="A702" s="2"/>
      <c r="B702" s="2"/>
    </row>
    <row r="703" spans="1:2">
      <c r="A703" s="2"/>
      <c r="B703" s="2"/>
    </row>
    <row r="704" spans="1:2">
      <c r="A704" s="2"/>
      <c r="B704" s="2"/>
    </row>
    <row r="705" spans="1:2">
      <c r="A705" s="2"/>
      <c r="B705" s="2"/>
    </row>
    <row r="706" spans="1:2">
      <c r="A706" s="2"/>
      <c r="B706" s="2"/>
    </row>
    <row r="707" spans="1:2">
      <c r="A707" s="2"/>
      <c r="B707" s="2"/>
    </row>
    <row r="708" spans="1:2">
      <c r="A708" s="2"/>
      <c r="B708" s="2"/>
    </row>
    <row r="709" spans="1:2">
      <c r="A709" s="2"/>
      <c r="B709" s="2"/>
    </row>
    <row r="710" spans="1:2">
      <c r="A710" s="2"/>
      <c r="B710" s="2"/>
    </row>
    <row r="711" spans="1:2">
      <c r="A711" s="2"/>
      <c r="B711" s="2"/>
    </row>
    <row r="712" spans="1:2">
      <c r="A712" s="2"/>
      <c r="B712" s="2"/>
    </row>
    <row r="713" spans="1:2">
      <c r="A713" s="2"/>
      <c r="B713" s="2"/>
    </row>
    <row r="714" spans="1:2">
      <c r="A714" s="2"/>
      <c r="B714" s="2"/>
    </row>
    <row r="715" spans="1:2">
      <c r="A715" s="2"/>
      <c r="B715" s="2"/>
    </row>
    <row r="716" spans="1:2">
      <c r="A716" s="2"/>
      <c r="B716" s="2"/>
    </row>
    <row r="717" spans="1:2">
      <c r="A717" s="2"/>
      <c r="B717" s="2"/>
    </row>
    <row r="718" spans="1:2">
      <c r="A718" s="2"/>
      <c r="B718" s="2"/>
    </row>
    <row r="719" spans="1:2">
      <c r="A719" s="2"/>
      <c r="B719" s="2"/>
    </row>
    <row r="720" spans="1:2">
      <c r="A720" s="2"/>
      <c r="B720" s="2"/>
    </row>
    <row r="721" spans="1:2">
      <c r="A721" s="2"/>
      <c r="B721" s="2"/>
    </row>
    <row r="722" spans="1:2">
      <c r="A722" s="2"/>
      <c r="B722" s="2"/>
    </row>
    <row r="723" spans="1:2">
      <c r="A723" s="2"/>
      <c r="B723" s="2"/>
    </row>
    <row r="724" spans="1:2">
      <c r="A724" s="2"/>
      <c r="B724" s="2"/>
    </row>
    <row r="725" spans="1:2">
      <c r="A725" s="2"/>
      <c r="B725" s="2"/>
    </row>
    <row r="726" spans="1:2">
      <c r="A726" s="2"/>
      <c r="B726" s="2"/>
    </row>
    <row r="727" spans="1:2">
      <c r="A727" s="2"/>
      <c r="B727" s="2"/>
    </row>
    <row r="728" spans="1:2">
      <c r="A728" s="2"/>
      <c r="B728" s="2"/>
    </row>
    <row r="729" spans="1:2">
      <c r="A729" s="2"/>
      <c r="B729" s="2"/>
    </row>
    <row r="730" spans="1:2">
      <c r="A730" s="2"/>
      <c r="B730" s="2"/>
    </row>
    <row r="731" spans="1:2">
      <c r="A731" s="2"/>
      <c r="B731" s="2"/>
    </row>
    <row r="732" spans="1:2">
      <c r="A732" s="2"/>
      <c r="B732" s="2"/>
    </row>
    <row r="733" spans="1:2">
      <c r="A733" s="2"/>
      <c r="B733" s="2"/>
    </row>
    <row r="734" spans="1:2">
      <c r="A734" s="2"/>
      <c r="B734" s="2"/>
    </row>
    <row r="735" spans="1:2">
      <c r="A735" s="2"/>
      <c r="B735" s="2"/>
    </row>
    <row r="736" spans="1:2">
      <c r="A736" s="2"/>
      <c r="B736" s="2"/>
    </row>
    <row r="737" spans="1:2">
      <c r="A737" s="2"/>
      <c r="B737" s="2"/>
    </row>
    <row r="738" spans="1:2">
      <c r="A738" s="2"/>
      <c r="B738" s="2"/>
    </row>
    <row r="739" spans="1:2">
      <c r="A739" s="2"/>
      <c r="B739" s="2"/>
    </row>
    <row r="740" spans="1:2">
      <c r="A740" s="2"/>
      <c r="B740" s="2"/>
    </row>
    <row r="741" spans="1:2">
      <c r="A741" s="2"/>
      <c r="B741" s="2"/>
    </row>
    <row r="742" spans="1:2">
      <c r="A742" s="2"/>
      <c r="B742" s="2"/>
    </row>
    <row r="743" spans="1:2">
      <c r="A743" s="2"/>
      <c r="B743" s="2"/>
    </row>
    <row r="744" spans="1:2">
      <c r="A744" s="2"/>
      <c r="B744" s="2"/>
    </row>
    <row r="745" spans="1:2">
      <c r="A745" s="2"/>
      <c r="B745" s="2"/>
    </row>
    <row r="746" spans="1:2">
      <c r="A746" s="2"/>
      <c r="B746" s="2"/>
    </row>
    <row r="747" spans="1:2">
      <c r="A747" s="2"/>
      <c r="B747" s="2"/>
    </row>
    <row r="748" spans="1:2">
      <c r="A748" s="2"/>
      <c r="B748" s="2"/>
    </row>
    <row r="749" spans="1:2">
      <c r="A749" s="2"/>
      <c r="B749" s="2"/>
    </row>
    <row r="750" spans="1:2">
      <c r="A750" s="2"/>
      <c r="B750" s="2"/>
    </row>
    <row r="751" spans="1:2">
      <c r="A751" s="2"/>
      <c r="B751" s="2"/>
    </row>
    <row r="752" spans="1:2">
      <c r="A752" s="2"/>
      <c r="B752" s="2"/>
    </row>
    <row r="753" spans="1:2">
      <c r="A753" s="2"/>
      <c r="B753" s="2"/>
    </row>
    <row r="754" spans="1:2">
      <c r="A754" s="2"/>
      <c r="B754" s="2"/>
    </row>
    <row r="755" spans="1:2">
      <c r="A755" s="2"/>
      <c r="B755" s="2"/>
    </row>
    <row r="756" spans="1:2">
      <c r="A756" s="2"/>
      <c r="B756" s="2"/>
    </row>
    <row r="757" spans="1:2">
      <c r="A757" s="2"/>
      <c r="B757" s="2"/>
    </row>
    <row r="758" spans="1:2">
      <c r="A758" s="2"/>
      <c r="B758" s="2"/>
    </row>
    <row r="759" spans="1:2">
      <c r="A759" s="2"/>
      <c r="B759" s="2"/>
    </row>
    <row r="760" spans="1:2">
      <c r="A760" s="2"/>
      <c r="B760" s="2"/>
    </row>
    <row r="761" spans="1:2">
      <c r="A761" s="2"/>
      <c r="B761" s="2"/>
    </row>
    <row r="762" spans="1:2">
      <c r="A762" s="2"/>
      <c r="B762" s="2"/>
    </row>
    <row r="763" spans="1:2">
      <c r="A763" s="2"/>
      <c r="B763" s="2"/>
    </row>
    <row r="764" spans="1:2">
      <c r="A764" s="2"/>
      <c r="B764" s="2"/>
    </row>
    <row r="765" spans="1:2">
      <c r="A765" s="2"/>
      <c r="B765" s="2"/>
    </row>
    <row r="766" spans="1:2">
      <c r="A766" s="2"/>
      <c r="B766" s="2"/>
    </row>
    <row r="767" spans="1:2">
      <c r="A767" s="2"/>
      <c r="B767" s="2"/>
    </row>
    <row r="768" spans="1:2">
      <c r="A768" s="2"/>
      <c r="B768" s="2"/>
    </row>
    <row r="769" spans="1:2">
      <c r="A769" s="2"/>
      <c r="B769" s="2"/>
    </row>
    <row r="770" spans="1:2">
      <c r="A770" s="2"/>
      <c r="B770" s="2"/>
    </row>
    <row r="771" spans="1:2">
      <c r="A771" s="2"/>
      <c r="B771" s="2"/>
    </row>
    <row r="772" spans="1:2">
      <c r="A772" s="2"/>
      <c r="B772" s="2"/>
    </row>
    <row r="773" spans="1:2">
      <c r="A773" s="2"/>
      <c r="B773" s="2"/>
    </row>
    <row r="774" spans="1:2">
      <c r="A774" s="2"/>
      <c r="B774" s="2"/>
    </row>
    <row r="775" spans="1:2">
      <c r="A775" s="2"/>
      <c r="B775" s="2"/>
    </row>
    <row r="776" spans="1:2">
      <c r="A776" s="2"/>
      <c r="B776" s="2"/>
    </row>
    <row r="777" spans="1:2">
      <c r="A777" s="2"/>
      <c r="B777" s="2"/>
    </row>
    <row r="778" spans="1:2">
      <c r="A778" s="2"/>
      <c r="B778" s="2"/>
    </row>
    <row r="779" spans="1:2">
      <c r="A779" s="2"/>
      <c r="B779" s="2"/>
    </row>
    <row r="780" spans="1:2">
      <c r="A780" s="2"/>
      <c r="B780" s="2"/>
    </row>
    <row r="781" spans="1:2">
      <c r="A781" s="2"/>
      <c r="B781" s="2"/>
    </row>
    <row r="782" spans="1:2">
      <c r="A782" s="2"/>
      <c r="B782" s="2"/>
    </row>
    <row r="783" spans="1:2">
      <c r="A783" s="2"/>
      <c r="B783" s="2"/>
    </row>
    <row r="784" spans="1:2">
      <c r="A784" s="2"/>
      <c r="B784" s="2"/>
    </row>
    <row r="785" spans="1:2">
      <c r="A785" s="2"/>
      <c r="B785" s="2"/>
    </row>
    <row r="786" spans="1:2">
      <c r="A786" s="2"/>
      <c r="B786" s="2"/>
    </row>
    <row r="787" spans="1:2">
      <c r="A787" s="2"/>
      <c r="B787" s="2"/>
    </row>
    <row r="788" spans="1:2">
      <c r="A788" s="2"/>
      <c r="B788" s="2"/>
    </row>
    <row r="789" spans="1:2">
      <c r="A789" s="2"/>
      <c r="B789" s="2"/>
    </row>
    <row r="790" spans="1:2">
      <c r="A790" s="2"/>
      <c r="B790" s="2"/>
    </row>
    <row r="791" spans="1:2">
      <c r="A791" s="2"/>
      <c r="B791" s="2"/>
    </row>
    <row r="792" spans="1:2">
      <c r="A792" s="2"/>
      <c r="B792" s="2"/>
    </row>
    <row r="793" spans="1:2">
      <c r="A793" s="2"/>
      <c r="B793" s="2"/>
    </row>
    <row r="794" spans="1:2">
      <c r="A794" s="2"/>
      <c r="B794" s="2"/>
    </row>
    <row r="795" spans="1:2">
      <c r="A795" s="2"/>
      <c r="B795" s="2"/>
    </row>
    <row r="796" spans="1:2">
      <c r="A796" s="2"/>
      <c r="B796" s="2"/>
    </row>
    <row r="797" spans="1:2">
      <c r="A797" s="2"/>
      <c r="B797" s="2"/>
    </row>
    <row r="798" spans="1:2">
      <c r="A798" s="2"/>
      <c r="B798" s="2"/>
    </row>
    <row r="799" spans="1:2">
      <c r="A799" s="2"/>
      <c r="B799" s="2"/>
    </row>
    <row r="800" spans="1:2">
      <c r="A800" s="2"/>
      <c r="B800" s="2"/>
    </row>
    <row r="801" spans="1:2">
      <c r="A801" s="2"/>
      <c r="B801" s="2"/>
    </row>
    <row r="802" spans="1:2">
      <c r="A802" s="2"/>
      <c r="B802" s="2"/>
    </row>
    <row r="803" spans="1:2">
      <c r="A803" s="2"/>
      <c r="B803" s="2"/>
    </row>
    <row r="804" spans="1:2">
      <c r="A804" s="2"/>
      <c r="B804" s="2"/>
    </row>
    <row r="805" spans="1:2">
      <c r="A805" s="2"/>
      <c r="B805" s="2"/>
    </row>
    <row r="806" spans="1:2">
      <c r="A806" s="2"/>
      <c r="B806" s="2"/>
    </row>
    <row r="807" spans="1:2">
      <c r="A807" s="2"/>
      <c r="B807" s="2"/>
    </row>
    <row r="808" spans="1:2">
      <c r="A808" s="2"/>
      <c r="B808" s="2"/>
    </row>
    <row r="809" spans="1:2">
      <c r="A809" s="2"/>
      <c r="B809" s="2"/>
    </row>
    <row r="810" spans="1:2">
      <c r="A810" s="2"/>
      <c r="B810" s="2"/>
    </row>
    <row r="811" spans="1:2">
      <c r="A811" s="2"/>
      <c r="B811" s="2"/>
    </row>
    <row r="812" spans="1:2">
      <c r="A812" s="2"/>
      <c r="B812" s="2"/>
    </row>
    <row r="813" spans="1:2">
      <c r="A813" s="2"/>
      <c r="B813" s="2"/>
    </row>
    <row r="814" spans="1:2">
      <c r="A814" s="2"/>
      <c r="B814" s="2"/>
    </row>
    <row r="815" spans="1:2">
      <c r="A815" s="2"/>
      <c r="B815" s="2"/>
    </row>
    <row r="816" spans="1:2">
      <c r="A816" s="2"/>
      <c r="B816" s="2"/>
    </row>
    <row r="817" spans="1:2">
      <c r="A817" s="2"/>
      <c r="B817" s="2"/>
    </row>
    <row r="818" spans="1:2">
      <c r="A818" s="2"/>
      <c r="B818" s="2"/>
    </row>
    <row r="819" spans="1:2">
      <c r="A819" s="2"/>
      <c r="B819" s="2"/>
    </row>
    <row r="820" spans="1:2">
      <c r="A820" s="2"/>
      <c r="B820" s="2"/>
    </row>
    <row r="821" spans="1:2">
      <c r="A821" s="2"/>
      <c r="B821" s="2"/>
    </row>
    <row r="822" spans="1:2">
      <c r="A822" s="2"/>
      <c r="B822" s="2"/>
    </row>
    <row r="823" spans="1:2">
      <c r="A823" s="2"/>
      <c r="B823" s="2"/>
    </row>
    <row r="824" spans="1:2">
      <c r="A824" s="2"/>
      <c r="B824" s="2"/>
    </row>
    <row r="825" spans="1:2">
      <c r="A825" s="2"/>
      <c r="B825" s="2"/>
    </row>
    <row r="826" spans="1:2">
      <c r="A826" s="2"/>
      <c r="B826" s="2"/>
    </row>
    <row r="827" spans="1:2">
      <c r="A827" s="2"/>
      <c r="B827" s="2"/>
    </row>
    <row r="828" spans="1:2">
      <c r="A828" s="2"/>
      <c r="B828" s="2"/>
    </row>
    <row r="829" spans="1:2">
      <c r="A829" s="2"/>
      <c r="B829" s="2"/>
    </row>
    <row r="830" spans="1:2">
      <c r="A830" s="2"/>
      <c r="B830" s="2"/>
    </row>
    <row r="831" spans="1:2">
      <c r="A831" s="2"/>
      <c r="B831" s="2"/>
    </row>
    <row r="832" spans="1:2">
      <c r="A832" s="2"/>
      <c r="B832" s="2"/>
    </row>
    <row r="833" spans="1:2">
      <c r="A833" s="2"/>
      <c r="B833" s="2"/>
    </row>
    <row r="834" spans="1:2">
      <c r="A834" s="2"/>
      <c r="B834" s="2"/>
    </row>
    <row r="835" spans="1:2">
      <c r="A835" s="2"/>
      <c r="B835" s="2"/>
    </row>
    <row r="836" spans="1:2">
      <c r="A836" s="2"/>
      <c r="B836" s="2"/>
    </row>
    <row r="837" spans="1:2">
      <c r="A837" s="2"/>
      <c r="B837" s="2"/>
    </row>
    <row r="838" spans="1:2">
      <c r="A838" s="2"/>
      <c r="B838" s="2"/>
    </row>
    <row r="839" spans="1:2">
      <c r="A839" s="2"/>
      <c r="B839" s="2"/>
    </row>
    <row r="840" spans="1:2">
      <c r="A840" s="2"/>
      <c r="B840" s="2"/>
    </row>
    <row r="841" spans="1:2">
      <c r="A841" s="2"/>
      <c r="B841" s="2"/>
    </row>
    <row r="842" spans="1:2">
      <c r="A842" s="2"/>
      <c r="B842" s="2"/>
    </row>
    <row r="843" spans="1:2">
      <c r="A843" s="2"/>
      <c r="B843" s="2"/>
    </row>
    <row r="844" spans="1:2">
      <c r="A844" s="2"/>
      <c r="B844" s="2"/>
    </row>
    <row r="845" spans="1:2">
      <c r="A845" s="2"/>
      <c r="B845" s="2"/>
    </row>
    <row r="846" spans="1:2">
      <c r="A846" s="2"/>
      <c r="B846" s="2"/>
    </row>
    <row r="847" spans="1:2">
      <c r="A847" s="2"/>
      <c r="B847" s="2"/>
    </row>
    <row r="848" spans="1:2">
      <c r="A848" s="2"/>
      <c r="B848" s="2"/>
    </row>
    <row r="849" spans="1:2">
      <c r="A849" s="2"/>
      <c r="B849" s="2"/>
    </row>
    <row r="850" spans="1:2">
      <c r="A850" s="2"/>
      <c r="B850" s="2"/>
    </row>
    <row r="851" spans="1:2">
      <c r="A851" s="2"/>
      <c r="B851" s="2"/>
    </row>
    <row r="852" spans="1:2">
      <c r="A852" s="2"/>
      <c r="B852" s="2"/>
    </row>
    <row r="853" spans="1:2">
      <c r="A853" s="2"/>
      <c r="B853" s="2"/>
    </row>
    <row r="854" spans="1:2">
      <c r="A854" s="2"/>
      <c r="B854" s="2"/>
    </row>
    <row r="855" spans="1:2">
      <c r="A855" s="2"/>
      <c r="B855" s="2"/>
    </row>
    <row r="856" spans="1:2">
      <c r="A856" s="2"/>
      <c r="B856" s="2"/>
    </row>
    <row r="857" spans="1:2">
      <c r="A857" s="2"/>
      <c r="B857" s="2"/>
    </row>
    <row r="858" spans="1:2">
      <c r="A858" s="2"/>
      <c r="B858" s="2"/>
    </row>
    <row r="859" spans="1:2">
      <c r="A859" s="2"/>
      <c r="B859" s="2"/>
    </row>
    <row r="860" spans="1:2">
      <c r="A860" s="2"/>
      <c r="B860" s="2"/>
    </row>
    <row r="861" spans="1:2">
      <c r="A861" s="2"/>
      <c r="B861" s="2"/>
    </row>
    <row r="862" spans="1:2">
      <c r="A862" s="2"/>
      <c r="B862" s="2"/>
    </row>
    <row r="863" spans="1:2">
      <c r="A863" s="2"/>
      <c r="B863" s="2"/>
    </row>
    <row r="864" spans="1:2">
      <c r="A864" s="2"/>
      <c r="B864" s="2"/>
    </row>
    <row r="865" spans="1:2">
      <c r="A865" s="2"/>
      <c r="B865" s="2"/>
    </row>
    <row r="866" spans="1:2">
      <c r="A866" s="2"/>
      <c r="B866" s="2"/>
    </row>
    <row r="867" spans="1:2">
      <c r="A867" s="2"/>
      <c r="B867" s="2"/>
    </row>
    <row r="868" spans="1:2">
      <c r="A868" s="2"/>
      <c r="B868" s="2"/>
    </row>
    <row r="869" spans="1:2">
      <c r="A869" s="2"/>
      <c r="B869" s="2"/>
    </row>
    <row r="870" spans="1:2">
      <c r="A870" s="2"/>
      <c r="B870" s="2"/>
    </row>
    <row r="871" spans="1:2">
      <c r="A871" s="2"/>
      <c r="B871" s="2"/>
    </row>
    <row r="872" spans="1:2">
      <c r="A872" s="2"/>
      <c r="B872" s="2"/>
    </row>
    <row r="873" spans="1:2">
      <c r="A873" s="2"/>
      <c r="B873" s="2"/>
    </row>
    <row r="874" spans="1:2">
      <c r="A874" s="2"/>
      <c r="B874" s="2"/>
    </row>
    <row r="875" spans="1:2">
      <c r="A875" s="2"/>
      <c r="B875" s="2"/>
    </row>
    <row r="876" spans="1:2">
      <c r="A876" s="2"/>
      <c r="B876" s="2"/>
    </row>
    <row r="877" spans="1:2">
      <c r="A877" s="2"/>
      <c r="B877" s="2"/>
    </row>
    <row r="878" spans="1:2">
      <c r="A878" s="2"/>
      <c r="B878" s="2"/>
    </row>
    <row r="879" spans="1:2">
      <c r="A879" s="2"/>
      <c r="B879" s="2"/>
    </row>
    <row r="880" spans="1:2">
      <c r="A880" s="2"/>
      <c r="B880" s="2"/>
    </row>
    <row r="881" spans="1:2">
      <c r="A881" s="2"/>
      <c r="B881" s="2"/>
    </row>
    <row r="882" spans="1:2">
      <c r="A882" s="2"/>
      <c r="B882" s="2"/>
    </row>
    <row r="883" spans="1:2">
      <c r="A883" s="2"/>
      <c r="B883" s="2"/>
    </row>
    <row r="884" spans="1:2">
      <c r="A884" s="2"/>
      <c r="B884" s="2"/>
    </row>
    <row r="885" spans="1:2">
      <c r="A885" s="2"/>
      <c r="B885" s="2"/>
    </row>
    <row r="886" spans="1:2">
      <c r="A886" s="2"/>
      <c r="B886" s="2"/>
    </row>
    <row r="887" spans="1:2">
      <c r="A887" s="2"/>
      <c r="B887" s="2"/>
    </row>
    <row r="888" spans="1:2">
      <c r="A888" s="2"/>
      <c r="B888" s="2"/>
    </row>
    <row r="889" spans="1:2">
      <c r="A889" s="2"/>
      <c r="B889" s="2"/>
    </row>
    <row r="890" spans="1:2">
      <c r="A890" s="2"/>
      <c r="B890" s="2"/>
    </row>
    <row r="891" spans="1:2">
      <c r="A891" s="2"/>
      <c r="B891" s="2"/>
    </row>
    <row r="892" spans="1:2">
      <c r="A892" s="2"/>
      <c r="B892" s="2"/>
    </row>
    <row r="893" spans="1:2">
      <c r="A893" s="2"/>
      <c r="B893" s="2"/>
    </row>
    <row r="894" spans="1:2">
      <c r="A894" s="2"/>
      <c r="B894" s="2"/>
    </row>
    <row r="895" spans="1:2">
      <c r="A895" s="2"/>
      <c r="B895" s="2"/>
    </row>
    <row r="896" spans="1:2">
      <c r="A896" s="2"/>
      <c r="B896" s="2"/>
    </row>
    <row r="897" spans="1:2">
      <c r="A897" s="2"/>
      <c r="B897" s="2"/>
    </row>
    <row r="898" spans="1:2">
      <c r="A898" s="2"/>
      <c r="B898" s="2"/>
    </row>
    <row r="899" spans="1:2">
      <c r="A899" s="2"/>
      <c r="B899" s="2"/>
    </row>
    <row r="900" spans="1:2">
      <c r="A900" s="2"/>
      <c r="B900" s="2"/>
    </row>
    <row r="901" spans="1:2">
      <c r="A901" s="2"/>
      <c r="B901" s="2"/>
    </row>
    <row r="902" spans="1:2">
      <c r="A902" s="2"/>
      <c r="B902" s="2"/>
    </row>
    <row r="903" spans="1:2">
      <c r="A903" s="2"/>
      <c r="B903" s="2"/>
    </row>
    <row r="904" spans="1:2">
      <c r="A904" s="2"/>
      <c r="B904" s="2"/>
    </row>
    <row r="905" spans="1:2">
      <c r="A905" s="2"/>
      <c r="B905" s="2"/>
    </row>
    <row r="906" spans="1:2">
      <c r="A906" s="2"/>
      <c r="B906" s="2"/>
    </row>
    <row r="907" spans="1:2">
      <c r="A907" s="2"/>
      <c r="B907" s="2"/>
    </row>
    <row r="908" spans="1:2">
      <c r="A908" s="2"/>
      <c r="B908" s="2"/>
    </row>
    <row r="909" spans="1:2">
      <c r="A909" s="2"/>
      <c r="B909" s="2"/>
    </row>
    <row r="910" spans="1:2">
      <c r="A910" s="2"/>
      <c r="B910" s="2"/>
    </row>
    <row r="911" spans="1:2">
      <c r="A911" s="2"/>
      <c r="B911" s="2"/>
    </row>
    <row r="912" spans="1:2">
      <c r="A912" s="2"/>
      <c r="B912" s="2"/>
    </row>
    <row r="913" spans="1:2">
      <c r="A913" s="2"/>
      <c r="B913" s="2"/>
    </row>
    <row r="914" spans="1:2">
      <c r="A914" s="2"/>
      <c r="B914" s="2"/>
    </row>
    <row r="915" spans="1:2">
      <c r="A915" s="2"/>
      <c r="B915" s="2"/>
    </row>
    <row r="916" spans="1:2">
      <c r="A916" s="2"/>
      <c r="B916" s="2"/>
    </row>
    <row r="917" spans="1:2">
      <c r="A917" s="2"/>
      <c r="B917" s="2"/>
    </row>
    <row r="918" spans="1:2">
      <c r="A918" s="2"/>
      <c r="B918" s="2"/>
    </row>
    <row r="919" spans="1:2">
      <c r="A919" s="2"/>
      <c r="B919" s="2"/>
    </row>
    <row r="920" spans="1:2">
      <c r="A920" s="2"/>
      <c r="B920" s="2"/>
    </row>
    <row r="921" spans="1:2">
      <c r="A921" s="2"/>
      <c r="B921" s="2"/>
    </row>
    <row r="922" spans="1:2">
      <c r="A922" s="2"/>
      <c r="B922" s="2"/>
    </row>
    <row r="923" spans="1:2">
      <c r="A923" s="2"/>
      <c r="B923" s="2"/>
    </row>
    <row r="924" spans="1:2">
      <c r="A924" s="2"/>
      <c r="B924" s="2"/>
    </row>
    <row r="925" spans="1:2">
      <c r="A925" s="2"/>
      <c r="B925" s="2"/>
    </row>
    <row r="926" spans="1:2">
      <c r="A926" s="2"/>
      <c r="B926" s="2"/>
    </row>
    <row r="927" spans="1:2">
      <c r="A927" s="2"/>
      <c r="B927" s="2"/>
    </row>
    <row r="928" spans="1:2">
      <c r="A928" s="2"/>
      <c r="B928" s="2"/>
    </row>
    <row r="929" spans="1:2">
      <c r="A929" s="2"/>
      <c r="B929" s="2"/>
    </row>
    <row r="930" spans="1:2">
      <c r="A930" s="2"/>
      <c r="B930" s="2"/>
    </row>
    <row r="931" spans="1:2">
      <c r="A931" s="2"/>
      <c r="B931" s="2"/>
    </row>
    <row r="932" spans="1:2">
      <c r="A932" s="2"/>
      <c r="B932" s="2"/>
    </row>
    <row r="933" spans="1:2">
      <c r="A933" s="2"/>
      <c r="B933" s="2"/>
    </row>
    <row r="934" spans="1:2">
      <c r="A934" s="2"/>
      <c r="B934" s="2"/>
    </row>
    <row r="935" spans="1:2">
      <c r="A935" s="2"/>
      <c r="B935" s="2"/>
    </row>
    <row r="936" spans="1:2">
      <c r="A936" s="2"/>
      <c r="B936" s="2"/>
    </row>
    <row r="937" spans="1:2">
      <c r="A937" s="2"/>
      <c r="B937" s="2"/>
    </row>
    <row r="938" spans="1:2">
      <c r="A938" s="2"/>
      <c r="B938" s="2"/>
    </row>
    <row r="939" spans="1:2">
      <c r="A939" s="2"/>
      <c r="B939" s="2"/>
    </row>
    <row r="940" spans="1:2">
      <c r="A940" s="2"/>
      <c r="B940" s="2"/>
    </row>
    <row r="941" spans="1:2">
      <c r="A941" s="2"/>
      <c r="B941" s="2"/>
    </row>
    <row r="942" spans="1:2">
      <c r="A942" s="2"/>
      <c r="B942" s="2"/>
    </row>
    <row r="943" spans="1:2">
      <c r="A943" s="2"/>
      <c r="B943" s="2"/>
    </row>
    <row r="944" spans="1:2">
      <c r="A944" s="2"/>
      <c r="B944" s="2"/>
    </row>
    <row r="945" spans="1:2">
      <c r="A945" s="2"/>
      <c r="B945" s="2"/>
    </row>
    <row r="946" spans="1:2">
      <c r="A946" s="2"/>
      <c r="B946" s="2"/>
    </row>
    <row r="947" spans="1:2">
      <c r="A947" s="2"/>
      <c r="B947" s="2"/>
    </row>
    <row r="948" spans="1:2">
      <c r="A948" s="2"/>
      <c r="B948" s="2"/>
    </row>
    <row r="949" spans="1:2">
      <c r="A949" s="2"/>
      <c r="B949" s="2"/>
    </row>
    <row r="950" spans="1:2">
      <c r="A950" s="2"/>
      <c r="B950" s="2"/>
    </row>
    <row r="951" spans="1:2">
      <c r="A951" s="2"/>
      <c r="B951" s="2"/>
    </row>
    <row r="952" spans="1:2">
      <c r="A952" s="2"/>
      <c r="B952" s="2"/>
    </row>
    <row r="953" spans="1:2">
      <c r="A953" s="2"/>
      <c r="B953" s="2"/>
    </row>
    <row r="954" spans="1:2">
      <c r="A954" s="2"/>
      <c r="B954" s="2"/>
    </row>
    <row r="955" spans="1:2">
      <c r="A955" s="2"/>
      <c r="B955" s="2"/>
    </row>
    <row r="956" spans="1:2">
      <c r="A956" s="2"/>
      <c r="B956" s="2"/>
    </row>
    <row r="957" spans="1:2">
      <c r="A957" s="2"/>
      <c r="B957" s="2"/>
    </row>
    <row r="958" spans="1:2">
      <c r="A958" s="2"/>
      <c r="B958" s="2"/>
    </row>
    <row r="959" spans="1:2">
      <c r="A959" s="2"/>
      <c r="B959" s="2"/>
    </row>
    <row r="960" spans="1:2">
      <c r="A960" s="2"/>
      <c r="B960" s="2"/>
    </row>
    <row r="961" spans="1:2">
      <c r="A961" s="2"/>
      <c r="B961" s="2"/>
    </row>
    <row r="962" spans="1:2">
      <c r="A962" s="2"/>
      <c r="B962" s="2"/>
    </row>
    <row r="963" spans="1:2">
      <c r="A963" s="2"/>
      <c r="B963" s="2"/>
    </row>
    <row r="964" spans="1:2">
      <c r="A964" s="2"/>
      <c r="B964" s="2"/>
    </row>
    <row r="965" spans="1:2">
      <c r="A965" s="2"/>
      <c r="B965" s="2"/>
    </row>
    <row r="966" spans="1:2">
      <c r="A966" s="2"/>
      <c r="B966" s="2"/>
    </row>
    <row r="967" spans="1:2">
      <c r="A967" s="2"/>
      <c r="B967" s="2"/>
    </row>
    <row r="968" spans="1:2">
      <c r="A968" s="2"/>
      <c r="B968" s="2"/>
    </row>
    <row r="969" spans="1:2">
      <c r="A969" s="2"/>
      <c r="B969" s="2"/>
    </row>
    <row r="970" spans="1:2">
      <c r="A970" s="2"/>
      <c r="B970" s="2"/>
    </row>
    <row r="971" spans="1:2">
      <c r="A971" s="2"/>
      <c r="B971" s="2"/>
    </row>
    <row r="972" spans="1:2">
      <c r="A972" s="2"/>
      <c r="B972" s="2"/>
    </row>
    <row r="973" spans="1:2">
      <c r="A973" s="2"/>
      <c r="B973" s="2"/>
    </row>
    <row r="974" spans="1:2">
      <c r="A974" s="2"/>
      <c r="B974" s="2"/>
    </row>
    <row r="975" spans="1:2">
      <c r="A975" s="2"/>
      <c r="B975" s="2"/>
    </row>
    <row r="976" spans="1:2">
      <c r="A976" s="2"/>
      <c r="B976" s="2"/>
    </row>
    <row r="977" spans="1:2">
      <c r="A977" s="2"/>
      <c r="B977" s="2"/>
    </row>
    <row r="978" spans="1:2">
      <c r="A978" s="2"/>
      <c r="B978" s="2"/>
    </row>
    <row r="979" spans="1:2">
      <c r="A979" s="2"/>
      <c r="B979" s="2"/>
    </row>
    <row r="980" spans="1:2">
      <c r="A980" s="2"/>
      <c r="B980" s="2"/>
    </row>
    <row r="981" spans="1:2">
      <c r="A981" s="2"/>
      <c r="B981" s="2"/>
    </row>
    <row r="982" spans="1:2">
      <c r="A982" s="2"/>
      <c r="B982" s="2"/>
    </row>
    <row r="983" spans="1:2">
      <c r="A983" s="2"/>
      <c r="B983" s="2"/>
    </row>
    <row r="984" spans="1:2">
      <c r="A984" s="2"/>
      <c r="B984" s="2"/>
    </row>
    <row r="985" spans="1:2">
      <c r="A985" s="2"/>
      <c r="B985" s="2"/>
    </row>
    <row r="986" spans="1:2">
      <c r="A986" s="2"/>
      <c r="B986" s="2"/>
    </row>
    <row r="987" spans="1:2">
      <c r="A987" s="2"/>
      <c r="B987" s="2"/>
    </row>
    <row r="988" spans="1:2">
      <c r="A988" s="2"/>
      <c r="B988" s="2"/>
    </row>
    <row r="989" spans="1:2">
      <c r="A989" s="2"/>
      <c r="B989" s="2"/>
    </row>
    <row r="990" spans="1:2">
      <c r="A990" s="2"/>
      <c r="B990" s="2"/>
    </row>
    <row r="991" spans="1:2">
      <c r="A991" s="2"/>
      <c r="B991" s="2"/>
    </row>
    <row r="992" spans="1:2">
      <c r="A992" s="2"/>
      <c r="B992" s="2"/>
    </row>
    <row r="993" spans="1:2">
      <c r="A993" s="2"/>
      <c r="B993" s="2"/>
    </row>
    <row r="994" spans="1:2">
      <c r="A994" s="2"/>
      <c r="B994" s="2"/>
    </row>
    <row r="995" spans="1:2">
      <c r="A995" s="2"/>
      <c r="B995" s="2"/>
    </row>
    <row r="996" spans="1:2">
      <c r="A996" s="2"/>
      <c r="B996"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435"/>
  <sheetViews>
    <sheetView workbookViewId="0"/>
  </sheetViews>
  <sheetFormatPr defaultColWidth="14.44140625" defaultRowHeight="15" customHeight="1"/>
  <cols>
    <col min="1" max="1" width="20.33203125" customWidth="1"/>
  </cols>
  <sheetData>
    <row r="1" spans="1:8" ht="14.4">
      <c r="A1" s="21" t="str">
        <f ca="1">IFERROR(__xludf.DUMMYFUNCTION("IMPORTRANGE(""https://docs.google.com/spreadsheets/d/1LU2dyzrm3LZk7dF0ddqQJhhJ8G9YReXQbc3stNUrRy4/edit?usp=sharing"",""Form Responses 1!A1:H373"")
"),"Timestamp")</f>
        <v>Timestamp</v>
      </c>
      <c r="B1" s="9" t="str">
        <f ca="1">IFERROR(__xludf.DUMMYFUNCTION("""COMPUTED_VALUE"""),"Email Address")</f>
        <v>Email Address</v>
      </c>
      <c r="C1" s="9" t="str">
        <f ca="1">IFERROR(__xludf.DUMMYFUNCTION("""COMPUTED_VALUE"""),"Họ và Tên")</f>
        <v>Họ và Tên</v>
      </c>
      <c r="D1" s="9" t="str">
        <f ca="1">IFERROR(__xludf.DUMMYFUNCTION("""COMPUTED_VALUE"""),"Khóa (chọn một)")</f>
        <v>Khóa (chọn một)</v>
      </c>
      <c r="E1" s="9" t="str">
        <f ca="1">IFERROR(__xludf.DUMMYFUNCTION("""COMPUTED_VALUE"""),"Chuyên ngành")</f>
        <v>Chuyên ngành</v>
      </c>
      <c r="F1" s="9" t="str">
        <f ca="1">IFERROR(__xludf.DUMMYFUNCTION("""COMPUTED_VALUE"""),"Ý kiến")</f>
        <v>Ý kiến</v>
      </c>
      <c r="G1" s="9" t="str">
        <f ca="1">IFERROR(__xludf.DUMMYFUNCTION("""COMPUTED_VALUE"""),"Đánh giá độ mong muốn của em về một ứng dụng chatbot trả lời tự động 24/7 như một cố vấn học tập")</f>
        <v>Đánh giá độ mong muốn của em về một ứng dụng chatbot trả lời tự động 24/7 như một cố vấn học tập</v>
      </c>
      <c r="H1" s="9" t="str">
        <f ca="1">IFERROR(__xludf.DUMMYFUNCTION("""COMPUTED_VALUE"""),"Liệt kê từ 5-10 câu hỏi thắc mắc em muốn hỏi giảng viên cố vấn mà bạn gặp phải (câu hỏi mở)")</f>
        <v>Liệt kê từ 5-10 câu hỏi thắc mắc em muốn hỏi giảng viên cố vấn mà bạn gặp phải (câu hỏi mở)</v>
      </c>
    </row>
    <row r="2" spans="1:8" ht="14.4">
      <c r="A2" s="22">
        <f ca="1">IFERROR(__xludf.DUMMYFUNCTION("""COMPUTED_VALUE"""),45188.6894983564)</f>
        <v>45188.689498356398</v>
      </c>
      <c r="B2" s="9" t="str">
        <f ca="1">IFERROR(__xludf.DUMMYFUNCTION("""COMPUTED_VALUE"""),"ngohai022@gmail.com")</f>
        <v>ngohai022@gmail.com</v>
      </c>
      <c r="C2" s="9" t="str">
        <f ca="1">IFERROR(__xludf.DUMMYFUNCTION("""COMPUTED_VALUE"""),"Ngô Văn Hải")</f>
        <v>Ngô Văn Hải</v>
      </c>
      <c r="D2" s="9" t="str">
        <f ca="1">IFERROR(__xludf.DUMMYFUNCTION("""COMPUTED_VALUE"""),"K28")</f>
        <v>K28</v>
      </c>
      <c r="E2" s="9" t="str">
        <f ca="1">IFERROR(__xludf.DUMMYFUNCTION("""COMPUTED_VALUE"""),"CMU - TPM")</f>
        <v>CMU - TPM</v>
      </c>
      <c r="F2" s="9" t="str">
        <f ca="1">IFERROR(__xludf.DUMMYFUNCTION("""COMPUTED_VALUE"""),"Không")</f>
        <v>Không</v>
      </c>
      <c r="G2" s="9">
        <f ca="1">IFERROR(__xludf.DUMMYFUNCTION("""COMPUTED_VALUE"""),3)</f>
        <v>3</v>
      </c>
      <c r="H2" s="9" t="str">
        <f ca="1">IFERROR(__xludf.DUMMYFUNCTION("""COMPUTED_VALUE"""),"Học phí trường mình bao nhiêu vậy ")</f>
        <v xml:space="preserve">Học phí trường mình bao nhiêu vậy </v>
      </c>
    </row>
    <row r="3" spans="1:8" ht="14.4">
      <c r="A3" s="22">
        <f ca="1">IFERROR(__xludf.DUMMYFUNCTION("""COMPUTED_VALUE"""),45188.694897824)</f>
        <v>45188.694897824003</v>
      </c>
      <c r="B3" s="9" t="str">
        <f ca="1">IFERROR(__xludf.DUMMYFUNCTION("""COMPUTED_VALUE"""),"nguyenvydn2004@gmail.com")</f>
        <v>nguyenvydn2004@gmail.com</v>
      </c>
      <c r="C3" s="9" t="str">
        <f ca="1">IFERROR(__xludf.DUMMYFUNCTION("""COMPUTED_VALUE"""),"Nguyễn Vỹ")</f>
        <v>Nguyễn Vỹ</v>
      </c>
      <c r="D3" s="9" t="str">
        <f ca="1">IFERROR(__xludf.DUMMYFUNCTION("""COMPUTED_VALUE"""),"K28")</f>
        <v>K28</v>
      </c>
      <c r="E3" s="9" t="str">
        <f ca="1">IFERROR(__xludf.DUMMYFUNCTION("""COMPUTED_VALUE"""),"CMU - TPM")</f>
        <v>CMU - TPM</v>
      </c>
      <c r="F3" s="9" t="str">
        <f ca="1">IFERROR(__xludf.DUMMYFUNCTION("""COMPUTED_VALUE"""),"Các tính năng ví dụ như bài tập chấm điểm tự động ")</f>
        <v xml:space="preserve">Các tính năng ví dụ như bài tập chấm điểm tự động </v>
      </c>
      <c r="G3" s="9">
        <f ca="1">IFERROR(__xludf.DUMMYFUNCTION("""COMPUTED_VALUE"""),5)</f>
        <v>5</v>
      </c>
      <c r="H3" s="9" t="str">
        <f ca="1">IFERROR(__xludf.DUMMYFUNCTION("""COMPUTED_VALUE"""),"Dạ khi nào mở lại đánh giá rèn luyện vậy thầy ")</f>
        <v xml:space="preserve">Dạ khi nào mở lại đánh giá rèn luyện vậy thầy </v>
      </c>
    </row>
    <row r="4" spans="1:8" ht="14.4">
      <c r="A4" s="22">
        <f ca="1">IFERROR(__xludf.DUMMYFUNCTION("""COMPUTED_VALUE"""),45188.7101818055)</f>
        <v>45188.710181805502</v>
      </c>
      <c r="B4" s="9" t="str">
        <f ca="1">IFERROR(__xludf.DUMMYFUNCTION("""COMPUTED_VALUE"""),"nguyenhuuhung2610@gmail.com")</f>
        <v>nguyenhuuhung2610@gmail.com</v>
      </c>
      <c r="C4" s="9" t="str">
        <f ca="1">IFERROR(__xludf.DUMMYFUNCTION("""COMPUTED_VALUE"""),"Nguyễn Hữu Hưng")</f>
        <v>Nguyễn Hữu Hưng</v>
      </c>
      <c r="D4" s="9" t="str">
        <f ca="1">IFERROR(__xludf.DUMMYFUNCTION("""COMPUTED_VALUE"""),"K28")</f>
        <v>K28</v>
      </c>
      <c r="E4" s="9" t="str">
        <f ca="1">IFERROR(__xludf.DUMMYFUNCTION("""COMPUTED_VALUE"""),"CMU - TPM")</f>
        <v>CMU - TPM</v>
      </c>
      <c r="F4" s="9" t="str">
        <f ca="1">IFERROR(__xludf.DUMMYFUNCTION("""COMPUTED_VALUE"""),"Tư vấn hướng nghiệp, nhắc nhở và hạn chót, giải đáp câu hỏi học tập, tìm kiếm tài liệu học tập,  hỗ trợ việc làm...")</f>
        <v>Tư vấn hướng nghiệp, nhắc nhở và hạn chót, giải đáp câu hỏi học tập, tìm kiếm tài liệu học tập,  hỗ trợ việc làm...</v>
      </c>
      <c r="G4" s="9">
        <f ca="1">IFERROR(__xludf.DUMMYFUNCTION("""COMPUTED_VALUE"""),5)</f>
        <v>5</v>
      </c>
      <c r="H4" s="9" t="str">
        <f ca="1">IFERROR(__xludf.DUMMYFUNCTION("""COMPUTED_VALUE"""),"- Em phân vân giữa 1 trong 5 môn lập trình chuyên ngành, thầy có thể đề xuất cho em môn nào nên chọn và so sánh chúng được không ạ?
- Hướng đi của em là Backend thầy có thể cho em xin lộ trình để học không ạ?
")</f>
        <v xml:space="preserve">- Em phân vân giữa 1 trong 5 môn lập trình chuyên ngành, thầy có thể đề xuất cho em môn nào nên chọn và so sánh chúng được không ạ?
- Hướng đi của em là Backend thầy có thể cho em xin lộ trình để học không ạ?
</v>
      </c>
    </row>
    <row r="5" spans="1:8" ht="14.4">
      <c r="A5" s="22">
        <f ca="1">IFERROR(__xludf.DUMMYFUNCTION("""COMPUTED_VALUE"""),45188.7575730902)</f>
        <v>45188.757573090203</v>
      </c>
      <c r="B5" s="9" t="str">
        <f ca="1">IFERROR(__xludf.DUMMYFUNCTION("""COMPUTED_VALUE"""),"vupham.190504@gmail.com")</f>
        <v>vupham.190504@gmail.com</v>
      </c>
      <c r="C5" s="9" t="str">
        <f ca="1">IFERROR(__xludf.DUMMYFUNCTION("""COMPUTED_VALUE"""),"Phạm Đức Hoàng Vũ ")</f>
        <v xml:space="preserve">Phạm Đức Hoàng Vũ </v>
      </c>
      <c r="D5" s="9" t="str">
        <f ca="1">IFERROR(__xludf.DUMMYFUNCTION("""COMPUTED_VALUE"""),"K28")</f>
        <v>K28</v>
      </c>
      <c r="E5" s="9" t="str">
        <f ca="1">IFERROR(__xludf.DUMMYFUNCTION("""COMPUTED_VALUE"""),"CMU - TPM")</f>
        <v>CMU - TPM</v>
      </c>
      <c r="F5" s="9" t="str">
        <f ca="1">IFERROR(__xludf.DUMMYFUNCTION("""COMPUTED_VALUE"""),"Có những thông báo cần thiết như đánh giá rèn luyện, khai bao ngoại trú vân vân")</f>
        <v>Có những thông báo cần thiết như đánh giá rèn luyện, khai bao ngoại trú vân vân</v>
      </c>
      <c r="G5" s="9">
        <f ca="1">IFERROR(__xludf.DUMMYFUNCTION("""COMPUTED_VALUE"""),4)</f>
        <v>4</v>
      </c>
      <c r="H5" s="9" t="str">
        <f ca="1">IFERROR(__xludf.DUMMYFUNCTION("""COMPUTED_VALUE"""),"Bao giờ mình đăng kí bổ sung đánh giá rèn luyện lại vậy thầy")</f>
        <v>Bao giờ mình đăng kí bổ sung đánh giá rèn luyện lại vậy thầy</v>
      </c>
    </row>
    <row r="6" spans="1:8" ht="14.4">
      <c r="A6" s="22">
        <f ca="1">IFERROR(__xludf.DUMMYFUNCTION("""COMPUTED_VALUE"""),45188.7766432291)</f>
        <v>45188.776643229103</v>
      </c>
      <c r="B6" s="9" t="str">
        <f ca="1">IFERROR(__xludf.DUMMYFUNCTION("""COMPUTED_VALUE"""),"nguyennhat082004@gmail.com")</f>
        <v>nguyennhat082004@gmail.com</v>
      </c>
      <c r="C6" s="9" t="str">
        <f ca="1">IFERROR(__xludf.DUMMYFUNCTION("""COMPUTED_VALUE"""),"Nguyễn Thanh Nhật")</f>
        <v>Nguyễn Thanh Nhật</v>
      </c>
      <c r="D6" s="9" t="str">
        <f ca="1">IFERROR(__xludf.DUMMYFUNCTION("""COMPUTED_VALUE"""),"K28")</f>
        <v>K28</v>
      </c>
      <c r="E6" s="9" t="str">
        <f ca="1">IFERROR(__xludf.DUMMYFUNCTION("""COMPUTED_VALUE"""),"CMU - TPM")</f>
        <v>CMU - TPM</v>
      </c>
      <c r="F6" s="9" t="str">
        <f ca="1">IFERROR(__xludf.DUMMYFUNCTION("""COMPUTED_VALUE"""),"Tính năng giao tiếp đa phương tiện:  Khả năng tương tác với hình ảnh, âm thanh và video để cung cấp trải nghiệm đa phương tiện hơn.")</f>
        <v>Tính năng giao tiếp đa phương tiện:  Khả năng tương tác với hình ảnh, âm thanh và video để cung cấp trải nghiệm đa phương tiện hơn.</v>
      </c>
      <c r="G6" s="9">
        <f ca="1">IFERROR(__xludf.DUMMYFUNCTION("""COMPUTED_VALUE"""),5)</f>
        <v>5</v>
      </c>
      <c r="H6" s="9" t="str">
        <f ca="1">IFERROR(__xludf.DUMMYFUNCTION("""COMPUTED_VALUE"""),"1.Trường sẽ có học bổng đối với những sinh viên nào?
2.Trường có xây kí túc xá trong tương lai không?
3.Không đánh giá rèn luyện trong 1 học kì có mở lại không?
4.Nộp muộn học phí có thể là bao lâu?")</f>
        <v>1.Trường sẽ có học bổng đối với những sinh viên nào?
2.Trường có xây kí túc xá trong tương lai không?
3.Không đánh giá rèn luyện trong 1 học kì có mở lại không?
4.Nộp muộn học phí có thể là bao lâu?</v>
      </c>
    </row>
    <row r="7" spans="1:8" ht="14.4">
      <c r="A7" s="22">
        <f ca="1">IFERROR(__xludf.DUMMYFUNCTION("""COMPUTED_VALUE"""),45190.4065708564)</f>
        <v>45190.406570856401</v>
      </c>
      <c r="B7" s="9" t="str">
        <f ca="1">IFERROR(__xludf.DUMMYFUNCTION("""COMPUTED_VALUE"""),"windev.thang@gmail.com")</f>
        <v>windev.thang@gmail.com</v>
      </c>
      <c r="C7" s="9" t="str">
        <f ca="1">IFERROR(__xludf.DUMMYFUNCTION("""COMPUTED_VALUE"""),"Trương Quốc Thắng")</f>
        <v>Trương Quốc Thắng</v>
      </c>
      <c r="D7" s="9" t="str">
        <f ca="1">IFERROR(__xludf.DUMMYFUNCTION("""COMPUTED_VALUE"""),"K26")</f>
        <v>K26</v>
      </c>
      <c r="E7" s="9" t="str">
        <f ca="1">IFERROR(__xludf.DUMMYFUNCTION("""COMPUTED_VALUE"""),"CMU - TPM")</f>
        <v>CMU - TPM</v>
      </c>
      <c r="F7" s="9" t="str">
        <f ca="1">IFERROR(__xludf.DUMMYFUNCTION("""COMPUTED_VALUE"""),"Hướng dẫn chi tiết từng bước về giấy tờ (xin nộp học phí muộn, xin học vượt, ...)")</f>
        <v>Hướng dẫn chi tiết từng bước về giấy tờ (xin nộp học phí muộn, xin học vượt, ...)</v>
      </c>
      <c r="G7" s="9">
        <f ca="1">IFERROR(__xludf.DUMMYFUNCTION("""COMPUTED_VALUE"""),5)</f>
        <v>5</v>
      </c>
      <c r="H7" s="9" t="str">
        <f ca="1">IFERROR(__xludf.DUMMYFUNCTION("""COMPUTED_VALUE"""),"Điều kiện để được làm capstone?
Điều kiện nhận bằng tốt nghiệp?
Văn phòng của khoa &lt;tên khoa&gt; ở đâu?
Cách liên hệ thầy cô &lt;tên giảng viên&gt;?
Điểm học lại sẽ tính như thế nào?
Thư viện hoạt động lúc mấy giờ?
Cần gì khi đến thư viện?
Cách làm đơn phúc khảo b"&amp;"ài thi?")</f>
        <v>Điều kiện để được làm capstone?
Điều kiện nhận bằng tốt nghiệp?
Văn phòng của khoa &lt;tên khoa&gt; ở đâu?
Cách liên hệ thầy cô &lt;tên giảng viên&gt;?
Điểm học lại sẽ tính như thế nào?
Thư viện hoạt động lúc mấy giờ?
Cần gì khi đến thư viện?
Cách làm đơn phúc khảo bài thi?</v>
      </c>
    </row>
    <row r="8" spans="1:8" ht="14.4">
      <c r="A8" s="22">
        <f ca="1">IFERROR(__xludf.DUMMYFUNCTION("""COMPUTED_VALUE"""),45190.4456413425)</f>
        <v>45190.4456413425</v>
      </c>
      <c r="B8" s="9" t="str">
        <f ca="1">IFERROR(__xludf.DUMMYFUNCTION("""COMPUTED_VALUE"""),"tvinh8209@gmail.com")</f>
        <v>tvinh8209@gmail.com</v>
      </c>
      <c r="C8" s="9" t="str">
        <f ca="1">IFERROR(__xludf.DUMMYFUNCTION("""COMPUTED_VALUE"""),"Trần Phước Vinh")</f>
        <v>Trần Phước Vinh</v>
      </c>
      <c r="D8" s="9" t="str">
        <f ca="1">IFERROR(__xludf.DUMMYFUNCTION("""COMPUTED_VALUE"""),"K28")</f>
        <v>K28</v>
      </c>
      <c r="E8" s="9" t="str">
        <f ca="1">IFERROR(__xludf.DUMMYFUNCTION("""COMPUTED_VALUE"""),"CMU - TPM")</f>
        <v>CMU - TPM</v>
      </c>
      <c r="F8" s="9" t="str">
        <f ca="1">IFERROR(__xludf.DUMMYFUNCTION("""COMPUTED_VALUE"""),"Dạy tốt vui vẻ")</f>
        <v>Dạy tốt vui vẻ</v>
      </c>
      <c r="G8" s="9"/>
      <c r="H8" s="9" t="str">
        <f ca="1">IFERROR(__xludf.DUMMYFUNCTION("""COMPUTED_VALUE"""),"Lương nghề này cơ bản mới ra trường bao nhiu v thầy ?")</f>
        <v>Lương nghề này cơ bản mới ra trường bao nhiu v thầy ?</v>
      </c>
    </row>
    <row r="9" spans="1:8" ht="14.4">
      <c r="A9" s="22">
        <f ca="1">IFERROR(__xludf.DUMMYFUNCTION("""COMPUTED_VALUE"""),45190.4493584375)</f>
        <v>45190.449358437501</v>
      </c>
      <c r="B9" s="9" t="str">
        <f ca="1">IFERROR(__xludf.DUMMYFUNCTION("""COMPUTED_VALUE"""),"letrungdung.camlo@gmail.com")</f>
        <v>letrungdung.camlo@gmail.com</v>
      </c>
      <c r="C9" s="9" t="str">
        <f ca="1">IFERROR(__xludf.DUMMYFUNCTION("""COMPUTED_VALUE"""),"Lê Trung Dũng ")</f>
        <v xml:space="preserve">Lê Trung Dũng </v>
      </c>
      <c r="D9" s="9" t="str">
        <f ca="1">IFERROR(__xludf.DUMMYFUNCTION("""COMPUTED_VALUE"""),"K28")</f>
        <v>K28</v>
      </c>
      <c r="E9" s="9" t="str">
        <f ca="1">IFERROR(__xludf.DUMMYFUNCTION("""COMPUTED_VALUE"""),"CMU - TPM")</f>
        <v>CMU - TPM</v>
      </c>
      <c r="F9" s="9" t="str">
        <f ca="1">IFERROR(__xludf.DUMMYFUNCTION("""COMPUTED_VALUE"""),"Hỗ trợ giải bài với nhiều cách kèm lời giải thích chi tiết, đưa ra đề xuất lộ trình học, giải đáp một số khúc mắc về trường")</f>
        <v>Hỗ trợ giải bài với nhiều cách kèm lời giải thích chi tiết, đưa ra đề xuất lộ trình học, giải đáp một số khúc mắc về trường</v>
      </c>
      <c r="G9" s="9">
        <f ca="1">IFERROR(__xludf.DUMMYFUNCTION("""COMPUTED_VALUE"""),5)</f>
        <v>5</v>
      </c>
      <c r="H9" s="9" t="str">
        <f ca="1">IFERROR(__xludf.DUMMYFUNCTION("""COMPUTED_VALUE"""),"Lộ trình học khuyến nghị, học phí của kỳ học,....")</f>
        <v>Lộ trình học khuyến nghị, học phí của kỳ học,....</v>
      </c>
    </row>
    <row r="10" spans="1:8" ht="14.4">
      <c r="A10" s="22">
        <f ca="1">IFERROR(__xludf.DUMMYFUNCTION("""COMPUTED_VALUE"""),45190.5112590393)</f>
        <v>45190.511259039296</v>
      </c>
      <c r="B10" s="9" t="str">
        <f ca="1">IFERROR(__xludf.DUMMYFUNCTION("""COMPUTED_VALUE"""),"tuanminhtg004@gmail.com")</f>
        <v>tuanminhtg004@gmail.com</v>
      </c>
      <c r="C10" s="9" t="str">
        <f ca="1">IFERROR(__xludf.DUMMYFUNCTION("""COMPUTED_VALUE"""),"Đặng Tuấn Minh")</f>
        <v>Đặng Tuấn Minh</v>
      </c>
      <c r="D10" s="9" t="str">
        <f ca="1">IFERROR(__xludf.DUMMYFUNCTION("""COMPUTED_VALUE"""),"K28")</f>
        <v>K28</v>
      </c>
      <c r="E10" s="9" t="str">
        <f ca="1">IFERROR(__xludf.DUMMYFUNCTION("""COMPUTED_VALUE"""),"CMU - TPM")</f>
        <v>CMU - TPM</v>
      </c>
      <c r="F10" s="9" t="str">
        <f ca="1">IFERROR(__xludf.DUMMYFUNCTION("""COMPUTED_VALUE"""),"Có thể tự động đưa ra các câu trả lời cần thiết. Có thể phản hồi bằng chatbot hoặc trả lời trực tiếp")</f>
        <v>Có thể tự động đưa ra các câu trả lời cần thiết. Có thể phản hồi bằng chatbot hoặc trả lời trực tiếp</v>
      </c>
      <c r="G10" s="9">
        <f ca="1">IFERROR(__xludf.DUMMYFUNCTION("""COMPUTED_VALUE"""),4)</f>
        <v>4</v>
      </c>
      <c r="H10" s="9" t="str">
        <f ca="1">IFERROR(__xludf.DUMMYFUNCTION("""COMPUTED_VALUE"""),"1. Học phí ngành mình các khoá sau có tăng không ạ
2. Điểm thi học kỳ sao hiện trễ vậy thầy")</f>
        <v>1. Học phí ngành mình các khoá sau có tăng không ạ
2. Điểm thi học kỳ sao hiện trễ vậy thầy</v>
      </c>
    </row>
    <row r="11" spans="1:8" ht="14.4">
      <c r="A11" s="22">
        <f ca="1">IFERROR(__xludf.DUMMYFUNCTION("""COMPUTED_VALUE"""),45190.5367817824)</f>
        <v>45190.536781782401</v>
      </c>
      <c r="B11" s="9" t="str">
        <f ca="1">IFERROR(__xludf.DUMMYFUNCTION("""COMPUTED_VALUE"""),"karrymy1@gmail.com")</f>
        <v>karrymy1@gmail.com</v>
      </c>
      <c r="C11" s="9" t="str">
        <f ca="1">IFERROR(__xludf.DUMMYFUNCTION("""COMPUTED_VALUE"""),"Nguyễn Đình Quang")</f>
        <v>Nguyễn Đình Quang</v>
      </c>
      <c r="D11" s="9" t="str">
        <f ca="1">IFERROR(__xludf.DUMMYFUNCTION("""COMPUTED_VALUE"""),"K28")</f>
        <v>K28</v>
      </c>
      <c r="E11" s="9" t="str">
        <f ca="1">IFERROR(__xludf.DUMMYFUNCTION("""COMPUTED_VALUE"""),"CMU - TPM")</f>
        <v>CMU - TPM</v>
      </c>
      <c r="F11" s="9" t="str">
        <f ca="1">IFERROR(__xludf.DUMMYFUNCTION("""COMPUTED_VALUE"""),"nạp tiền học phí cho trường học không cần phải rườm rã hoặc quá cũ như xưa và hiện tại")</f>
        <v>nạp tiền học phí cho trường học không cần phải rườm rã hoặc quá cũ như xưa và hiện tại</v>
      </c>
      <c r="G11" s="9">
        <f ca="1">IFERROR(__xludf.DUMMYFUNCTION("""COMPUTED_VALUE"""),4)</f>
        <v>4</v>
      </c>
      <c r="H11" s="9" t="str">
        <f ca="1">IFERROR(__xludf.DUMMYFUNCTION("""COMPUTED_VALUE"""),"Đã nạp học phí cho trường nhưng vẫn bị khoá tài khoản do quên kèm mssv")</f>
        <v>Đã nạp học phí cho trường nhưng vẫn bị khoá tài khoản do quên kèm mssv</v>
      </c>
    </row>
    <row r="12" spans="1:8" ht="14.4">
      <c r="A12" s="22">
        <f ca="1">IFERROR(__xludf.DUMMYFUNCTION("""COMPUTED_VALUE"""),45190.8190780787)</f>
        <v>45190.819078078697</v>
      </c>
      <c r="B12" s="9" t="str">
        <f ca="1">IFERROR(__xludf.DUMMYFUNCTION("""COMPUTED_VALUE"""),"nguyenphihien1011@gmail.com")</f>
        <v>nguyenphihien1011@gmail.com</v>
      </c>
      <c r="C12" s="9" t="str">
        <f ca="1">IFERROR(__xludf.DUMMYFUNCTION("""COMPUTED_VALUE"""),"Nguyễn Phi Hiền")</f>
        <v>Nguyễn Phi Hiền</v>
      </c>
      <c r="D12" s="9" t="str">
        <f ca="1">IFERROR(__xludf.DUMMYFUNCTION("""COMPUTED_VALUE"""),"K26")</f>
        <v>K26</v>
      </c>
      <c r="E12" s="9" t="str">
        <f ca="1">IFERROR(__xludf.DUMMYFUNCTION("""COMPUTED_VALUE"""),"CMU - TPM")</f>
        <v>CMU - TPM</v>
      </c>
      <c r="F12" s="9" t="str">
        <f ca="1">IFERROR(__xludf.DUMMYFUNCTION("""COMPUTED_VALUE"""),"Trả lời câu hỏi liên quan về trường và các gợi ý  cho sinh viên trong việc học")</f>
        <v>Trả lời câu hỏi liên quan về trường và các gợi ý  cho sinh viên trong việc học</v>
      </c>
      <c r="G12" s="9">
        <f ca="1">IFERROR(__xludf.DUMMYFUNCTION("""COMPUTED_VALUE"""),5)</f>
        <v>5</v>
      </c>
      <c r="H12" s="9" t="str">
        <f ca="1">IFERROR(__xludf.DUMMYFUNCTION("""COMPUTED_VALUE"""),"Một sinh viên đwọc phép đăng ký bao nhiêu tin chỉ 1  kỳ ?")</f>
        <v>Một sinh viên đwọc phép đăng ký bao nhiêu tin chỉ 1  kỳ ?</v>
      </c>
    </row>
    <row r="13" spans="1:8" ht="14.4">
      <c r="A13" s="22">
        <f ca="1">IFERROR(__xludf.DUMMYFUNCTION("""COMPUTED_VALUE"""),45190.8645901388)</f>
        <v>45190.864590138801</v>
      </c>
      <c r="B13" s="9" t="str">
        <f ca="1">IFERROR(__xludf.DUMMYFUNCTION("""COMPUTED_VALUE"""),"lehoahiepk98@gmail.com")</f>
        <v>lehoahiepk98@gmail.com</v>
      </c>
      <c r="C13" s="9" t="str">
        <f ca="1">IFERROR(__xludf.DUMMYFUNCTION("""COMPUTED_VALUE"""),"Lê Hòa Hiệp")</f>
        <v>Lê Hòa Hiệp</v>
      </c>
      <c r="D13" s="9" t="str">
        <f ca="1">IFERROR(__xludf.DUMMYFUNCTION("""COMPUTED_VALUE"""),"K28")</f>
        <v>K28</v>
      </c>
      <c r="E13" s="9" t="str">
        <f ca="1">IFERROR(__xludf.DUMMYFUNCTION("""COMPUTED_VALUE"""),"CMU - TPM")</f>
        <v>CMU - TPM</v>
      </c>
      <c r="F13" s="9" t="str">
        <f ca="1">IFERROR(__xludf.DUMMYFUNCTION("""COMPUTED_VALUE"""),"gợi ý những loại giấy tờ cần thiết khi bắt đầu năm học mới như giấy hoãn nghĩa vụ quân sự, đưa ra thời gian có điểm cụ thể cho bài kiểm tra cuối kì, gợi ý cho học sinh những lớp có thể đăng kí thêm hoặc đổi mà không bị trùng lịch, cung cấp gmail của tất c"&amp;"ả các thầy cô khi được hỏi, cung cấp tất cả các link file sách của các môn")</f>
        <v>gợi ý những loại giấy tờ cần thiết khi bắt đầu năm học mới như giấy hoãn nghĩa vụ quân sự, đưa ra thời gian có điểm cụ thể cho bài kiểm tra cuối kì, gợi ý cho học sinh những lớp có thể đăng kí thêm hoặc đổi mà không bị trùng lịch, cung cấp gmail của tất cả các thầy cô khi được hỏi, cung cấp tất cả các link file sách của các môn</v>
      </c>
      <c r="G13" s="9">
        <f ca="1">IFERROR(__xludf.DUMMYFUNCTION("""COMPUTED_VALUE"""),5)</f>
        <v>5</v>
      </c>
      <c r="H13" s="9" t="str">
        <f ca="1">IFERROR(__xludf.DUMMYFUNCTION("""COMPUTED_VALUE"""),"Xét học bổng theo hình thức nào?")</f>
        <v>Xét học bổng theo hình thức nào?</v>
      </c>
    </row>
    <row r="14" spans="1:8" ht="14.4">
      <c r="A14" s="22">
        <f ca="1">IFERROR(__xludf.DUMMYFUNCTION("""COMPUTED_VALUE"""),45191.4276561805)</f>
        <v>45191.427656180502</v>
      </c>
      <c r="B14" s="9" t="str">
        <f ca="1">IFERROR(__xludf.DUMMYFUNCTION("""COMPUTED_VALUE"""),"nhatngo147@gmail.com")</f>
        <v>nhatngo147@gmail.com</v>
      </c>
      <c r="C14" s="9" t="str">
        <f ca="1">IFERROR(__xludf.DUMMYFUNCTION("""COMPUTED_VALUE"""),"Ngô Viết Nhật")</f>
        <v>Ngô Viết Nhật</v>
      </c>
      <c r="D14" s="9" t="str">
        <f ca="1">IFERROR(__xludf.DUMMYFUNCTION("""COMPUTED_VALUE"""),"K28")</f>
        <v>K28</v>
      </c>
      <c r="E14" s="9" t="str">
        <f ca="1">IFERROR(__xludf.DUMMYFUNCTION("""COMPUTED_VALUE"""),"CMU - TPM")</f>
        <v>CMU - TPM</v>
      </c>
      <c r="F14" s="9" t="str">
        <f ca="1">IFERROR(__xludf.DUMMYFUNCTION("""COMPUTED_VALUE"""),"chưa suy nghĩ ra ạ")</f>
        <v>chưa suy nghĩ ra ạ</v>
      </c>
      <c r="G14" s="9">
        <f ca="1">IFERROR(__xludf.DUMMYFUNCTION("""COMPUTED_VALUE"""),5)</f>
        <v>5</v>
      </c>
      <c r="H14" s="9" t="str">
        <f ca="1">IFERROR(__xludf.DUMMYFUNCTION("""COMPUTED_VALUE"""),"mình nộp học phí trễ thì làm sao để mở lại tài khoản mydtu ạ")</f>
        <v>mình nộp học phí trễ thì làm sao để mở lại tài khoản mydtu ạ</v>
      </c>
    </row>
    <row r="15" spans="1:8" ht="14.4">
      <c r="A15" s="22">
        <f ca="1">IFERROR(__xludf.DUMMYFUNCTION("""COMPUTED_VALUE"""),45191.8421649768)</f>
        <v>45191.842164976799</v>
      </c>
      <c r="B15" s="9" t="str">
        <f ca="1">IFERROR(__xludf.DUMMYFUNCTION("""COMPUTED_VALUE"""),"lethithuylinh27032003@gmail.com")</f>
        <v>lethithuylinh27032003@gmail.com</v>
      </c>
      <c r="C15" s="9" t="str">
        <f ca="1">IFERROR(__xludf.DUMMYFUNCTION("""COMPUTED_VALUE"""),"Lê thị thuỳ linh")</f>
        <v>Lê thị thuỳ linh</v>
      </c>
      <c r="D15" s="9" t="str">
        <f ca="1">IFERROR(__xludf.DUMMYFUNCTION("""COMPUTED_VALUE"""),"K27")</f>
        <v>K27</v>
      </c>
      <c r="E15" s="9" t="str">
        <f ca="1">IFERROR(__xludf.DUMMYFUNCTION("""COMPUTED_VALUE"""),"CMU - TTT")</f>
        <v>CMU - TTT</v>
      </c>
      <c r="F15" s="9" t="str">
        <f ca="1">IFERROR(__xludf.DUMMYFUNCTION("""COMPUTED_VALUE"""),"Không")</f>
        <v>Không</v>
      </c>
      <c r="G15" s="9">
        <f ca="1">IFERROR(__xludf.DUMMYFUNCTION("""COMPUTED_VALUE"""),5)</f>
        <v>5</v>
      </c>
      <c r="H15" s="9" t="str">
        <f ca="1">IFERROR(__xludf.DUMMYFUNCTION("""COMPUTED_VALUE"""),"Tổng một khoá học bao nhiêu tín chỉ ")</f>
        <v xml:space="preserve">Tổng một khoá học bao nhiêu tín chỉ </v>
      </c>
    </row>
    <row r="16" spans="1:8" ht="14.4">
      <c r="A16" s="22">
        <f ca="1">IFERROR(__xludf.DUMMYFUNCTION("""COMPUTED_VALUE"""),45191.8429223263)</f>
        <v>45191.842922326301</v>
      </c>
      <c r="B16" s="9" t="str">
        <f ca="1">IFERROR(__xludf.DUMMYFUNCTION("""COMPUTED_VALUE"""),"ngocmai27012003@gmail.com")</f>
        <v>ngocmai27012003@gmail.com</v>
      </c>
      <c r="C16" s="9" t="str">
        <f ca="1">IFERROR(__xludf.DUMMYFUNCTION("""COMPUTED_VALUE"""),"Trần Thị Ngọc Mai")</f>
        <v>Trần Thị Ngọc Mai</v>
      </c>
      <c r="D16" s="9" t="str">
        <f ca="1">IFERROR(__xludf.DUMMYFUNCTION("""COMPUTED_VALUE"""),"K27")</f>
        <v>K27</v>
      </c>
      <c r="E16" s="9" t="str">
        <f ca="1">IFERROR(__xludf.DUMMYFUNCTION("""COMPUTED_VALUE"""),"CMU - TTT")</f>
        <v>CMU - TTT</v>
      </c>
      <c r="F16" s="9" t="str">
        <f ca="1">IFERROR(__xludf.DUMMYFUNCTION("""COMPUTED_VALUE"""),"Giải được tất cả bài tập gv ra:3")</f>
        <v>Giải được tất cả bài tập gv ra:3</v>
      </c>
      <c r="G16" s="9">
        <f ca="1">IFERROR(__xludf.DUMMYFUNCTION("""COMPUTED_VALUE"""),5)</f>
        <v>5</v>
      </c>
      <c r="H16" s="9" t="str">
        <f ca="1">IFERROR(__xludf.DUMMYFUNCTION("""COMPUTED_VALUE"""),"Nghành mình sau khi ra trường sẽ làm gì?")</f>
        <v>Nghành mình sau khi ra trường sẽ làm gì?</v>
      </c>
    </row>
    <row r="17" spans="1:8" ht="14.4">
      <c r="A17" s="22">
        <f ca="1">IFERROR(__xludf.DUMMYFUNCTION("""COMPUTED_VALUE"""),45191.8437764236)</f>
        <v>45191.843776423601</v>
      </c>
      <c r="B17" s="9" t="str">
        <f ca="1">IFERROR(__xludf.DUMMYFUNCTION("""COMPUTED_VALUE"""),"ngocmai27012003@gmail.com")</f>
        <v>ngocmai27012003@gmail.com</v>
      </c>
      <c r="C17" s="9" t="str">
        <f ca="1">IFERROR(__xludf.DUMMYFUNCTION("""COMPUTED_VALUE"""),"Trần Thị Ngọc Mai")</f>
        <v>Trần Thị Ngọc Mai</v>
      </c>
      <c r="D17" s="9" t="str">
        <f ca="1">IFERROR(__xludf.DUMMYFUNCTION("""COMPUTED_VALUE"""),"K27")</f>
        <v>K27</v>
      </c>
      <c r="E17" s="9" t="str">
        <f ca="1">IFERROR(__xludf.DUMMYFUNCTION("""COMPUTED_VALUE"""),"CMU - TTT")</f>
        <v>CMU - TTT</v>
      </c>
      <c r="F17" s="9" t="str">
        <f ca="1">IFERROR(__xludf.DUMMYFUNCTION("""COMPUTED_VALUE"""),"Phát người yêu")</f>
        <v>Phát người yêu</v>
      </c>
      <c r="G17" s="9">
        <f ca="1">IFERROR(__xludf.DUMMYFUNCTION("""COMPUTED_VALUE"""),5)</f>
        <v>5</v>
      </c>
      <c r="H17" s="9" t="str">
        <f ca="1">IFERROR(__xludf.DUMMYFUNCTION("""COMPUTED_VALUE"""),"Nghành mình nên quan tâm vào ngôn ngữ lập trình gì")</f>
        <v>Nghành mình nên quan tâm vào ngôn ngữ lập trình gì</v>
      </c>
    </row>
    <row r="18" spans="1:8" ht="14.4">
      <c r="A18" s="22">
        <f ca="1">IFERROR(__xludf.DUMMYFUNCTION("""COMPUTED_VALUE"""),45191.8454656134)</f>
        <v>45191.845465613398</v>
      </c>
      <c r="B18" s="9" t="str">
        <f ca="1">IFERROR(__xludf.DUMMYFUNCTION("""COMPUTED_VALUE"""),"ngocmai27012003@gmail.com")</f>
        <v>ngocmai27012003@gmail.com</v>
      </c>
      <c r="C18" s="9" t="str">
        <f ca="1">IFERROR(__xludf.DUMMYFUNCTION("""COMPUTED_VALUE"""),"Trần Thị Ngọc Mai")</f>
        <v>Trần Thị Ngọc Mai</v>
      </c>
      <c r="D18" s="9" t="str">
        <f ca="1">IFERROR(__xludf.DUMMYFUNCTION("""COMPUTED_VALUE"""),"K27")</f>
        <v>K27</v>
      </c>
      <c r="E18" s="9" t="str">
        <f ca="1">IFERROR(__xludf.DUMMYFUNCTION("""COMPUTED_VALUE"""),"CMU - TTT")</f>
        <v>CMU - TTT</v>
      </c>
      <c r="F18" s="9" t="str">
        <f ca="1">IFERROR(__xludf.DUMMYFUNCTION("""COMPUTED_VALUE"""),"nhập mã số sinh viên chatbot sẽ list ra bảng điểm,điểm rèn luyện,...")</f>
        <v>nhập mã số sinh viên chatbot sẽ list ra bảng điểm,điểm rèn luyện,...</v>
      </c>
      <c r="G18" s="9">
        <f ca="1">IFERROR(__xludf.DUMMYFUNCTION("""COMPUTED_VALUE"""),5)</f>
        <v>5</v>
      </c>
      <c r="H18" s="9" t="str">
        <f ca="1">IFERROR(__xludf.DUMMYFUNCTION("""COMPUTED_VALUE"""),"Năm sau trường có tăng học phí không ạ")</f>
        <v>Năm sau trường có tăng học phí không ạ</v>
      </c>
    </row>
    <row r="19" spans="1:8" ht="14.4">
      <c r="A19" s="22">
        <f ca="1">IFERROR(__xludf.DUMMYFUNCTION("""COMPUTED_VALUE"""),45191.8470600463)</f>
        <v>45191.847060046297</v>
      </c>
      <c r="B19" s="9" t="str">
        <f ca="1">IFERROR(__xludf.DUMMYFUNCTION("""COMPUTED_VALUE"""),"tranvanduc01102001@gmail.com")</f>
        <v>tranvanduc01102001@gmail.com</v>
      </c>
      <c r="C19" s="9" t="str">
        <f ca="1">IFERROR(__xludf.DUMMYFUNCTION("""COMPUTED_VALUE"""),"Trần văn đức")</f>
        <v>Trần văn đức</v>
      </c>
      <c r="D19" s="9" t="str">
        <f ca="1">IFERROR(__xludf.DUMMYFUNCTION("""COMPUTED_VALUE"""),"K26")</f>
        <v>K26</v>
      </c>
      <c r="E19" s="9" t="str">
        <f ca="1">IFERROR(__xludf.DUMMYFUNCTION("""COMPUTED_VALUE"""),"CMU - TPM")</f>
        <v>CMU - TPM</v>
      </c>
      <c r="F19" s="9" t="str">
        <f ca="1">IFERROR(__xludf.DUMMYFUNCTION("""COMPUTED_VALUE"""),"Không có")</f>
        <v>Không có</v>
      </c>
      <c r="G19" s="9">
        <f ca="1">IFERROR(__xludf.DUMMYFUNCTION("""COMPUTED_VALUE"""),5)</f>
        <v>5</v>
      </c>
      <c r="H19" s="9" t="str">
        <f ca="1">IFERROR(__xludf.DUMMYFUNCTION("""COMPUTED_VALUE"""),"Em học 16 tín làm sao để lên 20 tín mà em không đăng kí được nữa vì bị trùng môn
Mấy môn bị dính nhau làm thế nào để tách ra
Em học lại môn điểm bị thấp hơn có làm sao không. Lấy điểm nào
Em chậm học phí 2 tháng có sao không")</f>
        <v>Em học 16 tín làm sao để lên 20 tín mà em không đăng kí được nữa vì bị trùng môn
Mấy môn bị dính nhau làm thế nào để tách ra
Em học lại môn điểm bị thấp hơn có làm sao không. Lấy điểm nào
Em chậm học phí 2 tháng có sao không</v>
      </c>
    </row>
    <row r="20" spans="1:8" ht="14.4">
      <c r="A20" s="22">
        <f ca="1">IFERROR(__xludf.DUMMYFUNCTION("""COMPUTED_VALUE"""),45191.8470771759)</f>
        <v>45191.847077175902</v>
      </c>
      <c r="B20" s="9" t="str">
        <f ca="1">IFERROR(__xludf.DUMMYFUNCTION("""COMPUTED_VALUE"""),"maithantoan1070@gmail.com")</f>
        <v>maithantoan1070@gmail.com</v>
      </c>
      <c r="C20" s="9" t="str">
        <f ca="1">IFERROR(__xludf.DUMMYFUNCTION("""COMPUTED_VALUE"""),"Mai Thanh Toàn")</f>
        <v>Mai Thanh Toàn</v>
      </c>
      <c r="D20" s="9" t="str">
        <f ca="1">IFERROR(__xludf.DUMMYFUNCTION("""COMPUTED_VALUE"""),"K26")</f>
        <v>K26</v>
      </c>
      <c r="E20" s="9" t="str">
        <f ca="1">IFERROR(__xludf.DUMMYFUNCTION("""COMPUTED_VALUE"""),"CMU - TPM")</f>
        <v>CMU - TPM</v>
      </c>
      <c r="F20" s="9" t="str">
        <f ca="1">IFERROR(__xludf.DUMMYFUNCTION("""COMPUTED_VALUE"""),"Hỏi gì nó cũng trả lời được ạ")</f>
        <v>Hỏi gì nó cũng trả lời được ạ</v>
      </c>
      <c r="G20" s="9">
        <f ca="1">IFERROR(__xludf.DUMMYFUNCTION("""COMPUTED_VALUE"""),3)</f>
        <v>3</v>
      </c>
      <c r="H20" s="9" t="str">
        <f ca="1">IFERROR(__xludf.DUMMYFUNCTION("""COMPUTED_VALUE"""),"1.Cô ơi trường mới sửa lại. Phải đăng nhập zoom bằng mail trường á. Mà bọn e lại ko biết mật khẩu á cô
2. Cô ơi cái đánh giá kết quả rèn luyện của sinh viên hk1 là mình tự làm hả cô
3. Cô ơi có bạn học tpm mà nay khám sức khỏe nhưng có việc bận,Thế bạn ch"&amp;"uyển sang khám chung với lớp mình k cô.
4.Cô ơi trong mydtu cái số dư học phí còn thì e cần đóng học phí nữa k ạ
5.Cô ơi viện xếp lịch cho bọn e bị trùng h phải làm sao ạ
6.cô ơi em đky hơi nhiều chỉ hè. bh em muốn làm đơn hủy bớt đko cô, hay bắt buộc học"&amp;" ạ.
7.Cô ơi . Em muốn đăng ký giảm học phí với điều kiện là hai anh em học chung trường thì chiều nay em lên làm được không ạ
8.Cho em hỏi thêm trong đơn ghi điểm năm 2021-2022 thì mình lấy trung bình hai kỳ thôi đúng không ạ
9.cô ơi khóa tụi em chuẩn bị "&amp;"học quân sự tới đây đúng không ạ. tại có nhiều tin không rõ quá nên em nhắn cô thử ạ")</f>
        <v>1.Cô ơi trường mới sửa lại. Phải đăng nhập zoom bằng mail trường á. Mà bọn e lại ko biết mật khẩu á cô
2. Cô ơi cái đánh giá kết quả rèn luyện của sinh viên hk1 là mình tự làm hả cô
3. Cô ơi có bạn học tpm mà nay khám sức khỏe nhưng có việc bận,Thế bạn chuyển sang khám chung với lớp mình k cô.
4.Cô ơi trong mydtu cái số dư học phí còn thì e cần đóng học phí nữa k ạ
5.Cô ơi viện xếp lịch cho bọn e bị trùng h phải làm sao ạ
6.cô ơi em đky hơi nhiều chỉ hè. bh em muốn làm đơn hủy bớt đko cô, hay bắt buộc học ạ.
7.Cô ơi . Em muốn đăng ký giảm học phí với điều kiện là hai anh em học chung trường thì chiều nay em lên làm được không ạ
8.Cho em hỏi thêm trong đơn ghi điểm năm 2021-2022 thì mình lấy trung bình hai kỳ thôi đúng không ạ
9.cô ơi khóa tụi em chuẩn bị học quân sự tới đây đúng không ạ. tại có nhiều tin không rõ quá nên em nhắn cô thử ạ</v>
      </c>
    </row>
    <row r="21" spans="1:8" ht="14.4">
      <c r="A21" s="22">
        <f ca="1">IFERROR(__xludf.DUMMYFUNCTION("""COMPUTED_VALUE"""),45191.8487346064)</f>
        <v>45191.848734606399</v>
      </c>
      <c r="B21" s="9" t="str">
        <f ca="1">IFERROR(__xludf.DUMMYFUNCTION("""COMPUTED_VALUE"""),"huynhkimthu02@gmail.com")</f>
        <v>huynhkimthu02@gmail.com</v>
      </c>
      <c r="C21" s="9" t="str">
        <f ca="1">IFERROR(__xludf.DUMMYFUNCTION("""COMPUTED_VALUE"""),"Huỳnh Nguyễn Kim Thư ")</f>
        <v xml:space="preserve">Huỳnh Nguyễn Kim Thư </v>
      </c>
      <c r="D21" s="9" t="str">
        <f ca="1">IFERROR(__xludf.DUMMYFUNCTION("""COMPUTED_VALUE"""),"K26")</f>
        <v>K26</v>
      </c>
      <c r="E21" s="9" t="str">
        <f ca="1">IFERROR(__xludf.DUMMYFUNCTION("""COMPUTED_VALUE"""),"CMU - TPM")</f>
        <v>CMU - TPM</v>
      </c>
      <c r="F21" s="9" t="str">
        <f ca="1">IFERROR(__xludf.DUMMYFUNCTION("""COMPUTED_VALUE"""),"Trả lời nhanh như gió ")</f>
        <v xml:space="preserve">Trả lời nhanh như gió </v>
      </c>
      <c r="G21" s="9">
        <f ca="1">IFERROR(__xludf.DUMMYFUNCTION("""COMPUTED_VALUE"""),3)</f>
        <v>3</v>
      </c>
      <c r="H21" s="9" t="str">
        <f ca="1">IFERROR(__xludf.DUMMYFUNCTION("""COMPUTED_VALUE"""),"1.Cô ơi, trong mail cô Trinh có yêu cầu là mặc đồng phục Duy Tân, em và các bạn không có thì mặc đồ gì vậy cô. 
2. Làm đơn giảm học phí thì lên khoa gặp ai vậy cô
3. Cô ơi, cho em hỏi chút, mai tụi em có lịch thể dục mà lịch mydtu mới đổi qua màu xanh, vậ"&amp;"y tụi em ở nhà học onl hay sao cô
4. Cô ơi, cho em hỏi chút được không cô. Nhà em bố em bị Covid cách li tại nhà ấy ạ, mà tuần sau còn cách li tới 4 ngày nữa á cô. Như vậy là em có đi học được không cô
5. Cô ơi, em muốn đổi môn bóng đá sang môn khác đc kh"&amp;"ông cô
6. Quên mật khẩu mydtu thì làm như thế nào ạ
7. Khoa quốc tế nằm ở đâu vậy ạ
8. Khi nào có lịch học mới vậy ạ
9. Cho em hỏi trường mình có câu lạc bộ gì không ạ?
10. Trường mình toeic thì cần bao nhiêu điểm để tốt nghiệp được ạ")</f>
        <v>1.Cô ơi, trong mail cô Trinh có yêu cầu là mặc đồng phục Duy Tân, em và các bạn không có thì mặc đồ gì vậy cô. 
2. Làm đơn giảm học phí thì lên khoa gặp ai vậy cô
3. Cô ơi, cho em hỏi chút, mai tụi em có lịch thể dục mà lịch mydtu mới đổi qua màu xanh, vậy tụi em ở nhà học onl hay sao cô
4. Cô ơi, cho em hỏi chút được không cô. Nhà em bố em bị Covid cách li tại nhà ấy ạ, mà tuần sau còn cách li tới 4 ngày nữa á cô. Như vậy là em có đi học được không cô
5. Cô ơi, em muốn đổi môn bóng đá sang môn khác đc không cô
6. Quên mật khẩu mydtu thì làm như thế nào ạ
7. Khoa quốc tế nằm ở đâu vậy ạ
8. Khi nào có lịch học mới vậy ạ
9. Cho em hỏi trường mình có câu lạc bộ gì không ạ?
10. Trường mình toeic thì cần bao nhiêu điểm để tốt nghiệp được ạ</v>
      </c>
    </row>
    <row r="22" spans="1:8" ht="14.4">
      <c r="A22" s="22">
        <f ca="1">IFERROR(__xludf.DUMMYFUNCTION("""COMPUTED_VALUE"""),45191.852512662)</f>
        <v>45191.852512662001</v>
      </c>
      <c r="B22" s="9" t="str">
        <f ca="1">IFERROR(__xludf.DUMMYFUNCTION("""COMPUTED_VALUE"""),"qhbp2002@gmail.com")</f>
        <v>qhbp2002@gmail.com</v>
      </c>
      <c r="C22" s="9" t="str">
        <f ca="1">IFERROR(__xludf.DUMMYFUNCTION("""COMPUTED_VALUE"""),"Lê Đức Quốc")</f>
        <v>Lê Đức Quốc</v>
      </c>
      <c r="D22" s="9" t="str">
        <f ca="1">IFERROR(__xludf.DUMMYFUNCTION("""COMPUTED_VALUE"""),"K26")</f>
        <v>K26</v>
      </c>
      <c r="E22" s="9" t="str">
        <f ca="1">IFERROR(__xludf.DUMMYFUNCTION("""COMPUTED_VALUE"""),"CMU - TPM")</f>
        <v>CMU - TPM</v>
      </c>
      <c r="F22" s="9" t="str">
        <f ca="1">IFERROR(__xludf.DUMMYFUNCTION("""COMPUTED_VALUE"""),"Trả lời những câu hỏi hóc búa, và nói rõ các bước hướng dẫn làm gì. Có tính năng đưa ra được những môn học cần nên học sớm và hướng đi tư vấn về cách học thông minh.")</f>
        <v>Trả lời những câu hỏi hóc búa, và nói rõ các bước hướng dẫn làm gì. Có tính năng đưa ra được những môn học cần nên học sớm và hướng đi tư vấn về cách học thông minh.</v>
      </c>
      <c r="G22" s="9">
        <f ca="1">IFERROR(__xludf.DUMMYFUNCTION("""COMPUTED_VALUE"""),4)</f>
        <v>4</v>
      </c>
      <c r="H22" s="9" t="str">
        <f ca="1">IFERROR(__xludf.DUMMYFUNCTION("""COMPUTED_VALUE"""),"Thông báo nghỉ học do bão là cô hay trường đăng lên ạ?
Học hè là mình tự đăng kí phải không ạ?
Hè này em đăng kí môn Writing 2 mà kì 1 năm 2 có môn thì em có cần phải học không ạ?
Trường sắp xếp môn cho em là bóng đá mà em muốn đổi qua bóng chuyền được kh"&amp;"ông ạ?
Năm 1 kì 2 có được chuyển ngành không?
")</f>
        <v xml:space="preserve">Thông báo nghỉ học do bão là cô hay trường đăng lên ạ?
Học hè là mình tự đăng kí phải không ạ?
Hè này em đăng kí môn Writing 2 mà kì 1 năm 2 có môn thì em có cần phải học không ạ?
Trường sắp xếp môn cho em là bóng đá mà em muốn đổi qua bóng chuyền được không ạ?
Năm 1 kì 2 có được chuyển ngành không?
</v>
      </c>
    </row>
    <row r="23" spans="1:8" ht="14.4">
      <c r="A23" s="22">
        <f ca="1">IFERROR(__xludf.DUMMYFUNCTION("""COMPUTED_VALUE"""),45191.8529462384)</f>
        <v>45191.852946238403</v>
      </c>
      <c r="B23" s="9" t="str">
        <f ca="1">IFERROR(__xludf.DUMMYFUNCTION("""COMPUTED_VALUE"""),"ducminh231003@gmail.com")</f>
        <v>ducminh231003@gmail.com</v>
      </c>
      <c r="C23" s="9" t="str">
        <f ca="1">IFERROR(__xludf.DUMMYFUNCTION("""COMPUTED_VALUE"""),"Trần Đức Minh")</f>
        <v>Trần Đức Minh</v>
      </c>
      <c r="D23" s="9" t="str">
        <f ca="1">IFERROR(__xludf.DUMMYFUNCTION("""COMPUTED_VALUE"""),"K27")</f>
        <v>K27</v>
      </c>
      <c r="E23" s="9" t="str">
        <f ca="1">IFERROR(__xludf.DUMMYFUNCTION("""COMPUTED_VALUE"""),"CMU - TPM")</f>
        <v>CMU - TPM</v>
      </c>
      <c r="F23" s="9" t="str">
        <f ca="1">IFERROR(__xludf.DUMMYFUNCTION("""COMPUTED_VALUE"""),"có")</f>
        <v>có</v>
      </c>
      <c r="G23" s="9">
        <f ca="1">IFERROR(__xludf.DUMMYFUNCTION("""COMPUTED_VALUE"""),3)</f>
        <v>3</v>
      </c>
      <c r="H23" s="9" t="str">
        <f ca="1">IFERROR(__xludf.DUMMYFUNCTION("""COMPUTED_VALUE"""),"1. Nên học ngành theo xu hướng hay ngành theo sở thích của mình?
2. Em có nên đi theo đám đông về ngành nghề hay không?
3. Em nên học eilts hay toeic?
4. Em có thể học các ngôn ngữ khác ngoài tiếng anh để ra trường không thầy? Ví dụ?
5. Em không biết sử d"&amp;"ụng máy tính thì phải học như thế nào ?")</f>
        <v>1. Nên học ngành theo xu hướng hay ngành theo sở thích của mình?
2. Em có nên đi theo đám đông về ngành nghề hay không?
3. Em nên học eilts hay toeic?
4. Em có thể học các ngôn ngữ khác ngoài tiếng anh để ra trường không thầy? Ví dụ?
5. Em không biết sử dụng máy tính thì phải học như thế nào ?</v>
      </c>
    </row>
    <row r="24" spans="1:8" ht="14.4">
      <c r="A24" s="22">
        <f ca="1">IFERROR(__xludf.DUMMYFUNCTION("""COMPUTED_VALUE"""),45191.8647497453)</f>
        <v>45191.864749745298</v>
      </c>
      <c r="B24" s="9" t="str">
        <f ca="1">IFERROR(__xludf.DUMMYFUNCTION("""COMPUTED_VALUE"""),"tannguyen.010201@gmail.com")</f>
        <v>tannguyen.010201@gmail.com</v>
      </c>
      <c r="C24" s="9" t="str">
        <f ca="1">IFERROR(__xludf.DUMMYFUNCTION("""COMPUTED_VALUE"""),"Nguyễn Văn Tân ")</f>
        <v xml:space="preserve">Nguyễn Văn Tân </v>
      </c>
      <c r="D24" s="9" t="str">
        <f ca="1">IFERROR(__xludf.DUMMYFUNCTION("""COMPUTED_VALUE"""),"K25")</f>
        <v>K25</v>
      </c>
      <c r="E24" s="9" t="str">
        <f ca="1">IFERROR(__xludf.DUMMYFUNCTION("""COMPUTED_VALUE"""),"CMU - TPM")</f>
        <v>CMU - TPM</v>
      </c>
      <c r="F24" s="9" t="str">
        <f ca="1">IFERROR(__xludf.DUMMYFUNCTION("""COMPUTED_VALUE"""),"Hỏi đáp, kiến nghị tới trường")</f>
        <v>Hỏi đáp, kiến nghị tới trường</v>
      </c>
      <c r="G24" s="9">
        <f ca="1">IFERROR(__xludf.DUMMYFUNCTION("""COMPUTED_VALUE"""),5)</f>
        <v>5</v>
      </c>
      <c r="H24" s="9" t="str">
        <f ca="1">IFERROR(__xludf.DUMMYFUNCTION("""COMPUTED_VALUE"""),"1. Quên đánh giá rèn luyện có bị gì không thầy?
2. Giờ năm 3 rồi không biết code thì có hướng nào trong ngành em đi được không thầy?
3. Làm đơn xin giảm học phí như nào thầy?
4. Em năm nhất muốn đăng kí học hè được không thầy?
5. Trường có kế hoạch nào ch"&amp;"o năm nhất đi thăm quan trải nghiệm các doanh nghiệp không thầy?
6. Em học không nổi muốn đổi ngành thì làm kiểu gì thầy?
7. Tiêu chuẩn tốt nghiệp ngành mình như nào thầy?
8. Em muốn đăng ki học nhiều hơn số chỉ tối đa được không thầy?
9. Trường có hỗ trợ"&amp;" tìm trọ không thầy?")</f>
        <v>1. Quên đánh giá rèn luyện có bị gì không thầy?
2. Giờ năm 3 rồi không biết code thì có hướng nào trong ngành em đi được không thầy?
3. Làm đơn xin giảm học phí như nào thầy?
4. Em năm nhất muốn đăng kí học hè được không thầy?
5. Trường có kế hoạch nào cho năm nhất đi thăm quan trải nghiệm các doanh nghiệp không thầy?
6. Em học không nổi muốn đổi ngành thì làm kiểu gì thầy?
7. Tiêu chuẩn tốt nghiệp ngành mình như nào thầy?
8. Em muốn đăng ki học nhiều hơn số chỉ tối đa được không thầy?
9. Trường có hỗ trợ tìm trọ không thầy?</v>
      </c>
    </row>
    <row r="25" spans="1:8" ht="14.4">
      <c r="A25" s="22">
        <f ca="1">IFERROR(__xludf.DUMMYFUNCTION("""COMPUTED_VALUE"""),45191.8652149421)</f>
        <v>45191.865214942103</v>
      </c>
      <c r="B25" s="9" t="str">
        <f ca="1">IFERROR(__xludf.DUMMYFUNCTION("""COMPUTED_VALUE"""),"dotienthanh1121@gmail.com")</f>
        <v>dotienthanh1121@gmail.com</v>
      </c>
      <c r="C25" s="9" t="str">
        <f ca="1">IFERROR(__xludf.DUMMYFUNCTION("""COMPUTED_VALUE"""),"Đỗ Tiến Thành")</f>
        <v>Đỗ Tiến Thành</v>
      </c>
      <c r="D25" s="9" t="str">
        <f ca="1">IFERROR(__xludf.DUMMYFUNCTION("""COMPUTED_VALUE"""),"K26")</f>
        <v>K26</v>
      </c>
      <c r="E25" s="9" t="str">
        <f ca="1">IFERROR(__xludf.DUMMYFUNCTION("""COMPUTED_VALUE"""),"CMU - TPM")</f>
        <v>CMU - TPM</v>
      </c>
      <c r="F25" s="9" t="str">
        <f ca="1">IFERROR(__xludf.DUMMYFUNCTION("""COMPUTED_VALUE"""),"Tư vấn nghề nghiệp và lên kế hoạch học tập")</f>
        <v>Tư vấn nghề nghiệp và lên kế hoạch học tập</v>
      </c>
      <c r="G25" s="9">
        <f ca="1">IFERROR(__xludf.DUMMYFUNCTION("""COMPUTED_VALUE"""),5)</f>
        <v>5</v>
      </c>
      <c r="H25" s="9" t="str">
        <f ca="1">IFERROR(__xludf.DUMMYFUNCTION("""COMPUTED_VALUE"""),"1. Làm thế nào để có thể lập kế hoạch học tập hiệu quả cho mỗi học kỳ?
2. Em đang cân nhắc việc theo học sau đại học hoặc đi làm trực tiếp. Cô có thể chia sẻ thông tin về lộ trình sự nghiệp trong ngành công nghệ phần mềm không?
3. Làm thế nào để em có thể"&amp;" xác định lựa chọn chuyên ngành phù hợp với mục tiêu sự nghiệp của mình?
4. Làm thế nào để em có thể cập nhật kỹ năng của mình với các công nghệ mới?
5. Em học xong ngành công nghệ phần mềm thì nên chọn công ty nào để vào thực tập hiệu quả?
6. Trường có c"&amp;"ung cấp cơ hội thực tập hoặc làm việc với các công ty công nghệ phần mềm hàng đầu không?")</f>
        <v>1. Làm thế nào để có thể lập kế hoạch học tập hiệu quả cho mỗi học kỳ?
2. Em đang cân nhắc việc theo học sau đại học hoặc đi làm trực tiếp. Cô có thể chia sẻ thông tin về lộ trình sự nghiệp trong ngành công nghệ phần mềm không?
3. Làm thế nào để em có thể xác định lựa chọn chuyên ngành phù hợp với mục tiêu sự nghiệp của mình?
4. Làm thế nào để em có thể cập nhật kỹ năng của mình với các công nghệ mới?
5. Em học xong ngành công nghệ phần mềm thì nên chọn công ty nào để vào thực tập hiệu quả?
6. Trường có cung cấp cơ hội thực tập hoặc làm việc với các công ty công nghệ phần mềm hàng đầu không?</v>
      </c>
    </row>
    <row r="26" spans="1:8" ht="14.4">
      <c r="A26" s="22">
        <f ca="1">IFERROR(__xludf.DUMMYFUNCTION("""COMPUTED_VALUE"""),45191.865518368)</f>
        <v>45191.865518368002</v>
      </c>
      <c r="B26" s="9" t="str">
        <f ca="1">IFERROR(__xludf.DUMMYFUNCTION("""COMPUTED_VALUE"""),"triduy02@gmail.com")</f>
        <v>triduy02@gmail.com</v>
      </c>
      <c r="C26" s="9" t="str">
        <f ca="1">IFERROR(__xludf.DUMMYFUNCTION("""COMPUTED_VALUE"""),"Nguyễn Duy Trí")</f>
        <v>Nguyễn Duy Trí</v>
      </c>
      <c r="D26" s="9" t="str">
        <f ca="1">IFERROR(__xludf.DUMMYFUNCTION("""COMPUTED_VALUE"""),"K26")</f>
        <v>K26</v>
      </c>
      <c r="E26" s="9" t="str">
        <f ca="1">IFERROR(__xludf.DUMMYFUNCTION("""COMPUTED_VALUE"""),"CMU - TPM")</f>
        <v>CMU - TPM</v>
      </c>
      <c r="F26" s="9" t="str">
        <f ca="1">IFERROR(__xludf.DUMMYFUNCTION("""COMPUTED_VALUE"""),"Hỗ trợ sinh viên")</f>
        <v>Hỗ trợ sinh viên</v>
      </c>
      <c r="G26" s="9">
        <f ca="1">IFERROR(__xludf.DUMMYFUNCTION("""COMPUTED_VALUE"""),5)</f>
        <v>5</v>
      </c>
      <c r="H26" s="9" t="str">
        <f ca="1">IFERROR(__xludf.DUMMYFUNCTION("""COMPUTED_VALUE"""),"1. Ngành Kỹ Thuật Phần Mềm học năm thứ mấy là có thể tự tin đi test thực tập ?
2. Em cần chuẩn bị như thế nào để xin học bổng trong ngành này?
3. Em  có thể tham gia các dự án nghiên cứu hoặc thực tập không?
4. Em  cần chuẩn bị như thế nào để tham gia chư"&amp;"ơng trình học tập quốc tế?
5. Có những hoạt động ngoại khóa nào em nên tham gia để phát triển kỹ năng và kiến thức trong ngành kỹ thuật phần mềm?
6. Trong ngành kỹ thuật phần mềm, có những lĩnh vực chuyên sâu nào mà em nên tìm hiểu và khám phá?
7. Em có t"&amp;"hể được hướng dẫn về cách xây dựng một hồ sơ cá nhân và đơn xin việc làm trong ngành kỹ thuật phần mềm không?
8. Em cần phải học những môn học nào để trở thành một kỹ sư phần mềm?")</f>
        <v>1. Ngành Kỹ Thuật Phần Mềm học năm thứ mấy là có thể tự tin đi test thực tập ?
2. Em cần chuẩn bị như thế nào để xin học bổng trong ngành này?
3. Em  có thể tham gia các dự án nghiên cứu hoặc thực tập không?
4. Em  cần chuẩn bị như thế nào để tham gia chương trình học tập quốc tế?
5. Có những hoạt động ngoại khóa nào em nên tham gia để phát triển kỹ năng và kiến thức trong ngành kỹ thuật phần mềm?
6. Trong ngành kỹ thuật phần mềm, có những lĩnh vực chuyên sâu nào mà em nên tìm hiểu và khám phá?
7. Em có thể được hướng dẫn về cách xây dựng một hồ sơ cá nhân và đơn xin việc làm trong ngành kỹ thuật phần mềm không?
8. Em cần phải học những môn học nào để trở thành một kỹ sư phần mềm?</v>
      </c>
    </row>
    <row r="27" spans="1:8" ht="14.4">
      <c r="A27" s="22">
        <f ca="1">IFERROR(__xludf.DUMMYFUNCTION("""COMPUTED_VALUE"""),45191.8859522453)</f>
        <v>45191.885952245299</v>
      </c>
      <c r="B27" s="9" t="str">
        <f ca="1">IFERROR(__xludf.DUMMYFUNCTION("""COMPUTED_VALUE"""),"builetuan3432@gmail.com")</f>
        <v>builetuan3432@gmail.com</v>
      </c>
      <c r="C27" s="9" t="str">
        <f ca="1">IFERROR(__xludf.DUMMYFUNCTION("""COMPUTED_VALUE"""),"Bùi Lê Tuấn")</f>
        <v>Bùi Lê Tuấn</v>
      </c>
      <c r="D27" s="9" t="str">
        <f ca="1">IFERROR(__xludf.DUMMYFUNCTION("""COMPUTED_VALUE"""),"K28")</f>
        <v>K28</v>
      </c>
      <c r="E27" s="9" t="str">
        <f ca="1">IFERROR(__xludf.DUMMYFUNCTION("""COMPUTED_VALUE"""),"CMU - TPM")</f>
        <v>CMU - TPM</v>
      </c>
      <c r="F27" s="9" t="str">
        <f ca="1">IFERROR(__xludf.DUMMYFUNCTION("""COMPUTED_VALUE"""),"Tự làm bài tập cho mình")</f>
        <v>Tự làm bài tập cho mình</v>
      </c>
      <c r="G27" s="9">
        <f ca="1">IFERROR(__xludf.DUMMYFUNCTION("""COMPUTED_VALUE"""),5)</f>
        <v>5</v>
      </c>
      <c r="H27" s="9" t="str">
        <f ca="1">IFERROR(__xludf.DUMMYFUNCTION("""COMPUTED_VALUE"""),"Làm sao để mình trở nên chăm chỉ hơn?")</f>
        <v>Làm sao để mình trở nên chăm chỉ hơn?</v>
      </c>
    </row>
    <row r="28" spans="1:8" ht="14.4">
      <c r="A28" s="22">
        <f ca="1">IFERROR(__xludf.DUMMYFUNCTION("""COMPUTED_VALUE"""),45192.4454355324)</f>
        <v>45192.445435532398</v>
      </c>
      <c r="B28" s="9" t="str">
        <f ca="1">IFERROR(__xludf.DUMMYFUNCTION("""COMPUTED_VALUE"""),"kingohong@gmail.com")</f>
        <v>kingohong@gmail.com</v>
      </c>
      <c r="C28" s="9" t="str">
        <f ca="1">IFERROR(__xludf.DUMMYFUNCTION("""COMPUTED_VALUE"""),"Ngô Hồng Kỳ")</f>
        <v>Ngô Hồng Kỳ</v>
      </c>
      <c r="D28" s="9" t="str">
        <f ca="1">IFERROR(__xludf.DUMMYFUNCTION("""COMPUTED_VALUE"""),"K28")</f>
        <v>K28</v>
      </c>
      <c r="E28" s="9" t="str">
        <f ca="1">IFERROR(__xludf.DUMMYFUNCTION("""COMPUTED_VALUE"""),"CMU - TPM")</f>
        <v>CMU - TPM</v>
      </c>
      <c r="F28" s="9" t="str">
        <f ca="1">IFERROR(__xludf.DUMMYFUNCTION("""COMPUTED_VALUE"""),"Trả lời chính xác thông tin của nhà trường là được")</f>
        <v>Trả lời chính xác thông tin của nhà trường là được</v>
      </c>
      <c r="G28" s="9">
        <f ca="1">IFERROR(__xludf.DUMMYFUNCTION("""COMPUTED_VALUE"""),5)</f>
        <v>5</v>
      </c>
      <c r="H28" s="9" t="str">
        <f ca="1">IFERROR(__xludf.DUMMYFUNCTION("""COMPUTED_VALUE"""),"1. ...")</f>
        <v>1. ...</v>
      </c>
    </row>
    <row r="29" spans="1:8" ht="14.4">
      <c r="A29" s="22">
        <f ca="1">IFERROR(__xludf.DUMMYFUNCTION("""COMPUTED_VALUE"""),45322.6061511226)</f>
        <v>45322.6061511226</v>
      </c>
      <c r="B29" s="9" t="str">
        <f ca="1">IFERROR(__xludf.DUMMYFUNCTION("""COMPUTED_VALUE"""),"")</f>
        <v/>
      </c>
      <c r="C29" s="9" t="str">
        <f ca="1">IFERROR(__xludf.DUMMYFUNCTION("""COMPUTED_VALUE"""),"Phan Trọng Duy")</f>
        <v>Phan Trọng Duy</v>
      </c>
      <c r="D29" s="9" t="str">
        <f ca="1">IFERROR(__xludf.DUMMYFUNCTION("""COMPUTED_VALUE"""),"K29")</f>
        <v>K29</v>
      </c>
      <c r="E29" s="9" t="str">
        <f ca="1">IFERROR(__xludf.DUMMYFUNCTION("""COMPUTED_VALUE"""),"CMU - TPM")</f>
        <v>CMU - TPM</v>
      </c>
      <c r="F29" s="9" t="str">
        <f ca="1">IFERROR(__xludf.DUMMYFUNCTION("""COMPUTED_VALUE"""),"Thêm tính năng kể chuyện hài nhưng không ai cười")</f>
        <v>Thêm tính năng kể chuyện hài nhưng không ai cười</v>
      </c>
      <c r="G29" s="9">
        <f ca="1">IFERROR(__xludf.DUMMYFUNCTION("""COMPUTED_VALUE"""),5)</f>
        <v>5</v>
      </c>
      <c r="H29" s="9" t="str">
        <f ca="1">IFERROR(__xludf.DUMMYFUNCTION("""COMPUTED_VALUE"""),"chatbox được tạo nên bởi ai")</f>
        <v>chatbox được tạo nên bởi ai</v>
      </c>
    </row>
    <row r="30" spans="1:8" ht="14.4">
      <c r="A30" s="22">
        <f ca="1">IFERROR(__xludf.DUMMYFUNCTION("""COMPUTED_VALUE"""),45322.606300162)</f>
        <v>45322.606300161999</v>
      </c>
      <c r="B30" s="9" t="str">
        <f ca="1">IFERROR(__xludf.DUMMYFUNCTION("""COMPUTED_VALUE"""),"")</f>
        <v/>
      </c>
      <c r="C30" s="9" t="str">
        <f ca="1">IFERROR(__xludf.DUMMYFUNCTION("""COMPUTED_VALUE"""),"Trương Minh Triết")</f>
        <v>Trương Minh Triết</v>
      </c>
      <c r="D30" s="9" t="str">
        <f ca="1">IFERROR(__xludf.DUMMYFUNCTION("""COMPUTED_VALUE"""),"K29")</f>
        <v>K29</v>
      </c>
      <c r="E30" s="9" t="str">
        <f ca="1">IFERROR(__xludf.DUMMYFUNCTION("""COMPUTED_VALUE"""),"CMU - TPM")</f>
        <v>CMU - TPM</v>
      </c>
      <c r="F30" s="9" t="str">
        <f ca="1">IFERROR(__xludf.DUMMYFUNCTION("""COMPUTED_VALUE"""),"em nghĩ muốn có tính năng giải thích chi tiếc các điều mà PowerPoint của các giáo viên ")</f>
        <v xml:space="preserve">em nghĩ muốn có tính năng giải thích chi tiếc các điều mà PowerPoint của các giáo viên </v>
      </c>
      <c r="G30" s="9">
        <f ca="1">IFERROR(__xludf.DUMMYFUNCTION("""COMPUTED_VALUE"""),5)</f>
        <v>5</v>
      </c>
      <c r="H30" s="9" t="str">
        <f ca="1">IFERROR(__xludf.DUMMYFUNCTION("""COMPUTED_VALUE"""),"Em vẫn chưa hiểu về việc học lại khi rớt môn, ý em là ví dụ em rớt 1 môn thì em sẽ không được học với các bạn nữa à thầy, và em có được ra trường đúng hạn khi em học môn đó vào kì hè không ạ. 
")</f>
        <v xml:space="preserve">Em vẫn chưa hiểu về việc học lại khi rớt môn, ý em là ví dụ em rớt 1 môn thì em sẽ không được học với các bạn nữa à thầy, và em có được ra trường đúng hạn khi em học môn đó vào kì hè không ạ. 
</v>
      </c>
    </row>
    <row r="31" spans="1:8" ht="14.4">
      <c r="A31" s="22">
        <f ca="1">IFERROR(__xludf.DUMMYFUNCTION("""COMPUTED_VALUE"""),45322.6064678588)</f>
        <v>45322.606467858801</v>
      </c>
      <c r="B31" s="9" t="str">
        <f ca="1">IFERROR(__xludf.DUMMYFUNCTION("""COMPUTED_VALUE"""),"")</f>
        <v/>
      </c>
      <c r="C31" s="9" t="str">
        <f ca="1">IFERROR(__xludf.DUMMYFUNCTION("""COMPUTED_VALUE"""),"Dam Dac Ninh")</f>
        <v>Dam Dac Ninh</v>
      </c>
      <c r="D31" s="9" t="str">
        <f ca="1">IFERROR(__xludf.DUMMYFUNCTION("""COMPUTED_VALUE"""),"K29")</f>
        <v>K29</v>
      </c>
      <c r="E31" s="9" t="str">
        <f ca="1">IFERROR(__xludf.DUMMYFUNCTION("""COMPUTED_VALUE"""),"CMU - TPM")</f>
        <v>CMU - TPM</v>
      </c>
      <c r="F31" s="9" t="str">
        <f ca="1">IFERROR(__xludf.DUMMYFUNCTION("""COMPUTED_VALUE"""),".")</f>
        <v>.</v>
      </c>
      <c r="G31" s="9">
        <f ca="1">IFERROR(__xludf.DUMMYFUNCTION("""COMPUTED_VALUE"""),5)</f>
        <v>5</v>
      </c>
      <c r="H31" s="9" t="str">
        <f ca="1">IFERROR(__xludf.DUMMYFUNCTION("""COMPUTED_VALUE"""),".")</f>
        <v>.</v>
      </c>
    </row>
    <row r="32" spans="1:8" ht="14.4">
      <c r="A32" s="22">
        <f ca="1">IFERROR(__xludf.DUMMYFUNCTION("""COMPUTED_VALUE"""),45322.6065417708)</f>
        <v>45322.606541770801</v>
      </c>
      <c r="B32" s="9" t="str">
        <f ca="1">IFERROR(__xludf.DUMMYFUNCTION("""COMPUTED_VALUE"""),"")</f>
        <v/>
      </c>
      <c r="C32" s="9" t="str">
        <f ca="1">IFERROR(__xludf.DUMMYFUNCTION("""COMPUTED_VALUE"""),"Trần Hoàng Giáp")</f>
        <v>Trần Hoàng Giáp</v>
      </c>
      <c r="D32" s="9" t="str">
        <f ca="1">IFERROR(__xludf.DUMMYFUNCTION("""COMPUTED_VALUE"""),"K29")</f>
        <v>K29</v>
      </c>
      <c r="E32" s="9" t="str">
        <f ca="1">IFERROR(__xludf.DUMMYFUNCTION("""COMPUTED_VALUE"""),"CMU - TPM")</f>
        <v>CMU - TPM</v>
      </c>
      <c r="F32" s="9" t="str">
        <f ca="1">IFERROR(__xludf.DUMMYFUNCTION("""COMPUTED_VALUE"""),"Xem điểm, xem lịch học, xem học phí và có thể đăng kí học phần qua chatbot")</f>
        <v>Xem điểm, xem lịch học, xem học phí và có thể đăng kí học phần qua chatbot</v>
      </c>
      <c r="G32" s="9">
        <f ca="1">IFERROR(__xludf.DUMMYFUNCTION("""COMPUTED_VALUE"""),5)</f>
        <v>5</v>
      </c>
      <c r="H32" s="9" t="str">
        <f ca="1">IFERROR(__xludf.DUMMYFUNCTION("""COMPUTED_VALUE"""),"Số điểm tối thiểu để được học bổng là bao nhiêu ?")</f>
        <v>Số điểm tối thiểu để được học bổng là bao nhiêu ?</v>
      </c>
    </row>
    <row r="33" spans="1:8" ht="14.4">
      <c r="A33" s="22">
        <f ca="1">IFERROR(__xludf.DUMMYFUNCTION("""COMPUTED_VALUE"""),45322.60686228)</f>
        <v>45322.606862280001</v>
      </c>
      <c r="B33" s="9" t="str">
        <f ca="1">IFERROR(__xludf.DUMMYFUNCTION("""COMPUTED_VALUE"""),"")</f>
        <v/>
      </c>
      <c r="C33" s="9" t="str">
        <f ca="1">IFERROR(__xludf.DUMMYFUNCTION("""COMPUTED_VALUE"""),"Phạm Thị Ngọc Ánh ")</f>
        <v xml:space="preserve">Phạm Thị Ngọc Ánh </v>
      </c>
      <c r="D33" s="9" t="str">
        <f ca="1">IFERROR(__xludf.DUMMYFUNCTION("""COMPUTED_VALUE"""),"K29")</f>
        <v>K29</v>
      </c>
      <c r="E33" s="9" t="str">
        <f ca="1">IFERROR(__xludf.DUMMYFUNCTION("""COMPUTED_VALUE"""),"CMU - TPM")</f>
        <v>CMU - TPM</v>
      </c>
      <c r="F33" s="9" t="str">
        <f ca="1">IFERROR(__xludf.DUMMYFUNCTION("""COMPUTED_VALUE"""),"Không ạ")</f>
        <v>Không ạ</v>
      </c>
      <c r="G33" s="9">
        <f ca="1">IFERROR(__xludf.DUMMYFUNCTION("""COMPUTED_VALUE"""),5)</f>
        <v>5</v>
      </c>
      <c r="H33" s="9" t="str">
        <f ca="1">IFERROR(__xludf.DUMMYFUNCTION("""COMPUTED_VALUE"""),"Điểm nổi bật của ngành , của trường mình so với các trường khác là gì ạ ?")</f>
        <v>Điểm nổi bật của ngành , của trường mình so với các trường khác là gì ạ ?</v>
      </c>
    </row>
    <row r="34" spans="1:8" ht="14.4">
      <c r="A34" s="22">
        <f ca="1">IFERROR(__xludf.DUMMYFUNCTION("""COMPUTED_VALUE"""),45322.6069578356)</f>
        <v>45322.606957835596</v>
      </c>
      <c r="B34" s="9" t="str">
        <f ca="1">IFERROR(__xludf.DUMMYFUNCTION("""COMPUTED_VALUE"""),"")</f>
        <v/>
      </c>
      <c r="C34" s="9" t="str">
        <f ca="1">IFERROR(__xludf.DUMMYFUNCTION("""COMPUTED_VALUE"""),"Văn Phú Đức Huy")</f>
        <v>Văn Phú Đức Huy</v>
      </c>
      <c r="D34" s="9" t="str">
        <f ca="1">IFERROR(__xludf.DUMMYFUNCTION("""COMPUTED_VALUE"""),"K29")</f>
        <v>K29</v>
      </c>
      <c r="E34" s="9" t="str">
        <f ca="1">IFERROR(__xludf.DUMMYFUNCTION("""COMPUTED_VALUE"""),"CMU - TPM")</f>
        <v>CMU - TPM</v>
      </c>
      <c r="F34" s="9" t="str">
        <f ca="1">IFERROR(__xludf.DUMMYFUNCTION("""COMPUTED_VALUE"""),"Được sử dụng ảnh để tìm kiếm, chatbot có thể thông qua ảnh hoặc âm thanh để tự tạo nên câu trả lời theo đúng ý của người sử dụng")</f>
        <v>Được sử dụng ảnh để tìm kiếm, chatbot có thể thông qua ảnh hoặc âm thanh để tự tạo nên câu trả lời theo đúng ý của người sử dụng</v>
      </c>
      <c r="G34" s="9">
        <f ca="1">IFERROR(__xludf.DUMMYFUNCTION("""COMPUTED_VALUE"""),5)</f>
        <v>5</v>
      </c>
      <c r="H34" s="9" t="str">
        <f ca="1">IFERROR(__xludf.DUMMYFUNCTION("""COMPUTED_VALUE"""),"Tích lũy điểm là gì
Làm sao để tích lũy điểm")</f>
        <v>Tích lũy điểm là gì
Làm sao để tích lũy điểm</v>
      </c>
    </row>
    <row r="35" spans="1:8" ht="14.4">
      <c r="A35" s="22">
        <f ca="1">IFERROR(__xludf.DUMMYFUNCTION("""COMPUTED_VALUE"""),45322.6070786574)</f>
        <v>45322.607078657398</v>
      </c>
      <c r="B35" s="9" t="str">
        <f ca="1">IFERROR(__xludf.DUMMYFUNCTION("""COMPUTED_VALUE"""),"")</f>
        <v/>
      </c>
      <c r="C35" s="9" t="str">
        <f ca="1">IFERROR(__xludf.DUMMYFUNCTION("""COMPUTED_VALUE"""),"Đặng Hữu Quốc")</f>
        <v>Đặng Hữu Quốc</v>
      </c>
      <c r="D35" s="9" t="str">
        <f ca="1">IFERROR(__xludf.DUMMYFUNCTION("""COMPUTED_VALUE"""),"K29")</f>
        <v>K29</v>
      </c>
      <c r="E35" s="9" t="str">
        <f ca="1">IFERROR(__xludf.DUMMYFUNCTION("""COMPUTED_VALUE"""),"CMU - TPM")</f>
        <v>CMU - TPM</v>
      </c>
      <c r="F35" s="9" t="str">
        <f ca="1">IFERROR(__xludf.DUMMYFUNCTION("""COMPUTED_VALUE"""),"Dạ e khum biết")</f>
        <v>Dạ e khum biết</v>
      </c>
      <c r="G35" s="9">
        <f ca="1">IFERROR(__xludf.DUMMYFUNCTION("""COMPUTED_VALUE"""),5)</f>
        <v>5</v>
      </c>
      <c r="H35" s="9" t="str">
        <f ca="1">IFERROR(__xludf.DUMMYFUNCTION("""COMPUTED_VALUE"""),"Học phí trường mình bao nhiêu vậy thầy?")</f>
        <v>Học phí trường mình bao nhiêu vậy thầy?</v>
      </c>
    </row>
    <row r="36" spans="1:8" ht="14.4">
      <c r="A36" s="22">
        <f ca="1">IFERROR(__xludf.DUMMYFUNCTION("""COMPUTED_VALUE"""),45322.6071303125)</f>
        <v>45322.607130312499</v>
      </c>
      <c r="B36" s="9" t="str">
        <f ca="1">IFERROR(__xludf.DUMMYFUNCTION("""COMPUTED_VALUE"""),"")</f>
        <v/>
      </c>
      <c r="C36" s="9" t="str">
        <f ca="1">IFERROR(__xludf.DUMMYFUNCTION("""COMPUTED_VALUE"""),"Huỳnh Minh Tiến ")</f>
        <v xml:space="preserve">Huỳnh Minh Tiến </v>
      </c>
      <c r="D36" s="9" t="str">
        <f ca="1">IFERROR(__xludf.DUMMYFUNCTION("""COMPUTED_VALUE"""),"K29")</f>
        <v>K29</v>
      </c>
      <c r="E36" s="9" t="str">
        <f ca="1">IFERROR(__xludf.DUMMYFUNCTION("""COMPUTED_VALUE"""),"CMU - TPM")</f>
        <v>CMU - TPM</v>
      </c>
      <c r="F36" s="9" t="str">
        <f ca="1">IFERROR(__xludf.DUMMYFUNCTION("""COMPUTED_VALUE"""),"Đề xuất các bài tập cho từng môn học")</f>
        <v>Đề xuất các bài tập cho từng môn học</v>
      </c>
      <c r="G36" s="9">
        <f ca="1">IFERROR(__xludf.DUMMYFUNCTION("""COMPUTED_VALUE"""),3)</f>
        <v>3</v>
      </c>
      <c r="H36" s="9" t="str">
        <f ca="1">IFERROR(__xludf.DUMMYFUNCTION("""COMPUTED_VALUE"""),"Tại sao phải học hoá")</f>
        <v>Tại sao phải học hoá</v>
      </c>
    </row>
    <row r="37" spans="1:8" ht="14.4">
      <c r="A37" s="22">
        <f ca="1">IFERROR(__xludf.DUMMYFUNCTION("""COMPUTED_VALUE"""),45322.6071315162)</f>
        <v>45322.607131516197</v>
      </c>
      <c r="B37" s="9" t="str">
        <f ca="1">IFERROR(__xludf.DUMMYFUNCTION("""COMPUTED_VALUE"""),"")</f>
        <v/>
      </c>
      <c r="C37" s="9" t="str">
        <f ca="1">IFERROR(__xludf.DUMMYFUNCTION("""COMPUTED_VALUE"""),"Trần Tiến Đạt")</f>
        <v>Trần Tiến Đạt</v>
      </c>
      <c r="D37" s="9" t="str">
        <f ca="1">IFERROR(__xludf.DUMMYFUNCTION("""COMPUTED_VALUE"""),"K29")</f>
        <v>K29</v>
      </c>
      <c r="E37" s="9" t="str">
        <f ca="1">IFERROR(__xludf.DUMMYFUNCTION("""COMPUTED_VALUE"""),"CMU - TPM")</f>
        <v>CMU - TPM</v>
      </c>
      <c r="F37" s="9" t="str">
        <f ca="1">IFERROR(__xludf.DUMMYFUNCTION("""COMPUTED_VALUE"""),"Không có")</f>
        <v>Không có</v>
      </c>
      <c r="G37" s="9">
        <f ca="1">IFERROR(__xludf.DUMMYFUNCTION("""COMPUTED_VALUE"""),4)</f>
        <v>4</v>
      </c>
      <c r="H37" s="9" t="str">
        <f ca="1">IFERROR(__xludf.DUMMYFUNCTION("""COMPUTED_VALUE"""),"học kì hè có bắt buộc không?, điểm tích luỹ là gì!?")</f>
        <v>học kì hè có bắt buộc không?, điểm tích luỹ là gì!?</v>
      </c>
    </row>
    <row r="38" spans="1:8" ht="14.4">
      <c r="A38" s="22">
        <f ca="1">IFERROR(__xludf.DUMMYFUNCTION("""COMPUTED_VALUE"""),45322.6072553125)</f>
        <v>45322.607255312498</v>
      </c>
      <c r="B38" s="9" t="str">
        <f ca="1">IFERROR(__xludf.DUMMYFUNCTION("""COMPUTED_VALUE"""),"")</f>
        <v/>
      </c>
      <c r="C38" s="9" t="str">
        <f ca="1">IFERROR(__xludf.DUMMYFUNCTION("""COMPUTED_VALUE"""),"Hoàng Tiến Dũng")</f>
        <v>Hoàng Tiến Dũng</v>
      </c>
      <c r="D38" s="9" t="str">
        <f ca="1">IFERROR(__xludf.DUMMYFUNCTION("""COMPUTED_VALUE"""),"K29")</f>
        <v>K29</v>
      </c>
      <c r="E38" s="9" t="str">
        <f ca="1">IFERROR(__xludf.DUMMYFUNCTION("""COMPUTED_VALUE"""),"CMU - TPM")</f>
        <v>CMU - TPM</v>
      </c>
      <c r="F38" s="9" t="str">
        <f ca="1">IFERROR(__xludf.DUMMYFUNCTION("""COMPUTED_VALUE"""),"Mở rộng")</f>
        <v>Mở rộng</v>
      </c>
      <c r="G38" s="9">
        <f ca="1">IFERROR(__xludf.DUMMYFUNCTION("""COMPUTED_VALUE"""),5)</f>
        <v>5</v>
      </c>
      <c r="H38" s="9" t="str">
        <f ca="1">IFERROR(__xludf.DUMMYFUNCTION("""COMPUTED_VALUE"""),"Đồng phục trường mình có giá bao nhiêu")</f>
        <v>Đồng phục trường mình có giá bao nhiêu</v>
      </c>
    </row>
    <row r="39" spans="1:8" ht="14.4">
      <c r="A39" s="22">
        <f ca="1">IFERROR(__xludf.DUMMYFUNCTION("""COMPUTED_VALUE"""),45322.6074667245)</f>
        <v>45322.607466724497</v>
      </c>
      <c r="B39" s="9" t="str">
        <f ca="1">IFERROR(__xludf.DUMMYFUNCTION("""COMPUTED_VALUE"""),"")</f>
        <v/>
      </c>
      <c r="C39" s="9" t="str">
        <f ca="1">IFERROR(__xludf.DUMMYFUNCTION("""COMPUTED_VALUE"""),"Lương Quốc Trung")</f>
        <v>Lương Quốc Trung</v>
      </c>
      <c r="D39" s="9" t="str">
        <f ca="1">IFERROR(__xludf.DUMMYFUNCTION("""COMPUTED_VALUE"""),"K29")</f>
        <v>K29</v>
      </c>
      <c r="E39" s="9" t="str">
        <f ca="1">IFERROR(__xludf.DUMMYFUNCTION("""COMPUTED_VALUE"""),"CMU - TPM")</f>
        <v>CMU - TPM</v>
      </c>
      <c r="F39" s="9" t="str">
        <f ca="1">IFERROR(__xludf.DUMMYFUNCTION("""COMPUTED_VALUE"""),"Điểm môn học cần bao nhiêu là qua môn")</f>
        <v>Điểm môn học cần bao nhiêu là qua môn</v>
      </c>
      <c r="G39" s="9">
        <f ca="1">IFERROR(__xludf.DUMMYFUNCTION("""COMPUTED_VALUE"""),5)</f>
        <v>5</v>
      </c>
      <c r="H39" s="9" t="str">
        <f ca="1">IFERROR(__xludf.DUMMYFUNCTION("""COMPUTED_VALUE"""),"Em rớt môn giờ làm sao thầy")</f>
        <v>Em rớt môn giờ làm sao thầy</v>
      </c>
    </row>
    <row r="40" spans="1:8" ht="14.4">
      <c r="A40" s="22">
        <f ca="1">IFERROR(__xludf.DUMMYFUNCTION("""COMPUTED_VALUE"""),45322.6080229745)</f>
        <v>45322.608022974498</v>
      </c>
      <c r="B40" s="9" t="str">
        <f ca="1">IFERROR(__xludf.DUMMYFUNCTION("""COMPUTED_VALUE"""),"")</f>
        <v/>
      </c>
      <c r="C40" s="9" t="str">
        <f ca="1">IFERROR(__xludf.DUMMYFUNCTION("""COMPUTED_VALUE"""),"Lưừ Vũ Thiên")</f>
        <v>Lưừ Vũ Thiên</v>
      </c>
      <c r="D40" s="9" t="str">
        <f ca="1">IFERROR(__xludf.DUMMYFUNCTION("""COMPUTED_VALUE"""),"K29")</f>
        <v>K29</v>
      </c>
      <c r="E40" s="9" t="str">
        <f ca="1">IFERROR(__xludf.DUMMYFUNCTION("""COMPUTED_VALUE"""),"CMU - TPM")</f>
        <v>CMU - TPM</v>
      </c>
      <c r="F40" s="9" t="str">
        <f ca="1">IFERROR(__xludf.DUMMYFUNCTION("""COMPUTED_VALUE"""),"Trả lời được bất cứ câu hỏi của sinh viên ")</f>
        <v xml:space="preserve">Trả lời được bất cứ câu hỏi của sinh viên </v>
      </c>
      <c r="G40" s="9">
        <f ca="1">IFERROR(__xludf.DUMMYFUNCTION("""COMPUTED_VALUE"""),5)</f>
        <v>5</v>
      </c>
      <c r="H40" s="9" t="str">
        <f ca="1">IFERROR(__xludf.DUMMYFUNCTION("""COMPUTED_VALUE"""),"Có được đổi ngành không ?
Tại sao học phí lại tăng ?
Điểm tích lũy là gì ?
Ngoài học phí thì còn phí gì trong quá trình học không ?")</f>
        <v>Có được đổi ngành không ?
Tại sao học phí lại tăng ?
Điểm tích lũy là gì ?
Ngoài học phí thì còn phí gì trong quá trình học không ?</v>
      </c>
    </row>
    <row r="41" spans="1:8" ht="14.4">
      <c r="A41" s="22">
        <f ca="1">IFERROR(__xludf.DUMMYFUNCTION("""COMPUTED_VALUE"""),45322.6085581134)</f>
        <v>45322.608558113403</v>
      </c>
      <c r="B41" s="9" t="str">
        <f ca="1">IFERROR(__xludf.DUMMYFUNCTION("""COMPUTED_VALUE"""),"")</f>
        <v/>
      </c>
      <c r="C41" s="9" t="str">
        <f ca="1">IFERROR(__xludf.DUMMYFUNCTION("""COMPUTED_VALUE"""),"Lê Vũ Anh Khôi")</f>
        <v>Lê Vũ Anh Khôi</v>
      </c>
      <c r="D41" s="9" t="str">
        <f ca="1">IFERROR(__xludf.DUMMYFUNCTION("""COMPUTED_VALUE"""),"K27")</f>
        <v>K27</v>
      </c>
      <c r="E41" s="9" t="str">
        <f ca="1">IFERROR(__xludf.DUMMYFUNCTION("""COMPUTED_VALUE"""),"CMU - TPM")</f>
        <v>CMU - TPM</v>
      </c>
      <c r="F41" s="9" t="str">
        <f ca="1">IFERROR(__xludf.DUMMYFUNCTION("""COMPUTED_VALUE"""),"None")</f>
        <v>None</v>
      </c>
      <c r="G41" s="9">
        <f ca="1">IFERROR(__xludf.DUMMYFUNCTION("""COMPUTED_VALUE"""),5)</f>
        <v>5</v>
      </c>
      <c r="H41" s="9" t="str">
        <f ca="1">IFERROR(__xludf.DUMMYFUNCTION("""COMPUTED_VALUE"""),"None")</f>
        <v>None</v>
      </c>
    </row>
    <row r="42" spans="1:8" ht="14.4">
      <c r="A42" s="22">
        <f ca="1">IFERROR(__xludf.DUMMYFUNCTION("""COMPUTED_VALUE"""),45322.6088858564)</f>
        <v>45322.608885856404</v>
      </c>
      <c r="B42" s="9" t="str">
        <f ca="1">IFERROR(__xludf.DUMMYFUNCTION("""COMPUTED_VALUE"""),"")</f>
        <v/>
      </c>
      <c r="C42" s="9" t="str">
        <f ca="1">IFERROR(__xludf.DUMMYFUNCTION("""COMPUTED_VALUE"""),"Nguyễn Cao Thống")</f>
        <v>Nguyễn Cao Thống</v>
      </c>
      <c r="D42" s="9" t="str">
        <f ca="1">IFERROR(__xludf.DUMMYFUNCTION("""COMPUTED_VALUE"""),"K29")</f>
        <v>K29</v>
      </c>
      <c r="E42" s="9" t="str">
        <f ca="1">IFERROR(__xludf.DUMMYFUNCTION("""COMPUTED_VALUE"""),"CMU - TPM")</f>
        <v>CMU - TPM</v>
      </c>
      <c r="F42" s="9" t="str">
        <f ca="1">IFERROR(__xludf.DUMMYFUNCTION("""COMPUTED_VALUE"""),"Dạ viết code")</f>
        <v>Dạ viết code</v>
      </c>
      <c r="G42" s="9">
        <f ca="1">IFERROR(__xludf.DUMMYFUNCTION("""COMPUTED_VALUE"""),5)</f>
        <v>5</v>
      </c>
      <c r="H42" s="9" t="str">
        <f ca="1">IFERROR(__xludf.DUMMYFUNCTION("""COMPUTED_VALUE"""),"Có cách nào học IT mà không già không thầy, chớ mặt em già quá rồi
Điểm tích luỹ là gì thầy?")</f>
        <v>Có cách nào học IT mà không già không thầy, chớ mặt em già quá rồi
Điểm tích luỹ là gì thầy?</v>
      </c>
    </row>
    <row r="43" spans="1:8" ht="14.4">
      <c r="A43" s="22">
        <f ca="1">IFERROR(__xludf.DUMMYFUNCTION("""COMPUTED_VALUE"""),45322.609022037)</f>
        <v>45322.609022037002</v>
      </c>
      <c r="B43" s="9" t="str">
        <f ca="1">IFERROR(__xludf.DUMMYFUNCTION("""COMPUTED_VALUE"""),"")</f>
        <v/>
      </c>
      <c r="C43" s="9" t="str">
        <f ca="1">IFERROR(__xludf.DUMMYFUNCTION("""COMPUTED_VALUE"""),"Phạm Anh Quân ")</f>
        <v xml:space="preserve">Phạm Anh Quân </v>
      </c>
      <c r="D43" s="9" t="str">
        <f ca="1">IFERROR(__xludf.DUMMYFUNCTION("""COMPUTED_VALUE"""),"K29")</f>
        <v>K29</v>
      </c>
      <c r="E43" s="9" t="str">
        <f ca="1">IFERROR(__xludf.DUMMYFUNCTION("""COMPUTED_VALUE"""),"CMU - TPM")</f>
        <v>CMU - TPM</v>
      </c>
      <c r="F43" s="9" t="str">
        <f ca="1">IFERROR(__xludf.DUMMYFUNCTION("""COMPUTED_VALUE"""),"Thêm tính năng tạo hình ảnh ạ")</f>
        <v>Thêm tính năng tạo hình ảnh ạ</v>
      </c>
      <c r="G43" s="9">
        <f ca="1">IFERROR(__xludf.DUMMYFUNCTION("""COMPUTED_VALUE"""),4)</f>
        <v>4</v>
      </c>
      <c r="H43" s="9" t="str">
        <f ca="1">IFERROR(__xludf.DUMMYFUNCTION("""COMPUTED_VALUE"""),"1. Có cần phải mặc áo trường qte khi học không thầy")</f>
        <v>1. Có cần phải mặc áo trường qte khi học không thầy</v>
      </c>
    </row>
    <row r="44" spans="1:8" ht="14.4">
      <c r="A44" s="22">
        <f ca="1">IFERROR(__xludf.DUMMYFUNCTION("""COMPUTED_VALUE"""),45322.6090504976)</f>
        <v>45322.609050497602</v>
      </c>
      <c r="B44" s="9" t="str">
        <f ca="1">IFERROR(__xludf.DUMMYFUNCTION("""COMPUTED_VALUE"""),"")</f>
        <v/>
      </c>
      <c r="C44" s="9" t="str">
        <f ca="1">IFERROR(__xludf.DUMMYFUNCTION("""COMPUTED_VALUE"""),"Sử Phát Tài ")</f>
        <v xml:space="preserve">Sử Phát Tài </v>
      </c>
      <c r="D44" s="9" t="str">
        <f ca="1">IFERROR(__xludf.DUMMYFUNCTION("""COMPUTED_VALUE"""),"K29")</f>
        <v>K29</v>
      </c>
      <c r="E44" s="9" t="str">
        <f ca="1">IFERROR(__xludf.DUMMYFUNCTION("""COMPUTED_VALUE"""),"CMU - TPM")</f>
        <v>CMU - TPM</v>
      </c>
      <c r="F44" s="9" t="str">
        <f ca="1">IFERROR(__xludf.DUMMYFUNCTION("""COMPUTED_VALUE"""),"Giải thích sâu về vấn đề sinh viên hỏi và sử dụng ngôn ngữ mà sinh viên muốn.")</f>
        <v>Giải thích sâu về vấn đề sinh viên hỏi và sử dụng ngôn ngữ mà sinh viên muốn.</v>
      </c>
      <c r="G44" s="9">
        <f ca="1">IFERROR(__xludf.DUMMYFUNCTION("""COMPUTED_VALUE"""),4)</f>
        <v>4</v>
      </c>
      <c r="H44" s="9" t="str">
        <f ca="1">IFERROR(__xludf.DUMMYFUNCTION("""COMPUTED_VALUE"""),"1.Học phí có được nộp bằng tiền mặt kể từ kỳ 2 hay không?")</f>
        <v>1.Học phí có được nộp bằng tiền mặt kể từ kỳ 2 hay không?</v>
      </c>
    </row>
    <row r="45" spans="1:8" ht="14.4">
      <c r="A45" s="22">
        <f ca="1">IFERROR(__xludf.DUMMYFUNCTION("""COMPUTED_VALUE"""),45322.6094970949)</f>
        <v>45322.609497094898</v>
      </c>
      <c r="B45" s="9" t="str">
        <f ca="1">IFERROR(__xludf.DUMMYFUNCTION("""COMPUTED_VALUE"""),"")</f>
        <v/>
      </c>
      <c r="C45" s="9" t="str">
        <f ca="1">IFERROR(__xludf.DUMMYFUNCTION("""COMPUTED_VALUE"""),"Nguyễn Trung Kiên")</f>
        <v>Nguyễn Trung Kiên</v>
      </c>
      <c r="D45" s="9" t="str">
        <f ca="1">IFERROR(__xludf.DUMMYFUNCTION("""COMPUTED_VALUE"""),"K29")</f>
        <v>K29</v>
      </c>
      <c r="E45" s="9" t="str">
        <f ca="1">IFERROR(__xludf.DUMMYFUNCTION("""COMPUTED_VALUE"""),"CMU - TPM")</f>
        <v>CMU - TPM</v>
      </c>
      <c r="F45" s="9" t="str">
        <f ca="1">IFERROR(__xludf.DUMMYFUNCTION("""COMPUTED_VALUE"""),"1.Tính năng đưa ra một số ví dụ cụ thể về vấn đề nào đó?")</f>
        <v>1.Tính năng đưa ra một số ví dụ cụ thể về vấn đề nào đó?</v>
      </c>
      <c r="G45" s="9">
        <f ca="1">IFERROR(__xludf.DUMMYFUNCTION("""COMPUTED_VALUE"""),5)</f>
        <v>5</v>
      </c>
      <c r="H45" s="9" t="str">
        <f ca="1">IFERROR(__xludf.DUMMYFUNCTION("""COMPUTED_VALUE"""),"1. Giả sử mình rơi vào trường hợp kiểu tất cả các môn đã được đăng kí hết và mình không còn môn để đăng kí và không đủ tín chỉ yêu cầu thì phải làm sao ạ?
2.Làm thế nào để có học bổng?
3.Có cách nào giảm học phí ngoài học bổng không?
")</f>
        <v xml:space="preserve">1. Giả sử mình rơi vào trường hợp kiểu tất cả các môn đã được đăng kí hết và mình không còn môn để đăng kí và không đủ tín chỉ yêu cầu thì phải làm sao ạ?
2.Làm thế nào để có học bổng?
3.Có cách nào giảm học phí ngoài học bổng không?
</v>
      </c>
    </row>
    <row r="46" spans="1:8" ht="14.4">
      <c r="A46" s="22">
        <f ca="1">IFERROR(__xludf.DUMMYFUNCTION("""COMPUTED_VALUE"""),45322.6096637731)</f>
        <v>45322.609663773103</v>
      </c>
      <c r="B46" s="9" t="str">
        <f ca="1">IFERROR(__xludf.DUMMYFUNCTION("""COMPUTED_VALUE"""),"")</f>
        <v/>
      </c>
      <c r="C46" s="9" t="str">
        <f ca="1">IFERROR(__xludf.DUMMYFUNCTION("""COMPUTED_VALUE"""),"Lương Quốc Trung")</f>
        <v>Lương Quốc Trung</v>
      </c>
      <c r="D46" s="9" t="str">
        <f ca="1">IFERROR(__xludf.DUMMYFUNCTION("""COMPUTED_VALUE"""),"K29")</f>
        <v>K29</v>
      </c>
      <c r="E46" s="9" t="str">
        <f ca="1">IFERROR(__xludf.DUMMYFUNCTION("""COMPUTED_VALUE"""),"CMU - TPM")</f>
        <v>CMU - TPM</v>
      </c>
      <c r="F46" s="9" t="str">
        <f ca="1">IFERROR(__xludf.DUMMYFUNCTION("""COMPUTED_VALUE"""),"Hỗ trợ học sinh làm bài tập và tính điểm sinh viên càn thêm để qua môn")</f>
        <v>Hỗ trợ học sinh làm bài tập và tính điểm sinh viên càn thêm để qua môn</v>
      </c>
      <c r="G46" s="9">
        <f ca="1">IFERROR(__xludf.DUMMYFUNCTION("""COMPUTED_VALUE"""),5)</f>
        <v>5</v>
      </c>
      <c r="H46" s="9" t="str">
        <f ca="1">IFERROR(__xludf.DUMMYFUNCTION("""COMPUTED_VALUE"""),"Em cần bao nhiêu điểm nữa là qua môn")</f>
        <v>Em cần bao nhiêu điểm nữa là qua môn</v>
      </c>
    </row>
    <row r="47" spans="1:8" ht="14.4">
      <c r="A47" s="22">
        <f ca="1">IFERROR(__xludf.DUMMYFUNCTION("""COMPUTED_VALUE"""),45322.6096722569)</f>
        <v>45322.609672256898</v>
      </c>
      <c r="B47" s="9" t="str">
        <f ca="1">IFERROR(__xludf.DUMMYFUNCTION("""COMPUTED_VALUE"""),"")</f>
        <v/>
      </c>
      <c r="C47" s="9" t="str">
        <f ca="1">IFERROR(__xludf.DUMMYFUNCTION("""COMPUTED_VALUE"""),"Đặng Trung Kiên ")</f>
        <v xml:space="preserve">Đặng Trung Kiên </v>
      </c>
      <c r="D47" s="9" t="str">
        <f ca="1">IFERROR(__xludf.DUMMYFUNCTION("""COMPUTED_VALUE"""),"K29")</f>
        <v>K29</v>
      </c>
      <c r="E47" s="9" t="str">
        <f ca="1">IFERROR(__xludf.DUMMYFUNCTION("""COMPUTED_VALUE"""),"CMU - TPM")</f>
        <v>CMU - TPM</v>
      </c>
      <c r="F47" s="9" t="str">
        <f ca="1">IFERROR(__xludf.DUMMYFUNCTION("""COMPUTED_VALUE"""),"Trả lời sát với câu hỏi của người dùng, đi sâu vào chất lượng chứ không phải trả lời sơ sài như chat Gpt ")</f>
        <v xml:space="preserve">Trả lời sát với câu hỏi của người dùng, đi sâu vào chất lượng chứ không phải trả lời sơ sài như chat Gpt </v>
      </c>
      <c r="G47" s="9">
        <f ca="1">IFERROR(__xludf.DUMMYFUNCTION("""COMPUTED_VALUE"""),5)</f>
        <v>5</v>
      </c>
      <c r="H47" s="9" t="str">
        <f ca="1">IFERROR(__xludf.DUMMYFUNCTION("""COMPUTED_VALUE"""),"1. Nếu học thêm học kỳ hè thì vào có giảm số năm học không ạ? 
2. Điểm tích lũy là gì?
3. Điểm quy đổi là gì?
4. Cơ hội việc làm của ngành IT sau khi ra trường sẽ như thế nào khi mà AI ngày càng phát triển?
5. Sau khi tốt nghiệp DTU thì mình sẽ thực tập ở"&amp;" đâu?
6. Điều kiện cần và đủ để có học bổng của DTU là gì vậy ạ?")</f>
        <v>1. Nếu học thêm học kỳ hè thì vào có giảm số năm học không ạ? 
2. Điểm tích lũy là gì?
3. Điểm quy đổi là gì?
4. Cơ hội việc làm của ngành IT sau khi ra trường sẽ như thế nào khi mà AI ngày càng phát triển?
5. Sau khi tốt nghiệp DTU thì mình sẽ thực tập ở đâu?
6. Điều kiện cần và đủ để có học bổng của DTU là gì vậy ạ?</v>
      </c>
    </row>
    <row r="48" spans="1:8" ht="14.4">
      <c r="A48" s="22">
        <f ca="1">IFERROR(__xludf.DUMMYFUNCTION("""COMPUTED_VALUE"""),45322.6123891435)</f>
        <v>45322.612389143498</v>
      </c>
      <c r="B48" s="9" t="str">
        <f ca="1">IFERROR(__xludf.DUMMYFUNCTION("""COMPUTED_VALUE"""),"")</f>
        <v/>
      </c>
      <c r="C48" s="9" t="str">
        <f ca="1">IFERROR(__xludf.DUMMYFUNCTION("""COMPUTED_VALUE"""),"Trần Võ Anh Kiệt")</f>
        <v>Trần Võ Anh Kiệt</v>
      </c>
      <c r="D48" s="9" t="str">
        <f ca="1">IFERROR(__xludf.DUMMYFUNCTION("""COMPUTED_VALUE"""),"K29")</f>
        <v>K29</v>
      </c>
      <c r="E48" s="9" t="str">
        <f ca="1">IFERROR(__xludf.DUMMYFUNCTION("""COMPUTED_VALUE"""),"CMU - TPM")</f>
        <v>CMU - TPM</v>
      </c>
      <c r="F48" s="9" t="str">
        <f ca="1">IFERROR(__xludf.DUMMYFUNCTION("""COMPUTED_VALUE"""),"trả lời nhanh, học tập cách thể hiện cảm xúc")</f>
        <v>trả lời nhanh, học tập cách thể hiện cảm xúc</v>
      </c>
      <c r="G48" s="9">
        <f ca="1">IFERROR(__xludf.DUMMYFUNCTION("""COMPUTED_VALUE"""),4)</f>
        <v>4</v>
      </c>
      <c r="H48" s="9" t="str">
        <f ca="1">IFERROR(__xludf.DUMMYFUNCTION("""COMPUTED_VALUE"""),"Cách học hiệu quả")</f>
        <v>Cách học hiệu quả</v>
      </c>
    </row>
    <row r="49" spans="1:8" ht="14.4">
      <c r="A49" s="22">
        <f ca="1">IFERROR(__xludf.DUMMYFUNCTION("""COMPUTED_VALUE"""),45322.6124433333)</f>
        <v>45322.612443333303</v>
      </c>
      <c r="B49" s="9" t="str">
        <f ca="1">IFERROR(__xludf.DUMMYFUNCTION("""COMPUTED_VALUE"""),"")</f>
        <v/>
      </c>
      <c r="C49" s="9" t="str">
        <f ca="1">IFERROR(__xludf.DUMMYFUNCTION("""COMPUTED_VALUE"""),"Nguyễn Trần Xuân Vinh")</f>
        <v>Nguyễn Trần Xuân Vinh</v>
      </c>
      <c r="D49" s="9" t="str">
        <f ca="1">IFERROR(__xludf.DUMMYFUNCTION("""COMPUTED_VALUE"""),"K29")</f>
        <v>K29</v>
      </c>
      <c r="E49" s="9" t="str">
        <f ca="1">IFERROR(__xludf.DUMMYFUNCTION("""COMPUTED_VALUE"""),"CMU - TPM")</f>
        <v>CMU - TPM</v>
      </c>
      <c r="F49" s="9" t="str">
        <f ca="1">IFERROR(__xludf.DUMMYFUNCTION("""COMPUTED_VALUE"""),"Cần trả lời nhanh và chuẩn là được &lt;3")</f>
        <v>Cần trả lời nhanh và chuẩn là được &lt;3</v>
      </c>
      <c r="G49" s="9">
        <f ca="1">IFERROR(__xludf.DUMMYFUNCTION("""COMPUTED_VALUE"""),5)</f>
        <v>5</v>
      </c>
      <c r="H49" s="9" t="str">
        <f ca="1">IFERROR(__xludf.DUMMYFUNCTION("""COMPUTED_VALUE"""),"1. Học phí trường mình có cố định không thầy?
2. Việc trao bằng là dựa vào điểm của thang 10 hay thang 4 vậy thầy.
3. Show cho em list điểm quy đổi từ thang 10 ra thang 4 và thang chữ cũng như loại bằng sẽ nhận tương ứng.")</f>
        <v>1. Học phí trường mình có cố định không thầy?
2. Việc trao bằng là dựa vào điểm của thang 10 hay thang 4 vậy thầy.
3. Show cho em list điểm quy đổi từ thang 10 ra thang 4 và thang chữ cũng như loại bằng sẽ nhận tương ứng.</v>
      </c>
    </row>
    <row r="50" spans="1:8" ht="14.4">
      <c r="A50" s="22">
        <f ca="1">IFERROR(__xludf.DUMMYFUNCTION("""COMPUTED_VALUE"""),45322.6131910185)</f>
        <v>45322.613191018499</v>
      </c>
      <c r="B50" s="9" t="str">
        <f ca="1">IFERROR(__xludf.DUMMYFUNCTION("""COMPUTED_VALUE"""),"")</f>
        <v/>
      </c>
      <c r="C50" s="9" t="str">
        <f ca="1">IFERROR(__xludf.DUMMYFUNCTION("""COMPUTED_VALUE"""),"Lê Hữu Thông ")</f>
        <v xml:space="preserve">Lê Hữu Thông </v>
      </c>
      <c r="D50" s="9" t="str">
        <f ca="1">IFERROR(__xludf.DUMMYFUNCTION("""COMPUTED_VALUE"""),"K29")</f>
        <v>K29</v>
      </c>
      <c r="E50" s="9" t="str">
        <f ca="1">IFERROR(__xludf.DUMMYFUNCTION("""COMPUTED_VALUE"""),"CMU - TPM")</f>
        <v>CMU - TPM</v>
      </c>
      <c r="F50" s="9" t="str">
        <f ca="1">IFERROR(__xludf.DUMMYFUNCTION("""COMPUTED_VALUE"""),"Có thể nhận diện được hình ảnh để cố vấn. Chat bot học tập nên giới hạn lượt cố vấn trong 1 ngày tầm 100 lượt hỏi")</f>
        <v>Có thể nhận diện được hình ảnh để cố vấn. Chat bot học tập nên giới hạn lượt cố vấn trong 1 ngày tầm 100 lượt hỏi</v>
      </c>
      <c r="G50" s="9">
        <f ca="1">IFERROR(__xludf.DUMMYFUNCTION("""COMPUTED_VALUE"""),5)</f>
        <v>5</v>
      </c>
      <c r="H50" s="9" t="str">
        <f ca="1">IFERROR(__xludf.DUMMYFUNCTION("""COMPUTED_VALUE"""),"1. Kỳ hè trường mình có bao nhiêu tháng?
2. Em muốn đăng ký 2,3 môn học triết học kỳ hè thì nộp tiền như nào?
3. Thầy Võ Đình Hiếu thích chơi game j😍
4. Gợi ý cho tôi một vài web dạy free tiếng anh giao tiếp
5. Ngôn ngữ Genz bạn biết chứ
6. Z có nghĩa là"&amp;" gì trong Genz
7. Ck có nghĩa là gì trong Genz
8. Vk có nghĩa là gì trong Genz
9. Giảng viên cố vấn của lớp CMU-TPM5 k29 trường Duy tân là ai?
10. Mẹ và vợ rơi xuống sông, nếu bạn là tôi, bạn sẽ cứu ai?
11. Viết code c++: Nhập vector mà không cần nhập số "&amp;"lượng vector trước
12. Trong thế giới IT ai là người giỏi nhất và ai là người đạt nhiều giải thưởng nhất
13. Trong duy tân, sinh viên nào đang giữ nhiều giải công nghệ thông tin nhất
14. Liệt kê 1000 từ tiếng anh thông dụng trong giao tiếp")</f>
        <v>1. Kỳ hè trường mình có bao nhiêu tháng?
2. Em muốn đăng ký 2,3 môn học triết học kỳ hè thì nộp tiền như nào?
3. Thầy Võ Đình Hiếu thích chơi game j😍
4. Gợi ý cho tôi một vài web dạy free tiếng anh giao tiếp
5. Ngôn ngữ Genz bạn biết chứ
6. Z có nghĩa là gì trong Genz
7. Ck có nghĩa là gì trong Genz
8. Vk có nghĩa là gì trong Genz
9. Giảng viên cố vấn của lớp CMU-TPM5 k29 trường Duy tân là ai?
10. Mẹ và vợ rơi xuống sông, nếu bạn là tôi, bạn sẽ cứu ai?
11. Viết code c++: Nhập vector mà không cần nhập số lượng vector trước
12. Trong thế giới IT ai là người giỏi nhất và ai là người đạt nhiều giải thưởng nhất
13. Trong duy tân, sinh viên nào đang giữ nhiều giải công nghệ thông tin nhất
14. Liệt kê 1000 từ tiếng anh thông dụng trong giao tiếp</v>
      </c>
    </row>
    <row r="51" spans="1:8" ht="14.4">
      <c r="A51" s="22">
        <f ca="1">IFERROR(__xludf.DUMMYFUNCTION("""COMPUTED_VALUE"""),45322.6133198263)</f>
        <v>45322.613319826298</v>
      </c>
      <c r="B51" s="9" t="str">
        <f ca="1">IFERROR(__xludf.DUMMYFUNCTION("""COMPUTED_VALUE"""),"")</f>
        <v/>
      </c>
      <c r="C51" s="9" t="str">
        <f ca="1">IFERROR(__xludf.DUMMYFUNCTION("""COMPUTED_VALUE"""),"Phan Phú Tuấn")</f>
        <v>Phan Phú Tuấn</v>
      </c>
      <c r="D51" s="9" t="str">
        <f ca="1">IFERROR(__xludf.DUMMYFUNCTION("""COMPUTED_VALUE"""),"K27")</f>
        <v>K27</v>
      </c>
      <c r="E51" s="9" t="str">
        <f ca="1">IFERROR(__xludf.DUMMYFUNCTION("""COMPUTED_VALUE"""),"CMU - TPM")</f>
        <v>CMU - TPM</v>
      </c>
      <c r="F51" s="9" t="str">
        <f ca="1">IFERROR(__xludf.DUMMYFUNCTION("""COMPUTED_VALUE"""),"Không ạ")</f>
        <v>Không ạ</v>
      </c>
      <c r="G51" s="9">
        <f ca="1">IFERROR(__xludf.DUMMYFUNCTION("""COMPUTED_VALUE"""),5)</f>
        <v>5</v>
      </c>
      <c r="H51" s="9" t="str">
        <f ca="1">IFERROR(__xludf.DUMMYFUNCTION("""COMPUTED_VALUE"""),"Lịch trình học tập và các môn học bắt buộc cần hoàn thành là gì?
Có những nguồn tài trợ và hỗ trợ tài chính nào cho sinh viên?
Quy định về chính sách học bổng và cách đăng ký?
Có cơ hội thực tập hoặc tham gia dự án nghiên cứu không?
Làm thế nào để đăng ký"&amp;" các lớp học và kiểm tra tình trạng đăng ký?
Quy tắc về nghỉ học và làm thế nào để xin nghỉ khi cần thiết?
Có các khóa đào tạo nghề nghiệp hoặc buổi tư vấn sự nghiệp không?
Làm thế nào để truy cập tài nguyên thư viện và nền tảng học trực tuyến?
Quy định v"&amp;"ề chính sách phòng chống gian lận trong kỳ thi?
Có các cơ hội tham gia các hoạt động ngoại khóa và câu lạc bộ sinh viên không?
Làm thế nào để đánh giá tiến trình học tập và làm thế nào để nhận phản hồi?
Có khóa học thêm giúp đỡ về kỹ năng học tập và làm t"&amp;"hế nào để đăng ký?
Quy định về việc chuyển đổi hoặc thay đổi chương trình học?
Làm thế nào để yêu cầu và nhận giúp đỡ từ giảng viên cố vấn?
Có chương trình hỗ trợ tâm lý cho sinh viên không?
Làm thế nào để tham gia vào các dự án nghiên cứu hoặc các nhóm n"&amp;"ghiên cứu?
Quy định về việc đăng ký và thực hiện các khóa học tùy chọn?
Có cơ hội tham gia các chương trình trao đổi quốc tế không?
Làm thế nào để đăng ký và sử dụng các tiện ích và dịch vụ trên campus?
Có hỗ trợ nào cho sinh viên có nhu cầu đặc biệt hoặc"&amp;" khuyết tật không?
Quy định về việc chấp nhận các tín chỉ từ các khóa học trước đây?
Làm thế nào để tham gia vào các sự kiện và hoạt động cộng đồng của trường?
Có các khóa đào tạo về kỹ năng giao tiếp và lãnh đạo không?
Làm thế nào để kiểm tra và cập nhật"&amp;" thông tin cá nhân trong hồ sơ sinh viên?
Quy định về việc đăng ký các môn học hỗ trợ học tập, như hướng dẫn học tập?
Có chương trình hỗ trợ nghỉ học tạm thời và quay lại sau đó không?
Làm thế nào để đăng ký thực tập ngắn hạn hoặc chương trình thực tập ng"&amp;"hề nghiệp?
Có cơ hội tham gia vào các dự án xã hội và làm việc cộng đồng không?
Làm thế nào để truy cập và sử dụng các phòng thí nghiệm và cơ sở vật chất nghiên cứu?
Quy định về việc đăng ký và tham gia các khóa học trực tuyến bổ sung?
Quy trình và điều k"&amp;"iện để thi lại một môn học?
Làm thế nào để đăng ký học lại các môn không đạt kết quả?
Quy định về việc chuyển ngành và cách đăng ký quy trình này?
Làm thế nào để bảo lưu kết quả học tập trong một khoảng thời gian nhất định?
Quy định và điều kiện để đăng k"&amp;"ý vượt tín chỉ và số lượng tối đa có thể vượt?
Thông tin về các loại học phí, phí học kỳ và cách thanh toán?
Có kế hoạch tăng học phí trong tương lai không và làm thế nào để sinh viên được thông báo trước?
Làm thế nào để đăng ký và sử dụng các dịch vụ bảo"&amp;" hiểm y tế và bảo hiểm học phí?
Quy định về việc đăng ký nghỉ học và làm thế nào để duy trì quyền lợi bảo hiểm?
Có chương trình hỗ trợ việc tìm kiếm công việc và phát triển sự nghiệp không?
Làm thế nào để chọn và đăng ký đề tài đồ án tốt nghiệp?
Quy trình"&amp;" và yêu cầu về việc thực hiện thực tập trong chương trình học?
Có cơ hội thực tập tại các doanh nghiệp đối tác không
")</f>
        <v xml:space="preserve">Lịch trình học tập và các môn học bắt buộc cần hoàn thành là gì?
Có những nguồn tài trợ và hỗ trợ tài chính nào cho sinh viên?
Quy định về chính sách học bổng và cách đăng ký?
Có cơ hội thực tập hoặc tham gia dự án nghiên cứu không?
Làm thế nào để đăng ký các lớp học và kiểm tra tình trạng đăng ký?
Quy tắc về nghỉ học và làm thế nào để xin nghỉ khi cần thiết?
Có các khóa đào tạo nghề nghiệp hoặc buổi tư vấn sự nghiệp không?
Làm thế nào để truy cập tài nguyên thư viện và nền tảng học trực tuyến?
Quy định về chính sách phòng chống gian lận trong kỳ thi?
Có các cơ hội tham gia các hoạt động ngoại khóa và câu lạc bộ sinh viên không?
Làm thế nào để đánh giá tiến trình học tập và làm thế nào để nhận phản hồi?
Có khóa học thêm giúp đỡ về kỹ năng học tập và làm thế nào để đăng ký?
Quy định về việc chuyển đổi hoặc thay đổi chương trình học?
Làm thế nào để yêu cầu và nhận giúp đỡ từ giảng viên cố vấn?
Có chương trình hỗ trợ tâm lý cho sinh viên không?
Làm thế nào để tham gia vào các dự án nghiên cứu hoặc các nhóm nghiên cứu?
Quy định về việc đăng ký và thực hiện các khóa học tùy chọn?
Có cơ hội tham gia các chương trình trao đổi quốc tế không?
Làm thế nào để đăng ký và sử dụng các tiện ích và dịch vụ trên campus?
Có hỗ trợ nào cho sinh viên có nhu cầu đặc biệt hoặc khuyết tật không?
Quy định về việc chấp nhận các tín chỉ từ các khóa học trước đây?
Làm thế nào để tham gia vào các sự kiện và hoạt động cộng đồng của trường?
Có các khóa đào tạo về kỹ năng giao tiếp và lãnh đạo không?
Làm thế nào để kiểm tra và cập nhật thông tin cá nhân trong hồ sơ sinh viên?
Quy định về việc đăng ký các môn học hỗ trợ học tập, như hướng dẫn học tập?
Có chương trình hỗ trợ nghỉ học tạm thời và quay lại sau đó không?
Làm thế nào để đăng ký thực tập ngắn hạn hoặc chương trình thực tập nghề nghiệp?
Có cơ hội tham gia vào các dự án xã hội và làm việc cộng đồng không?
Làm thế nào để truy cập và sử dụng các phòng thí nghiệm và cơ sở vật chất nghiên cứu?
Quy định về việc đăng ký và tham gia các khóa học trực tuyến bổ sung?
Quy trình và điều kiện để thi lại một môn học?
Làm thế nào để đăng ký học lại các môn không đạt kết quả?
Quy định về việc chuyển ngành và cách đăng ký quy trình này?
Làm thế nào để bảo lưu kết quả học tập trong một khoảng thời gian nhất định?
Quy định và điều kiện để đăng ký vượt tín chỉ và số lượng tối đa có thể vượt?
Thông tin về các loại học phí, phí học kỳ và cách thanh toán?
Có kế hoạch tăng học phí trong tương lai không và làm thế nào để sinh viên được thông báo trước?
Làm thế nào để đăng ký và sử dụng các dịch vụ bảo hiểm y tế và bảo hiểm học phí?
Quy định về việc đăng ký nghỉ học và làm thế nào để duy trì quyền lợi bảo hiểm?
Có chương trình hỗ trợ việc tìm kiếm công việc và phát triển sự nghiệp không?
Làm thế nào để chọn và đăng ký đề tài đồ án tốt nghiệp?
Quy trình và yêu cầu về việc thực hiện thực tập trong chương trình học?
Có cơ hội thực tập tại các doanh nghiệp đối tác không
</v>
      </c>
    </row>
    <row r="52" spans="1:8" ht="14.4">
      <c r="A52" s="22">
        <f ca="1">IFERROR(__xludf.DUMMYFUNCTION("""COMPUTED_VALUE"""),45322.6139290856)</f>
        <v>45322.613929085601</v>
      </c>
      <c r="B52" s="9" t="str">
        <f ca="1">IFERROR(__xludf.DUMMYFUNCTION("""COMPUTED_VALUE"""),"")</f>
        <v/>
      </c>
      <c r="C52" s="9" t="str">
        <f ca="1">IFERROR(__xludf.DUMMYFUNCTION("""COMPUTED_VALUE"""),"Nguyễn Gia Bảo")</f>
        <v>Nguyễn Gia Bảo</v>
      </c>
      <c r="D52" s="9" t="str">
        <f ca="1">IFERROR(__xludf.DUMMYFUNCTION("""COMPUTED_VALUE"""),"K29")</f>
        <v>K29</v>
      </c>
      <c r="E52" s="9" t="str">
        <f ca="1">IFERROR(__xludf.DUMMYFUNCTION("""COMPUTED_VALUE"""),"CMU - TPM")</f>
        <v>CMU - TPM</v>
      </c>
      <c r="F52" s="9" t="str">
        <f ca="1">IFERROR(__xludf.DUMMYFUNCTION("""COMPUTED_VALUE"""),"Chỉ tận tình :)))")</f>
        <v>Chỉ tận tình :)))</v>
      </c>
      <c r="G52" s="9">
        <f ca="1">IFERROR(__xludf.DUMMYFUNCTION("""COMPUTED_VALUE"""),5)</f>
        <v>5</v>
      </c>
      <c r="H52" s="9" t="str">
        <f ca="1">IFERROR(__xludf.DUMMYFUNCTION("""COMPUTED_VALUE""")," Mới năm 1 Có nên chuyển nghành không ? 
Làm sao để có động lực học ? 
không có tiền phải làm sao ? 
Tốt nghiệp ra trường GPA bao nhiêu là đủ?
 Một số trang web hỗ trợ học tập ? 
")</f>
        <v xml:space="preserve"> Mới năm 1 Có nên chuyển nghành không ? 
Làm sao để có động lực học ? 
không có tiền phải làm sao ? 
Tốt nghiệp ra trường GPA bao nhiêu là đủ?
 Một số trang web hỗ trợ học tập ? 
</v>
      </c>
    </row>
    <row r="53" spans="1:8" ht="14.4">
      <c r="A53" s="22">
        <f ca="1">IFERROR(__xludf.DUMMYFUNCTION("""COMPUTED_VALUE"""),45322.6192544097)</f>
        <v>45322.619254409699</v>
      </c>
      <c r="B53" s="9" t="str">
        <f ca="1">IFERROR(__xludf.DUMMYFUNCTION("""COMPUTED_VALUE"""),"")</f>
        <v/>
      </c>
      <c r="C53" s="9" t="str">
        <f ca="1">IFERROR(__xludf.DUMMYFUNCTION("""COMPUTED_VALUE"""),"Doãn Bá Rin")</f>
        <v>Doãn Bá Rin</v>
      </c>
      <c r="D53" s="9" t="str">
        <f ca="1">IFERROR(__xludf.DUMMYFUNCTION("""COMPUTED_VALUE"""),"K29")</f>
        <v>K29</v>
      </c>
      <c r="E53" s="9" t="str">
        <f ca="1">IFERROR(__xludf.DUMMYFUNCTION("""COMPUTED_VALUE"""),"CMU - TPM")</f>
        <v>CMU - TPM</v>
      </c>
      <c r="F53" s="9" t="str">
        <f ca="1">IFERROR(__xludf.DUMMYFUNCTION("""COMPUTED_VALUE"""),"Đưa ra thông tin nhanh chóng và chính xác")</f>
        <v>Đưa ra thông tin nhanh chóng và chính xác</v>
      </c>
      <c r="G53" s="9">
        <f ca="1">IFERROR(__xludf.DUMMYFUNCTION("""COMPUTED_VALUE"""),5)</f>
        <v>5</v>
      </c>
      <c r="H53" s="9" t="str">
        <f ca="1">IFERROR(__xludf.DUMMYFUNCTION("""COMPUTED_VALUE"""),"1. Học phí trường mình có thay đổi không thầy ?
2. Việc học hè sẽ đăng ký như thế nào thầy ?
3. Cơ hội việc làm sau nào như thế nào ạ ?")</f>
        <v>1. Học phí trường mình có thay đổi không thầy ?
2. Việc học hè sẽ đăng ký như thế nào thầy ?
3. Cơ hội việc làm sau nào như thế nào ạ ?</v>
      </c>
    </row>
    <row r="54" spans="1:8" ht="14.4">
      <c r="A54" s="22">
        <f ca="1">IFERROR(__xludf.DUMMYFUNCTION("""COMPUTED_VALUE"""),45322.6658752314)</f>
        <v>45322.665875231403</v>
      </c>
      <c r="B54" s="9" t="str">
        <f ca="1">IFERROR(__xludf.DUMMYFUNCTION("""COMPUTED_VALUE"""),"")</f>
        <v/>
      </c>
      <c r="C54" s="9" t="str">
        <f ca="1">IFERROR(__xludf.DUMMYFUNCTION("""COMPUTED_VALUE"""),"Phan Văn Hùng")</f>
        <v>Phan Văn Hùng</v>
      </c>
      <c r="D54" s="9" t="str">
        <f ca="1">IFERROR(__xludf.DUMMYFUNCTION("""COMPUTED_VALUE"""),"K29")</f>
        <v>K29</v>
      </c>
      <c r="E54" s="9" t="str">
        <f ca="1">IFERROR(__xludf.DUMMYFUNCTION("""COMPUTED_VALUE"""),"CMU - TPM")</f>
        <v>CMU - TPM</v>
      </c>
      <c r="F54" s="9" t="str">
        <f ca="1">IFERROR(__xludf.DUMMYFUNCTION("""COMPUTED_VALUE"""),"Tính năng dạy dễ hiểu")</f>
        <v>Tính năng dạy dễ hiểu</v>
      </c>
      <c r="G54" s="9">
        <f ca="1">IFERROR(__xludf.DUMMYFUNCTION("""COMPUTED_VALUE"""),4)</f>
        <v>4</v>
      </c>
      <c r="H54" s="9" t="str">
        <f ca="1">IFERROR(__xludf.DUMMYFUNCTION("""COMPUTED_VALUE"""),"Mình có thu thêm học phí k ạ")</f>
        <v>Mình có thu thêm học phí k ạ</v>
      </c>
    </row>
    <row r="55" spans="1:8" ht="14.4">
      <c r="A55" s="22">
        <f ca="1">IFERROR(__xludf.DUMMYFUNCTION("""COMPUTED_VALUE"""),45322.66595603)</f>
        <v>45322.665956030003</v>
      </c>
      <c r="B55" s="9" t="str">
        <f ca="1">IFERROR(__xludf.DUMMYFUNCTION("""COMPUTED_VALUE"""),"")</f>
        <v/>
      </c>
      <c r="C55" s="9" t="str">
        <f ca="1">IFERROR(__xludf.DUMMYFUNCTION("""COMPUTED_VALUE"""),"Phan Văn Hùng")</f>
        <v>Phan Văn Hùng</v>
      </c>
      <c r="D55" s="9" t="str">
        <f ca="1">IFERROR(__xludf.DUMMYFUNCTION("""COMPUTED_VALUE"""),"K29")</f>
        <v>K29</v>
      </c>
      <c r="E55" s="9" t="str">
        <f ca="1">IFERROR(__xludf.DUMMYFUNCTION("""COMPUTED_VALUE"""),"CMU - TPM")</f>
        <v>CMU - TPM</v>
      </c>
      <c r="F55" s="9" t="str">
        <f ca="1">IFERROR(__xludf.DUMMYFUNCTION("""COMPUTED_VALUE"""),"Tính năng dạy dễ hiểu")</f>
        <v>Tính năng dạy dễ hiểu</v>
      </c>
      <c r="G55" s="9">
        <f ca="1">IFERROR(__xludf.DUMMYFUNCTION("""COMPUTED_VALUE"""),4)</f>
        <v>4</v>
      </c>
      <c r="H55" s="9" t="str">
        <f ca="1">IFERROR(__xludf.DUMMYFUNCTION("""COMPUTED_VALUE"""),"Mình có thu thêm học phí k ạ")</f>
        <v>Mình có thu thêm học phí k ạ</v>
      </c>
    </row>
    <row r="56" spans="1:8" ht="14.4">
      <c r="A56" s="22">
        <f ca="1">IFERROR(__xludf.DUMMYFUNCTION("""COMPUTED_VALUE"""),45322.6667842013)</f>
        <v>45322.666784201298</v>
      </c>
      <c r="B56" s="9" t="str">
        <f ca="1">IFERROR(__xludf.DUMMYFUNCTION("""COMPUTED_VALUE"""),"")</f>
        <v/>
      </c>
      <c r="C56" s="9" t="str">
        <f ca="1">IFERROR(__xludf.DUMMYFUNCTION("""COMPUTED_VALUE"""),"Nguyễn Công Tiến")</f>
        <v>Nguyễn Công Tiến</v>
      </c>
      <c r="D56" s="9" t="str">
        <f ca="1">IFERROR(__xludf.DUMMYFUNCTION("""COMPUTED_VALUE"""),"K29")</f>
        <v>K29</v>
      </c>
      <c r="E56" s="9" t="str">
        <f ca="1">IFERROR(__xludf.DUMMYFUNCTION("""COMPUTED_VALUE"""),"CMU - TPM")</f>
        <v>CMU - TPM</v>
      </c>
      <c r="F56" s="9" t="str">
        <f ca="1">IFERROR(__xludf.DUMMYFUNCTION("""COMPUTED_VALUE"""),"Chat bót svien")</f>
        <v>Chat bót svien</v>
      </c>
      <c r="G56" s="9">
        <f ca="1">IFERROR(__xludf.DUMMYFUNCTION("""COMPUTED_VALUE"""),5)</f>
        <v>5</v>
      </c>
      <c r="H56" s="9" t="str">
        <f ca="1">IFERROR(__xludf.DUMMYFUNCTION("""COMPUTED_VALUE"""),"Bao nhiêu chứng chỉ là tốt nghiệp vậy thầy")</f>
        <v>Bao nhiêu chứng chỉ là tốt nghiệp vậy thầy</v>
      </c>
    </row>
    <row r="57" spans="1:8" ht="14.4">
      <c r="A57" s="22">
        <f ca="1">IFERROR(__xludf.DUMMYFUNCTION("""COMPUTED_VALUE"""),45322.6674888888)</f>
        <v>45322.667488888801</v>
      </c>
      <c r="B57" s="9" t="str">
        <f ca="1">IFERROR(__xludf.DUMMYFUNCTION("""COMPUTED_VALUE"""),"")</f>
        <v/>
      </c>
      <c r="C57" s="9" t="str">
        <f ca="1">IFERROR(__xludf.DUMMYFUNCTION("""COMPUTED_VALUE"""),"Nguyễn Đặng Minh Tuấn")</f>
        <v>Nguyễn Đặng Minh Tuấn</v>
      </c>
      <c r="D57" s="9" t="str">
        <f ca="1">IFERROR(__xludf.DUMMYFUNCTION("""COMPUTED_VALUE"""),"K29")</f>
        <v>K29</v>
      </c>
      <c r="E57" s="9" t="str">
        <f ca="1">IFERROR(__xludf.DUMMYFUNCTION("""COMPUTED_VALUE"""),"CMU - TPM")</f>
        <v>CMU - TPM</v>
      </c>
      <c r="F57" s="9" t="str">
        <f ca="1">IFERROR(__xludf.DUMMYFUNCTION("""COMPUTED_VALUE"""),"Hướng dẫn tường tận cho sinh viên hơn")</f>
        <v>Hướng dẫn tường tận cho sinh viên hơn</v>
      </c>
      <c r="G57" s="9">
        <f ca="1">IFERROR(__xludf.DUMMYFUNCTION("""COMPUTED_VALUE"""),1)</f>
        <v>1</v>
      </c>
      <c r="H57" s="9" t="str">
        <f ca="1">IFERROR(__xludf.DUMMYFUNCTION("""COMPUTED_VALUE"""),"Phương pháp học hiệu quả ở đại học như nào?
Cách để đăng ký tín chỉ?
Làm sao để được điểm cao trong môn học?")</f>
        <v>Phương pháp học hiệu quả ở đại học như nào?
Cách để đăng ký tín chỉ?
Làm sao để được điểm cao trong môn học?</v>
      </c>
    </row>
    <row r="58" spans="1:8" ht="14.4">
      <c r="A58" s="22">
        <f ca="1">IFERROR(__xludf.DUMMYFUNCTION("""COMPUTED_VALUE"""),45322.6675720601)</f>
        <v>45322.667572060098</v>
      </c>
      <c r="B58" s="9" t="str">
        <f ca="1">IFERROR(__xludf.DUMMYFUNCTION("""COMPUTED_VALUE"""),"")</f>
        <v/>
      </c>
      <c r="C58" s="9" t="str">
        <f ca="1">IFERROR(__xludf.DUMMYFUNCTION("""COMPUTED_VALUE"""),"Phan Văn Tiến")</f>
        <v>Phan Văn Tiến</v>
      </c>
      <c r="D58" s="9" t="str">
        <f ca="1">IFERROR(__xludf.DUMMYFUNCTION("""COMPUTED_VALUE"""),"K29")</f>
        <v>K29</v>
      </c>
      <c r="E58" s="9" t="str">
        <f ca="1">IFERROR(__xludf.DUMMYFUNCTION("""COMPUTED_VALUE"""),"CMU - TPM")</f>
        <v>CMU - TPM</v>
      </c>
      <c r="F58" s="9" t="str">
        <f ca="1">IFERROR(__xludf.DUMMYFUNCTION("""COMPUTED_VALUE"""),"Trả lời chính xác")</f>
        <v>Trả lời chính xác</v>
      </c>
      <c r="G58" s="9">
        <f ca="1">IFERROR(__xludf.DUMMYFUNCTION("""COMPUTED_VALUE"""),1)</f>
        <v>1</v>
      </c>
      <c r="H58" s="9" t="str">
        <f ca="1">IFERROR(__xludf.DUMMYFUNCTION("""COMPUTED_VALUE"""),"Mình sẽ học bao nhiêu kỳ")</f>
        <v>Mình sẽ học bao nhiêu kỳ</v>
      </c>
    </row>
    <row r="59" spans="1:8" ht="14.4">
      <c r="A59" s="22">
        <f ca="1">IFERROR(__xludf.DUMMYFUNCTION("""COMPUTED_VALUE"""),45322.6677228472)</f>
        <v>45322.667722847204</v>
      </c>
      <c r="B59" s="9" t="str">
        <f ca="1">IFERROR(__xludf.DUMMYFUNCTION("""COMPUTED_VALUE"""),"")</f>
        <v/>
      </c>
      <c r="C59" s="9" t="str">
        <f ca="1">IFERROR(__xludf.DUMMYFUNCTION("""COMPUTED_VALUE"""),"nguyễn hoàng minh")</f>
        <v>nguyễn hoàng minh</v>
      </c>
      <c r="D59" s="9" t="str">
        <f ca="1">IFERROR(__xludf.DUMMYFUNCTION("""COMPUTED_VALUE"""),"K29")</f>
        <v>K29</v>
      </c>
      <c r="E59" s="9" t="str">
        <f ca="1">IFERROR(__xludf.DUMMYFUNCTION("""COMPUTED_VALUE"""),"CMU - TPM")</f>
        <v>CMU - TPM</v>
      </c>
      <c r="F59" s="9" t="str">
        <f ca="1">IFERROR(__xludf.DUMMYFUNCTION("""COMPUTED_VALUE"""),"lưu trữ code")</f>
        <v>lưu trữ code</v>
      </c>
      <c r="G59" s="9">
        <f ca="1">IFERROR(__xludf.DUMMYFUNCTION("""COMPUTED_VALUE"""),5)</f>
        <v>5</v>
      </c>
      <c r="H59" s="9" t="str">
        <f ca="1">IFERROR(__xludf.DUMMYFUNCTION("""COMPUTED_VALUE"""),"có những kiến thức ngoài tầm giành cho công việc và với lượng kiến thức rộng vậy làm sao để có thể tự học 1 cách hiệu quả")</f>
        <v>có những kiến thức ngoài tầm giành cho công việc và với lượng kiến thức rộng vậy làm sao để có thể tự học 1 cách hiệu quả</v>
      </c>
    </row>
    <row r="60" spans="1:8" ht="14.4">
      <c r="A60" s="22">
        <f ca="1">IFERROR(__xludf.DUMMYFUNCTION("""COMPUTED_VALUE"""),45322.6684593865)</f>
        <v>45322.668459386499</v>
      </c>
      <c r="B60" s="9" t="str">
        <f ca="1">IFERROR(__xludf.DUMMYFUNCTION("""COMPUTED_VALUE"""),"")</f>
        <v/>
      </c>
      <c r="C60" s="9" t="str">
        <f ca="1">IFERROR(__xludf.DUMMYFUNCTION("""COMPUTED_VALUE"""),"Võ Nguyễn Trung Sơn")</f>
        <v>Võ Nguyễn Trung Sơn</v>
      </c>
      <c r="D60" s="9" t="str">
        <f ca="1">IFERROR(__xludf.DUMMYFUNCTION("""COMPUTED_VALUE"""),"K29")</f>
        <v>K29</v>
      </c>
      <c r="E60" s="9" t="str">
        <f ca="1">IFERROR(__xludf.DUMMYFUNCTION("""COMPUTED_VALUE"""),"CMU - TPM")</f>
        <v>CMU - TPM</v>
      </c>
      <c r="F60" s="9" t="str">
        <f ca="1">IFERROR(__xludf.DUMMYFUNCTION("""COMPUTED_VALUE"""),"Đề xuất nhanh các câu hỏi gần với câu hỏi mình đã hỏi")</f>
        <v>Đề xuất nhanh các câu hỏi gần với câu hỏi mình đã hỏi</v>
      </c>
      <c r="G60" s="9">
        <f ca="1">IFERROR(__xludf.DUMMYFUNCTION("""COMPUTED_VALUE"""),4)</f>
        <v>4</v>
      </c>
      <c r="H60" s="9" t="str">
        <f ca="1">IFERROR(__xludf.DUMMYFUNCTION("""COMPUTED_VALUE"""),"1. Học phí có thay đổi qua từng năm không?
2. Nộp học phí trễ có bị sao không?
3. Điểm bao nhiêu sẽ bị tính là rớt môn?
4. Học kì hè thì tính số tín và số tiền học phí như nào?
")</f>
        <v xml:space="preserve">1. Học phí có thay đổi qua từng năm không?
2. Nộp học phí trễ có bị sao không?
3. Điểm bao nhiêu sẽ bị tính là rớt môn?
4. Học kì hè thì tính số tín và số tiền học phí như nào?
</v>
      </c>
    </row>
    <row r="61" spans="1:8" ht="14.4">
      <c r="A61" s="22">
        <f ca="1">IFERROR(__xludf.DUMMYFUNCTION("""COMPUTED_VALUE"""),45322.6695486689)</f>
        <v>45322.669548668899</v>
      </c>
      <c r="B61" s="9" t="str">
        <f ca="1">IFERROR(__xludf.DUMMYFUNCTION("""COMPUTED_VALUE"""),"")</f>
        <v/>
      </c>
      <c r="C61" s="9" t="str">
        <f ca="1">IFERROR(__xludf.DUMMYFUNCTION("""COMPUTED_VALUE"""),"La Quý Phong")</f>
        <v>La Quý Phong</v>
      </c>
      <c r="D61" s="9" t="str">
        <f ca="1">IFERROR(__xludf.DUMMYFUNCTION("""COMPUTED_VALUE"""),"K29")</f>
        <v>K29</v>
      </c>
      <c r="E61" s="9" t="str">
        <f ca="1">IFERROR(__xludf.DUMMYFUNCTION("""COMPUTED_VALUE"""),"CMU - TPM")</f>
        <v>CMU - TPM</v>
      </c>
      <c r="F61" s="9" t="str">
        <f ca="1">IFERROR(__xludf.DUMMYFUNCTION("""COMPUTED_VALUE"""),"Giả thích và phân tích vấn đề hoặc 1 bài toán khó bắng 1 cách đơn giản và dễ hiểu")</f>
        <v>Giả thích và phân tích vấn đề hoặc 1 bài toán khó bắng 1 cách đơn giản và dễ hiểu</v>
      </c>
      <c r="G61" s="9">
        <f ca="1">IFERROR(__xludf.DUMMYFUNCTION("""COMPUTED_VALUE"""),5)</f>
        <v>5</v>
      </c>
      <c r="H61" s="9" t="str">
        <f ca="1">IFERROR(__xludf.DUMMYFUNCTION("""COMPUTED_VALUE"""),"1/ làm sao để cải thiện tư duy logic để phù hợp với việc coding trong ngành công nghệ phần mềm này
2/ giả sử em ngu về ngôn ngữ A nào đó, nhưng em lại giỏi về ngôn ngữ B thì có được không hay là bắt buộc phải giỏi hết")</f>
        <v>1/ làm sao để cải thiện tư duy logic để phù hợp với việc coding trong ngành công nghệ phần mềm này
2/ giả sử em ngu về ngôn ngữ A nào đó, nhưng em lại giỏi về ngôn ngữ B thì có được không hay là bắt buộc phải giỏi hết</v>
      </c>
    </row>
    <row r="62" spans="1:8" ht="14.4">
      <c r="A62" s="22">
        <f ca="1">IFERROR(__xludf.DUMMYFUNCTION("""COMPUTED_VALUE"""),45322.6697397222)</f>
        <v>45322.669739722201</v>
      </c>
      <c r="B62" s="9" t="str">
        <f ca="1">IFERROR(__xludf.DUMMYFUNCTION("""COMPUTED_VALUE"""),"")</f>
        <v/>
      </c>
      <c r="C62" s="9" t="str">
        <f ca="1">IFERROR(__xludf.DUMMYFUNCTION("""COMPUTED_VALUE"""),"Vũ Đăng Huy")</f>
        <v>Vũ Đăng Huy</v>
      </c>
      <c r="D62" s="9" t="str">
        <f ca="1">IFERROR(__xludf.DUMMYFUNCTION("""COMPUTED_VALUE"""),"K29")</f>
        <v>K29</v>
      </c>
      <c r="E62" s="9" t="str">
        <f ca="1">IFERROR(__xludf.DUMMYFUNCTION("""COMPUTED_VALUE"""),"CMU - TPM")</f>
        <v>CMU - TPM</v>
      </c>
      <c r="F62" s="9" t="str">
        <f ca="1">IFERROR(__xludf.DUMMYFUNCTION("""COMPUTED_VALUE"""),"Trao đổi 2 chiều. Có thể tự cập nhật những kiến thức mới.")</f>
        <v>Trao đổi 2 chiều. Có thể tự cập nhật những kiến thức mới.</v>
      </c>
      <c r="G62" s="9">
        <f ca="1">IFERROR(__xludf.DUMMYFUNCTION("""COMPUTED_VALUE"""),2)</f>
        <v>2</v>
      </c>
      <c r="H62" s="9" t="str">
        <f ca="1">IFERROR(__xludf.DUMMYFUNCTION("""COMPUTED_VALUE"""),"1.Có nên học hè không ạ?
2.Nếu không học hè thì hè nên học những gì để trau phát triển tốt hơn ạ?")</f>
        <v>1.Có nên học hè không ạ?
2.Nếu không học hè thì hè nên học những gì để trau phát triển tốt hơn ạ?</v>
      </c>
    </row>
    <row r="63" spans="1:8" ht="14.4">
      <c r="A63" s="22">
        <f ca="1">IFERROR(__xludf.DUMMYFUNCTION("""COMPUTED_VALUE"""),45322.6742429166)</f>
        <v>45322.674242916597</v>
      </c>
      <c r="B63" s="9" t="str">
        <f ca="1">IFERROR(__xludf.DUMMYFUNCTION("""COMPUTED_VALUE"""),"")</f>
        <v/>
      </c>
      <c r="C63" s="9" t="str">
        <f ca="1">IFERROR(__xludf.DUMMYFUNCTION("""COMPUTED_VALUE"""),"Phạm Chí Khanh")</f>
        <v>Phạm Chí Khanh</v>
      </c>
      <c r="D63" s="9" t="str">
        <f ca="1">IFERROR(__xludf.DUMMYFUNCTION("""COMPUTED_VALUE"""),"K29")</f>
        <v>K29</v>
      </c>
      <c r="E63" s="9" t="str">
        <f ca="1">IFERROR(__xludf.DUMMYFUNCTION("""COMPUTED_VALUE"""),"CMU - TPM")</f>
        <v>CMU - TPM</v>
      </c>
      <c r="F63" s="9" t="str">
        <f ca="1">IFERROR(__xludf.DUMMYFUNCTION("""COMPUTED_VALUE"""),"Thêm chức năng cập nhật các thông báo quan trọng")</f>
        <v>Thêm chức năng cập nhật các thông báo quan trọng</v>
      </c>
      <c r="G63" s="9">
        <f ca="1">IFERROR(__xludf.DUMMYFUNCTION("""COMPUTED_VALUE"""),3)</f>
        <v>3</v>
      </c>
      <c r="H63" s="9" t="str">
        <f ca="1">IFERROR(__xludf.DUMMYFUNCTION("""COMPUTED_VALUE"""),"1.  Muốn đạt học bổng thì cần những điều kiện gì ạ ?
2. Cách tham gia các câu lạc bộ của trường ?")</f>
        <v>1.  Muốn đạt học bổng thì cần những điều kiện gì ạ ?
2. Cách tham gia các câu lạc bộ của trường ?</v>
      </c>
    </row>
    <row r="64" spans="1:8" ht="14.4">
      <c r="A64" s="22">
        <f ca="1">IFERROR(__xludf.DUMMYFUNCTION("""COMPUTED_VALUE"""),45322.767793368)</f>
        <v>45322.767793368002</v>
      </c>
      <c r="B64" s="9" t="str">
        <f ca="1">IFERROR(__xludf.DUMMYFUNCTION("""COMPUTED_VALUE"""),"")</f>
        <v/>
      </c>
      <c r="C64" s="9" t="str">
        <f ca="1">IFERROR(__xludf.DUMMYFUNCTION("""COMPUTED_VALUE"""),"Trần Văn Huy")</f>
        <v>Trần Văn Huy</v>
      </c>
      <c r="D64" s="9" t="str">
        <f ca="1">IFERROR(__xludf.DUMMYFUNCTION("""COMPUTED_VALUE"""),"K29")</f>
        <v>K29</v>
      </c>
      <c r="E64" s="9" t="str">
        <f ca="1">IFERROR(__xludf.DUMMYFUNCTION("""COMPUTED_VALUE"""),"CMU - TPM")</f>
        <v>CMU - TPM</v>
      </c>
      <c r="F64" s="9" t="str">
        <f ca="1">IFERROR(__xludf.DUMMYFUNCTION("""COMPUTED_VALUE"""),"giải bài tập tự động")</f>
        <v>giải bài tập tự động</v>
      </c>
      <c r="G64" s="9">
        <f ca="1">IFERROR(__xludf.DUMMYFUNCTION("""COMPUTED_VALUE"""),5)</f>
        <v>5</v>
      </c>
      <c r="H64" s="9" t="str">
        <f ca="1">IFERROR(__xludf.DUMMYFUNCTION("""COMPUTED_VALUE"""),"Học phí trường mình bao nhiêu vậy thầy ?
Mình sẽ học bao nhiêu học kỳ ?")</f>
        <v>Học phí trường mình bao nhiêu vậy thầy ?
Mình sẽ học bao nhiêu học kỳ ?</v>
      </c>
    </row>
    <row r="65" spans="1:8" ht="14.4">
      <c r="A65" s="22">
        <f ca="1">IFERROR(__xludf.DUMMYFUNCTION("""COMPUTED_VALUE"""),45380.5846622338)</f>
        <v>45380.584662233799</v>
      </c>
      <c r="B65" s="9" t="str">
        <f ca="1">IFERROR(__xludf.DUMMYFUNCTION("""COMPUTED_VALUE"""),"")</f>
        <v/>
      </c>
      <c r="C65" s="9" t="str">
        <f ca="1">IFERROR(__xludf.DUMMYFUNCTION("""COMPUTED_VALUE"""),"Đặng Trung Vương ")</f>
        <v xml:space="preserve">Đặng Trung Vương </v>
      </c>
      <c r="D65" s="9" t="str">
        <f ca="1">IFERROR(__xludf.DUMMYFUNCTION("""COMPUTED_VALUE"""),"K29")</f>
        <v>K29</v>
      </c>
      <c r="E65" s="9" t="str">
        <f ca="1">IFERROR(__xludf.DUMMYFUNCTION("""COMPUTED_VALUE"""),"CMU - TPM (Kỹ thuật phần mềm)")</f>
        <v>CMU - TPM (Kỹ thuật phần mềm)</v>
      </c>
      <c r="F65" s="9" t="str">
        <f ca="1">IFERROR(__xludf.DUMMYFUNCTION("""COMPUTED_VALUE"""),"Không")</f>
        <v>Không</v>
      </c>
      <c r="G65" s="9"/>
      <c r="H65" s="9" t="str">
        <f ca="1">IFERROR(__xludf.DUMMYFUNCTION("""COMPUTED_VALUE"""),"Cách đạt bằng tốt nghiệp các loại ?
")</f>
        <v xml:space="preserve">Cách đạt bằng tốt nghiệp các loại ?
</v>
      </c>
    </row>
    <row r="66" spans="1:8" ht="14.4">
      <c r="A66" s="22">
        <f ca="1">IFERROR(__xludf.DUMMYFUNCTION("""COMPUTED_VALUE"""),45380.5854605324)</f>
        <v>45380.585460532398</v>
      </c>
      <c r="B66" s="9" t="str">
        <f ca="1">IFERROR(__xludf.DUMMYFUNCTION("""COMPUTED_VALUE"""),"")</f>
        <v/>
      </c>
      <c r="C66" s="9" t="str">
        <f ca="1">IFERROR(__xludf.DUMMYFUNCTION("""COMPUTED_VALUE"""),"Tăng văn Thịnh")</f>
        <v>Tăng văn Thịnh</v>
      </c>
      <c r="D66" s="9" t="str">
        <f ca="1">IFERROR(__xludf.DUMMYFUNCTION("""COMPUTED_VALUE"""),"K29")</f>
        <v>K29</v>
      </c>
      <c r="E66" s="9" t="str">
        <f ca="1">IFERROR(__xludf.DUMMYFUNCTION("""COMPUTED_VALUE"""),"CMU - TPM (Kỹ thuật phần mềm)")</f>
        <v>CMU - TPM (Kỹ thuật phần mềm)</v>
      </c>
      <c r="F66" s="9" t="str">
        <f ca="1">IFERROR(__xludf.DUMMYFUNCTION("""COMPUTED_VALUE"""),"Trả lời nhanh chóng , đầy đủ thông tin về câu hỏi ")</f>
        <v xml:space="preserve">Trả lời nhanh chóng , đầy đủ thông tin về câu hỏi </v>
      </c>
      <c r="G66" s="9">
        <f ca="1">IFERROR(__xludf.DUMMYFUNCTION("""COMPUTED_VALUE"""),3)</f>
        <v>3</v>
      </c>
      <c r="H66" s="9" t="str">
        <f ca="1">IFERROR(__xludf.DUMMYFUNCTION("""COMPUTED_VALUE"""),"Cách Đăng ký chuyển ngành?
Cụ thể hơn về tín chỉ môn học khi chuyển ngành?")</f>
        <v>Cách Đăng ký chuyển ngành?
Cụ thể hơn về tín chỉ môn học khi chuyển ngành?</v>
      </c>
    </row>
    <row r="67" spans="1:8" ht="14.4">
      <c r="A67" s="22">
        <f ca="1">IFERROR(__xludf.DUMMYFUNCTION("""COMPUTED_VALUE"""),45380.5951252662)</f>
        <v>45380.595125266198</v>
      </c>
      <c r="B67" s="9" t="str">
        <f ca="1">IFERROR(__xludf.DUMMYFUNCTION("""COMPUTED_VALUE"""),"")</f>
        <v/>
      </c>
      <c r="C67" s="9" t="str">
        <f ca="1">IFERROR(__xludf.DUMMYFUNCTION("""COMPUTED_VALUE"""),"Ngô Nguyễn Thuỳ Linh ")</f>
        <v xml:space="preserve">Ngô Nguyễn Thuỳ Linh </v>
      </c>
      <c r="D67" s="9" t="str">
        <f ca="1">IFERROR(__xludf.DUMMYFUNCTION("""COMPUTED_VALUE"""),"K28")</f>
        <v>K28</v>
      </c>
      <c r="E67" s="9" t="str">
        <f ca="1">IFERROR(__xludf.DUMMYFUNCTION("""COMPUTED_VALUE"""),"CMU - TPM (Kỹ thuật phần mềm)")</f>
        <v>CMU - TPM (Kỹ thuật phần mềm)</v>
      </c>
      <c r="F67" s="9" t="str">
        <f ca="1">IFERROR(__xludf.DUMMYFUNCTION("""COMPUTED_VALUE"""),"Trả lời câu hỏi tự động")</f>
        <v>Trả lời câu hỏi tự động</v>
      </c>
      <c r="G67" s="9">
        <f ca="1">IFERROR(__xludf.DUMMYFUNCTION("""COMPUTED_VALUE"""),5)</f>
        <v>5</v>
      </c>
      <c r="H67" s="9" t="str">
        <f ca="1">IFERROR(__xludf.DUMMYFUNCTION("""COMPUTED_VALUE"""),"Các điều kiện để ra trường")</f>
        <v>Các điều kiện để ra trường</v>
      </c>
    </row>
    <row r="68" spans="1:8" ht="14.4">
      <c r="A68" s="22">
        <f ca="1">IFERROR(__xludf.DUMMYFUNCTION("""COMPUTED_VALUE"""),45380.5953052083)</f>
        <v>45380.595305208299</v>
      </c>
      <c r="B68" s="9" t="str">
        <f ca="1">IFERROR(__xludf.DUMMYFUNCTION("""COMPUTED_VALUE"""),"")</f>
        <v/>
      </c>
      <c r="C68" s="9" t="str">
        <f ca="1">IFERROR(__xludf.DUMMYFUNCTION("""COMPUTED_VALUE"""),"Trần Quốc Quang ")</f>
        <v xml:space="preserve">Trần Quốc Quang </v>
      </c>
      <c r="D68" s="9" t="str">
        <f ca="1">IFERROR(__xludf.DUMMYFUNCTION("""COMPUTED_VALUE"""),"K28")</f>
        <v>K28</v>
      </c>
      <c r="E68" s="9" t="str">
        <f ca="1">IFERROR(__xludf.DUMMYFUNCTION("""COMPUTED_VALUE"""),"CMU - TPM (Kỹ thuật phần mềm)")</f>
        <v>CMU - TPM (Kỹ thuật phần mềm)</v>
      </c>
      <c r="F68" s="9" t="str">
        <f ca="1">IFERROR(__xludf.DUMMYFUNCTION("""COMPUTED_VALUE"""),"Không")</f>
        <v>Không</v>
      </c>
      <c r="G68" s="9">
        <f ca="1">IFERROR(__xludf.DUMMYFUNCTION("""COMPUTED_VALUE"""),1)</f>
        <v>1</v>
      </c>
      <c r="H68" s="9" t="str">
        <f ca="1">IFERROR(__xludf.DUMMYFUNCTION("""COMPUTED_VALUE"""),"Không")</f>
        <v>Không</v>
      </c>
    </row>
    <row r="69" spans="1:8" ht="14.4">
      <c r="A69" s="22">
        <f ca="1">IFERROR(__xludf.DUMMYFUNCTION("""COMPUTED_VALUE"""),45380.5960267708)</f>
        <v>45380.5960267708</v>
      </c>
      <c r="B69" s="9" t="str">
        <f ca="1">IFERROR(__xludf.DUMMYFUNCTION("""COMPUTED_VALUE"""),"")</f>
        <v/>
      </c>
      <c r="C69" s="9" t="str">
        <f ca="1">IFERROR(__xludf.DUMMYFUNCTION("""COMPUTED_VALUE"""),"Nguyễn Nhật Huy")</f>
        <v>Nguyễn Nhật Huy</v>
      </c>
      <c r="D69" s="9" t="str">
        <f ca="1">IFERROR(__xludf.DUMMYFUNCTION("""COMPUTED_VALUE"""),"K28")</f>
        <v>K28</v>
      </c>
      <c r="E69" s="9" t="str">
        <f ca="1">IFERROR(__xludf.DUMMYFUNCTION("""COMPUTED_VALUE"""),"CMU - TPM (Kỹ thuật phần mềm)")</f>
        <v>CMU - TPM (Kỹ thuật phần mềm)</v>
      </c>
      <c r="F69" s="9" t="str">
        <f ca="1">IFERROR(__xludf.DUMMYFUNCTION("""COMPUTED_VALUE"""),"Câu hỏi mở")</f>
        <v>Câu hỏi mở</v>
      </c>
      <c r="G69" s="9">
        <f ca="1">IFERROR(__xludf.DUMMYFUNCTION("""COMPUTED_VALUE"""),3)</f>
        <v>3</v>
      </c>
      <c r="H69" s="9" t="str">
        <f ca="1">IFERROR(__xludf.DUMMYFUNCTION("""COMPUTED_VALUE"""),"1.Khi em tham gia các hoạt động ngoại khác kiểu như hiến máu hay tham gia các cuộc thi cho trường mà vẫn không được cộng điểm thêm rèn luyyeenj làm cách nào để phản hồi để có thể cộng điểm rèn luyện 
2.Khi em làm đồ án Cap 1 hoặc cap2 thì em có được tự ch"&amp;"ọn mentor không ạ hay là được sự sắp xếp của trường
")</f>
        <v xml:space="preserve">1.Khi em tham gia các hoạt động ngoại khác kiểu như hiến máu hay tham gia các cuộc thi cho trường mà vẫn không được cộng điểm thêm rèn luyyeenj làm cách nào để phản hồi để có thể cộng điểm rèn luyện 
2.Khi em làm đồ án Cap 1 hoặc cap2 thì em có được tự chọn mentor không ạ hay là được sự sắp xếp của trường
</v>
      </c>
    </row>
    <row r="70" spans="1:8" ht="14.4">
      <c r="A70" s="22">
        <f ca="1">IFERROR(__xludf.DUMMYFUNCTION("""COMPUTED_VALUE"""),45380.5975633217)</f>
        <v>45380.597563321702</v>
      </c>
      <c r="B70" s="9" t="str">
        <f ca="1">IFERROR(__xludf.DUMMYFUNCTION("""COMPUTED_VALUE"""),"")</f>
        <v/>
      </c>
      <c r="C70" s="9" t="str">
        <f ca="1">IFERROR(__xludf.DUMMYFUNCTION("""COMPUTED_VALUE"""),"Trần Đức Thịnh")</f>
        <v>Trần Đức Thịnh</v>
      </c>
      <c r="D70" s="9" t="str">
        <f ca="1">IFERROR(__xludf.DUMMYFUNCTION("""COMPUTED_VALUE"""),"K28")</f>
        <v>K28</v>
      </c>
      <c r="E70" s="9" t="str">
        <f ca="1">IFERROR(__xludf.DUMMYFUNCTION("""COMPUTED_VALUE"""),"CMU - TPM (Kỹ thuật phần mềm)")</f>
        <v>CMU - TPM (Kỹ thuật phần mềm)</v>
      </c>
      <c r="F70" s="9" t="str">
        <f ca="1">IFERROR(__xludf.DUMMYFUNCTION("""COMPUTED_VALUE"""),"trả lời chi tiết ")</f>
        <v xml:space="preserve">trả lời chi tiết </v>
      </c>
      <c r="G70" s="9">
        <f ca="1">IFERROR(__xludf.DUMMYFUNCTION("""COMPUTED_VALUE"""),4)</f>
        <v>4</v>
      </c>
      <c r="H70" s="9" t="str">
        <f ca="1">IFERROR(__xludf.DUMMYFUNCTION("""COMPUTED_VALUE"""),"về đăng ký nghiên cứu khoa học ?")</f>
        <v>về đăng ký nghiên cứu khoa học ?</v>
      </c>
    </row>
    <row r="71" spans="1:8" ht="14.4">
      <c r="A71" s="22">
        <f ca="1">IFERROR(__xludf.DUMMYFUNCTION("""COMPUTED_VALUE"""),45380.5976520486)</f>
        <v>45380.5976520486</v>
      </c>
      <c r="B71" s="9" t="str">
        <f ca="1">IFERROR(__xludf.DUMMYFUNCTION("""COMPUTED_VALUE"""),"")</f>
        <v/>
      </c>
      <c r="C71" s="9" t="str">
        <f ca="1">IFERROR(__xludf.DUMMYFUNCTION("""COMPUTED_VALUE"""),"Nguyễn Viết Minh Mẫn")</f>
        <v>Nguyễn Viết Minh Mẫn</v>
      </c>
      <c r="D71" s="9" t="str">
        <f ca="1">IFERROR(__xludf.DUMMYFUNCTION("""COMPUTED_VALUE"""),"K28")</f>
        <v>K28</v>
      </c>
      <c r="E71" s="9" t="str">
        <f ca="1">IFERROR(__xludf.DUMMYFUNCTION("""COMPUTED_VALUE"""),"CMU - TPM (Kỹ thuật phần mềm)")</f>
        <v>CMU - TPM (Kỹ thuật phần mềm)</v>
      </c>
      <c r="F71" s="9" t="str">
        <f ca="1">IFERROR(__xludf.DUMMYFUNCTION("""COMPUTED_VALUE"""),"nhanh gọn lẹ ")</f>
        <v xml:space="preserve">nhanh gọn lẹ </v>
      </c>
      <c r="G71" s="9">
        <f ca="1">IFERROR(__xludf.DUMMYFUNCTION("""COMPUTED_VALUE"""),4)</f>
        <v>4</v>
      </c>
      <c r="H71" s="9" t="str">
        <f ca="1">IFERROR(__xludf.DUMMYFUNCTION("""COMPUTED_VALUE"""),"blockchain là gì? ")</f>
        <v xml:space="preserve">blockchain là gì? </v>
      </c>
    </row>
    <row r="72" spans="1:8" ht="14.4">
      <c r="A72" s="22">
        <f ca="1">IFERROR(__xludf.DUMMYFUNCTION("""COMPUTED_VALUE"""),45380.5977634837)</f>
        <v>45380.597763483704</v>
      </c>
      <c r="B72" s="9" t="str">
        <f ca="1">IFERROR(__xludf.DUMMYFUNCTION("""COMPUTED_VALUE"""),"")</f>
        <v/>
      </c>
      <c r="C72" s="9" t="str">
        <f ca="1">IFERROR(__xludf.DUMMYFUNCTION("""COMPUTED_VALUE"""),"Trần Hồng Phong")</f>
        <v>Trần Hồng Phong</v>
      </c>
      <c r="D72" s="9" t="str">
        <f ca="1">IFERROR(__xludf.DUMMYFUNCTION("""COMPUTED_VALUE"""),"K28")</f>
        <v>K28</v>
      </c>
      <c r="E72" s="9" t="str">
        <f ca="1">IFERROR(__xludf.DUMMYFUNCTION("""COMPUTED_VALUE"""),"CMU - TPM (Kỹ thuật phần mềm)")</f>
        <v>CMU - TPM (Kỹ thuật phần mềm)</v>
      </c>
      <c r="F72" s="9" t="str">
        <f ca="1">IFERROR(__xludf.DUMMYFUNCTION("""COMPUTED_VALUE"""),"Trả lời nhanh ")</f>
        <v xml:space="preserve">Trả lời nhanh </v>
      </c>
      <c r="G72" s="9">
        <f ca="1">IFERROR(__xludf.DUMMYFUNCTION("""COMPUTED_VALUE"""),5)</f>
        <v>5</v>
      </c>
      <c r="H72" s="9" t="str">
        <f ca="1">IFERROR(__xludf.DUMMYFUNCTION("""COMPUTED_VALUE"""),"Cách đổi lớp ?")</f>
        <v>Cách đổi lớp ?</v>
      </c>
    </row>
    <row r="73" spans="1:8" ht="14.4">
      <c r="A73" s="22">
        <f ca="1">IFERROR(__xludf.DUMMYFUNCTION("""COMPUTED_VALUE"""),45380.5983843634)</f>
        <v>45380.598384363402</v>
      </c>
      <c r="B73" s="9" t="str">
        <f ca="1">IFERROR(__xludf.DUMMYFUNCTION("""COMPUTED_VALUE"""),"")</f>
        <v/>
      </c>
      <c r="C73" s="9" t="str">
        <f ca="1">IFERROR(__xludf.DUMMYFUNCTION("""COMPUTED_VALUE"""),"Thân Khoa Hoàng Vũ")</f>
        <v>Thân Khoa Hoàng Vũ</v>
      </c>
      <c r="D73" s="9" t="str">
        <f ca="1">IFERROR(__xludf.DUMMYFUNCTION("""COMPUTED_VALUE"""),"K28")</f>
        <v>K28</v>
      </c>
      <c r="E73" s="9" t="str">
        <f ca="1">IFERROR(__xludf.DUMMYFUNCTION("""COMPUTED_VALUE"""),"CMU - TPM (Kỹ thuật phần mềm)")</f>
        <v>CMU - TPM (Kỹ thuật phần mềm)</v>
      </c>
      <c r="F73" s="9" t="str">
        <f ca="1">IFERROR(__xludf.DUMMYFUNCTION("""COMPUTED_VALUE"""),"ch bít được ạ")</f>
        <v>ch bít được ạ</v>
      </c>
      <c r="G73" s="9">
        <f ca="1">IFERROR(__xludf.DUMMYFUNCTION("""COMPUTED_VALUE"""),5)</f>
        <v>5</v>
      </c>
      <c r="H73" s="9" t="str">
        <f ca="1">IFERROR(__xludf.DUMMYFUNCTION("""COMPUTED_VALUE"""),"Làm thế nào để ra trường sớm ạ
tuyển dụng cntt có còn cao như trước nữa không 
các yếu tố tối thiểu để có thể xin được việc")</f>
        <v>Làm thế nào để ra trường sớm ạ
tuyển dụng cntt có còn cao như trước nữa không 
các yếu tố tối thiểu để có thể xin được việc</v>
      </c>
    </row>
    <row r="74" spans="1:8" ht="14.4">
      <c r="A74" s="22">
        <f ca="1">IFERROR(__xludf.DUMMYFUNCTION("""COMPUTED_VALUE"""),45380.5983989699)</f>
        <v>45380.598398969902</v>
      </c>
      <c r="B74" s="9" t="str">
        <f ca="1">IFERROR(__xludf.DUMMYFUNCTION("""COMPUTED_VALUE"""),"")</f>
        <v/>
      </c>
      <c r="C74" s="9" t="str">
        <f ca="1">IFERROR(__xludf.DUMMYFUNCTION("""COMPUTED_VALUE"""),"Nguyễn Thái Quang Huy")</f>
        <v>Nguyễn Thái Quang Huy</v>
      </c>
      <c r="D74" s="9" t="str">
        <f ca="1">IFERROR(__xludf.DUMMYFUNCTION("""COMPUTED_VALUE"""),"K28")</f>
        <v>K28</v>
      </c>
      <c r="E74" s="9" t="str">
        <f ca="1">IFERROR(__xludf.DUMMYFUNCTION("""COMPUTED_VALUE"""),"CMU - TPM (Kỹ thuật phần mềm)")</f>
        <v>CMU - TPM (Kỹ thuật phần mềm)</v>
      </c>
      <c r="F74" s="9" t="str">
        <f ca="1">IFERROR(__xludf.DUMMYFUNCTION("""COMPUTED_VALUE"""),"Trả lời 1 cách tốt nhất có thể")</f>
        <v>Trả lời 1 cách tốt nhất có thể</v>
      </c>
      <c r="G74" s="9">
        <f ca="1">IFERROR(__xludf.DUMMYFUNCTION("""COMPUTED_VALUE"""),5)</f>
        <v>5</v>
      </c>
      <c r="H74" s="9" t="str">
        <f ca="1">IFERROR(__xludf.DUMMYFUNCTION("""COMPUTED_VALUE"""),"Em không có câu hỏi gì ạ.")</f>
        <v>Em không có câu hỏi gì ạ.</v>
      </c>
    </row>
    <row r="75" spans="1:8" ht="14.4">
      <c r="A75" s="22">
        <f ca="1">IFERROR(__xludf.DUMMYFUNCTION("""COMPUTED_VALUE"""),45380.5984479513)</f>
        <v>45380.598447951299</v>
      </c>
      <c r="B75" s="9" t="str">
        <f ca="1">IFERROR(__xludf.DUMMYFUNCTION("""COMPUTED_VALUE"""),"")</f>
        <v/>
      </c>
      <c r="C75" s="9" t="str">
        <f ca="1">IFERROR(__xludf.DUMMYFUNCTION("""COMPUTED_VALUE"""),"Nguyễn Ngọc Duy")</f>
        <v>Nguyễn Ngọc Duy</v>
      </c>
      <c r="D75" s="9" t="str">
        <f ca="1">IFERROR(__xludf.DUMMYFUNCTION("""COMPUTED_VALUE"""),"K28")</f>
        <v>K28</v>
      </c>
      <c r="E75" s="9" t="str">
        <f ca="1">IFERROR(__xludf.DUMMYFUNCTION("""COMPUTED_VALUE"""),"CMU - TPM (Kỹ thuật phần mềm)")</f>
        <v>CMU - TPM (Kỹ thuật phần mềm)</v>
      </c>
      <c r="F75" s="9" t="str">
        <f ca="1">IFERROR(__xludf.DUMMYFUNCTION("""COMPUTED_VALUE"""),"Ít lỗi , update theo từng thay đổi của mình ")</f>
        <v xml:space="preserve">Ít lỗi , update theo từng thay đổi của mình </v>
      </c>
      <c r="G75" s="9">
        <f ca="1">IFERROR(__xludf.DUMMYFUNCTION("""COMPUTED_VALUE"""),5)</f>
        <v>5</v>
      </c>
      <c r="H75" s="9" t="str">
        <f ca="1">IFERROR(__xludf.DUMMYFUNCTION("""COMPUTED_VALUE"""),"Làm sao để cập Nhật lịch thi nhanh nhất và có thông báo luôn hay sao hả thầy ? Tại em vô đào tạo gần cuối ngày thi thì bị mất danh sách thi luôn thầy , khung giờ thì theo thứ tự mà vẫn không có luôn thầy")</f>
        <v>Làm sao để cập Nhật lịch thi nhanh nhất và có thông báo luôn hay sao hả thầy ? Tại em vô đào tạo gần cuối ngày thi thì bị mất danh sách thi luôn thầy , khung giờ thì theo thứ tự mà vẫn không có luôn thầy</v>
      </c>
    </row>
    <row r="76" spans="1:8" ht="14.4">
      <c r="A76" s="22">
        <f ca="1">IFERROR(__xludf.DUMMYFUNCTION("""COMPUTED_VALUE"""),45380.5992014467)</f>
        <v>45380.599201446697</v>
      </c>
      <c r="B76" s="9" t="str">
        <f ca="1">IFERROR(__xludf.DUMMYFUNCTION("""COMPUTED_VALUE"""),"")</f>
        <v/>
      </c>
      <c r="C76" s="9" t="str">
        <f ca="1">IFERROR(__xludf.DUMMYFUNCTION("""COMPUTED_VALUE"""),"Trần Thanh Tín ")</f>
        <v xml:space="preserve">Trần Thanh Tín </v>
      </c>
      <c r="D76" s="9" t="str">
        <f ca="1">IFERROR(__xludf.DUMMYFUNCTION("""COMPUTED_VALUE"""),"K28")</f>
        <v>K28</v>
      </c>
      <c r="E76" s="9" t="str">
        <f ca="1">IFERROR(__xludf.DUMMYFUNCTION("""COMPUTED_VALUE"""),"CMU - TPM (Kỹ thuật phần mềm)")</f>
        <v>CMU - TPM (Kỹ thuật phần mềm)</v>
      </c>
      <c r="F76" s="9" t="str">
        <f ca="1">IFERROR(__xludf.DUMMYFUNCTION("""COMPUTED_VALUE"""),"Trả lời")</f>
        <v>Trả lời</v>
      </c>
      <c r="G76" s="9">
        <f ca="1">IFERROR(__xludf.DUMMYFUNCTION("""COMPUTED_VALUE"""),5)</f>
        <v>5</v>
      </c>
      <c r="H76" s="9" t="str">
        <f ca="1">IFERROR(__xludf.DUMMYFUNCTION("""COMPUTED_VALUE"""),"Cách đăng ký tín chỉ")</f>
        <v>Cách đăng ký tín chỉ</v>
      </c>
    </row>
    <row r="77" spans="1:8" ht="14.4">
      <c r="A77" s="22">
        <f ca="1">IFERROR(__xludf.DUMMYFUNCTION("""COMPUTED_VALUE"""),45380.5994134838)</f>
        <v>45380.599413483797</v>
      </c>
      <c r="B77" s="9" t="str">
        <f ca="1">IFERROR(__xludf.DUMMYFUNCTION("""COMPUTED_VALUE"""),"")</f>
        <v/>
      </c>
      <c r="C77" s="9" t="str">
        <f ca="1">IFERROR(__xludf.DUMMYFUNCTION("""COMPUTED_VALUE"""),"Hồ Tuấn Phát ")</f>
        <v xml:space="preserve">Hồ Tuấn Phát </v>
      </c>
      <c r="D77" s="9" t="str">
        <f ca="1">IFERROR(__xludf.DUMMYFUNCTION("""COMPUTED_VALUE"""),"K28")</f>
        <v>K28</v>
      </c>
      <c r="E77" s="9" t="str">
        <f ca="1">IFERROR(__xludf.DUMMYFUNCTION("""COMPUTED_VALUE"""),"CMU - TPM (Kỹ thuật phần mềm)")</f>
        <v>CMU - TPM (Kỹ thuật phần mềm)</v>
      </c>
      <c r="F77" s="9" t="str">
        <f ca="1">IFERROR(__xludf.DUMMYFUNCTION("""COMPUTED_VALUE"""),"Có thể trả lời được nhiều câu hỏi")</f>
        <v>Có thể trả lời được nhiều câu hỏi</v>
      </c>
      <c r="G77" s="9">
        <f ca="1">IFERROR(__xludf.DUMMYFUNCTION("""COMPUTED_VALUE"""),5)</f>
        <v>5</v>
      </c>
      <c r="H77" s="9" t="str">
        <f ca="1">IFERROR(__xludf.DUMMYFUNCTION("""COMPUTED_VALUE"""),"Làm sao để ra trường nhanh hơn thời hạn?
Làm sao để học tốt it?
Sau này ra trường thì cần những yếu tố nào để có được công việc?")</f>
        <v>Làm sao để ra trường nhanh hơn thời hạn?
Làm sao để học tốt it?
Sau này ra trường thì cần những yếu tố nào để có được công việc?</v>
      </c>
    </row>
    <row r="78" spans="1:8" ht="14.4">
      <c r="A78" s="22">
        <f ca="1">IFERROR(__xludf.DUMMYFUNCTION("""COMPUTED_VALUE"""),45380.6015326157)</f>
        <v>45380.601532615699</v>
      </c>
      <c r="B78" s="9" t="str">
        <f ca="1">IFERROR(__xludf.DUMMYFUNCTION("""COMPUTED_VALUE"""),"")</f>
        <v/>
      </c>
      <c r="C78" s="9" t="str">
        <f ca="1">IFERROR(__xludf.DUMMYFUNCTION("""COMPUTED_VALUE"""),"Nguyễn Hữu Hưng")</f>
        <v>Nguyễn Hữu Hưng</v>
      </c>
      <c r="D78" s="9" t="str">
        <f ca="1">IFERROR(__xludf.DUMMYFUNCTION("""COMPUTED_VALUE"""),"K28")</f>
        <v>K28</v>
      </c>
      <c r="E78" s="9" t="str">
        <f ca="1">IFERROR(__xludf.DUMMYFUNCTION("""COMPUTED_VALUE"""),"CMU - TPM (Kỹ thuật phần mềm)")</f>
        <v>CMU - TPM (Kỹ thuật phần mềm)</v>
      </c>
      <c r="F78" s="9" t="str">
        <f ca="1">IFERROR(__xludf.DUMMYFUNCTION("""COMPUTED_VALUE"""),"định hướng cho sv")</f>
        <v>định hướng cho sv</v>
      </c>
      <c r="G78" s="9">
        <f ca="1">IFERROR(__xludf.DUMMYFUNCTION("""COMPUTED_VALUE"""),5)</f>
        <v>5</v>
      </c>
      <c r="H78" s="9" t="str">
        <f ca="1">IFERROR(__xludf.DUMMYFUNCTION("""COMPUTED_VALUE"""),"-Nên đăng kí môn chuyên ngành nào trước ạ?
- Đầu ra tiếng anh ngành mình là bao nhiêu ạ?
- ")</f>
        <v xml:space="preserve">-Nên đăng kí môn chuyên ngành nào trước ạ?
- Đầu ra tiếng anh ngành mình là bao nhiêu ạ?
- </v>
      </c>
    </row>
    <row r="79" spans="1:8" ht="14.4">
      <c r="A79" s="22">
        <f ca="1">IFERROR(__xludf.DUMMYFUNCTION("""COMPUTED_VALUE"""),45380.6016781481)</f>
        <v>45380.601678148101</v>
      </c>
      <c r="B79" s="9" t="str">
        <f ca="1">IFERROR(__xludf.DUMMYFUNCTION("""COMPUTED_VALUE"""),"")</f>
        <v/>
      </c>
      <c r="C79" s="9" t="str">
        <f ca="1">IFERROR(__xludf.DUMMYFUNCTION("""COMPUTED_VALUE"""),"Trần Văn Vũ")</f>
        <v>Trần Văn Vũ</v>
      </c>
      <c r="D79" s="9" t="str">
        <f ca="1">IFERROR(__xludf.DUMMYFUNCTION("""COMPUTED_VALUE"""),"K28")</f>
        <v>K28</v>
      </c>
      <c r="E79" s="9" t="str">
        <f ca="1">IFERROR(__xludf.DUMMYFUNCTION("""COMPUTED_VALUE"""),"CMU - TPM (Kỹ thuật phần mềm)")</f>
        <v>CMU - TPM (Kỹ thuật phần mềm)</v>
      </c>
      <c r="F79" s="9" t="str">
        <f ca="1">IFERROR(__xludf.DUMMYFUNCTION("""COMPUTED_VALUE"""),"Trả lời nhanh ")</f>
        <v xml:space="preserve">Trả lời nhanh </v>
      </c>
      <c r="G79" s="9">
        <f ca="1">IFERROR(__xludf.DUMMYFUNCTION("""COMPUTED_VALUE"""),5)</f>
        <v>5</v>
      </c>
      <c r="H79" s="9" t="str">
        <f ca="1">IFERROR(__xludf.DUMMYFUNCTION("""COMPUTED_VALUE"""),"Cách nào đăng ký tín chỉ nhanh hơn ")</f>
        <v xml:space="preserve">Cách nào đăng ký tín chỉ nhanh hơn </v>
      </c>
    </row>
    <row r="80" spans="1:8" ht="14.4">
      <c r="A80" s="22">
        <f ca="1">IFERROR(__xludf.DUMMYFUNCTION("""COMPUTED_VALUE"""),45380.6023381944)</f>
        <v>45380.602338194403</v>
      </c>
      <c r="B80" s="9" t="str">
        <f ca="1">IFERROR(__xludf.DUMMYFUNCTION("""COMPUTED_VALUE"""),"")</f>
        <v/>
      </c>
      <c r="C80" s="9" t="str">
        <f ca="1">IFERROR(__xludf.DUMMYFUNCTION("""COMPUTED_VALUE"""),"Võ Thị Hà Vy")</f>
        <v>Võ Thị Hà Vy</v>
      </c>
      <c r="D80" s="9" t="str">
        <f ca="1">IFERROR(__xludf.DUMMYFUNCTION("""COMPUTED_VALUE"""),"K28")</f>
        <v>K28</v>
      </c>
      <c r="E80" s="9" t="str">
        <f ca="1">IFERROR(__xludf.DUMMYFUNCTION("""COMPUTED_VALUE"""),"CMU - TPM (Kỹ thuật phần mềm)")</f>
        <v>CMU - TPM (Kỹ thuật phần mềm)</v>
      </c>
      <c r="F80" s="9" t="str">
        <f ca="1">IFERROR(__xludf.DUMMYFUNCTION("""COMPUTED_VALUE"""),"trao đổi qua gmail")</f>
        <v>trao đổi qua gmail</v>
      </c>
      <c r="G80" s="9">
        <f ca="1">IFERROR(__xludf.DUMMYFUNCTION("""COMPUTED_VALUE"""),4)</f>
        <v>4</v>
      </c>
      <c r="H80" s="9" t="str">
        <f ca="1">IFERROR(__xludf.DUMMYFUNCTION("""COMPUTED_VALUE"""),"cách đăng ký tín chỉ thêm
")</f>
        <v xml:space="preserve">cách đăng ký tín chỉ thêm
</v>
      </c>
    </row>
    <row r="81" spans="1:8" ht="14.4">
      <c r="A81" s="22">
        <f ca="1">IFERROR(__xludf.DUMMYFUNCTION("""COMPUTED_VALUE"""),45380.6052231134)</f>
        <v>45380.605223113402</v>
      </c>
      <c r="B81" s="9" t="str">
        <f ca="1">IFERROR(__xludf.DUMMYFUNCTION("""COMPUTED_VALUE"""),"")</f>
        <v/>
      </c>
      <c r="C81" s="9" t="str">
        <f ca="1">IFERROR(__xludf.DUMMYFUNCTION("""COMPUTED_VALUE"""),"đặng thanh liêm ")</f>
        <v xml:space="preserve">đặng thanh liêm </v>
      </c>
      <c r="D81" s="9" t="str">
        <f ca="1">IFERROR(__xludf.DUMMYFUNCTION("""COMPUTED_VALUE"""),"K28")</f>
        <v>K28</v>
      </c>
      <c r="E81" s="9" t="str">
        <f ca="1">IFERROR(__xludf.DUMMYFUNCTION("""COMPUTED_VALUE"""),"CMU - TPM (Kỹ thuật phần mềm)")</f>
        <v>CMU - TPM (Kỹ thuật phần mềm)</v>
      </c>
      <c r="F81" s="9" t="str">
        <f ca="1">IFERROR(__xludf.DUMMYFUNCTION("""COMPUTED_VALUE"""),"hổ trợ trả lời các yêu cầu sinh viên đưa ra")</f>
        <v>hổ trợ trả lời các yêu cầu sinh viên đưa ra</v>
      </c>
      <c r="G81" s="9">
        <f ca="1">IFERROR(__xludf.DUMMYFUNCTION("""COMPUTED_VALUE"""),5)</f>
        <v>5</v>
      </c>
      <c r="H81" s="9" t="str">
        <f ca="1">IFERROR(__xludf.DUMMYFUNCTION("""COMPUTED_VALUE"""),"cách làm đơn về các vấn đề không mong muốn ( lở buổi thi, ốm không đi thi dc vvv....)?")</f>
        <v>cách làm đơn về các vấn đề không mong muốn ( lở buổi thi, ốm không đi thi dc vvv....)?</v>
      </c>
    </row>
    <row r="82" spans="1:8" ht="14.4">
      <c r="A82" s="22">
        <f ca="1">IFERROR(__xludf.DUMMYFUNCTION("""COMPUTED_VALUE"""),45380.6083738078)</f>
        <v>45380.608373807801</v>
      </c>
      <c r="B82" s="9" t="str">
        <f ca="1">IFERROR(__xludf.DUMMYFUNCTION("""COMPUTED_VALUE"""),"")</f>
        <v/>
      </c>
      <c r="C82" s="9" t="str">
        <f ca="1">IFERROR(__xludf.DUMMYFUNCTION("""COMPUTED_VALUE"""),"Lê Quỳnh Nhi")</f>
        <v>Lê Quỳnh Nhi</v>
      </c>
      <c r="D82" s="9" t="str">
        <f ca="1">IFERROR(__xludf.DUMMYFUNCTION("""COMPUTED_VALUE"""),"K28")</f>
        <v>K28</v>
      </c>
      <c r="E82" s="9" t="str">
        <f ca="1">IFERROR(__xludf.DUMMYFUNCTION("""COMPUTED_VALUE"""),"CMU - TPM (Kỹ thuật phần mềm)")</f>
        <v>CMU - TPM (Kỹ thuật phần mềm)</v>
      </c>
      <c r="F82" s="9" t="str">
        <f ca="1">IFERROR(__xludf.DUMMYFUNCTION("""COMPUTED_VALUE"""),"Trả lời nhanh và chính xác")</f>
        <v>Trả lời nhanh và chính xác</v>
      </c>
      <c r="G82" s="9">
        <f ca="1">IFERROR(__xludf.DUMMYFUNCTION("""COMPUTED_VALUE"""),5)</f>
        <v>5</v>
      </c>
      <c r="H82" s="9" t="str">
        <f ca="1">IFERROR(__xludf.DUMMYFUNCTION("""COMPUTED_VALUE"""),"Học chương trình quốc tế thì có cần học thêm bằng ielts mới đc ra trường ko ạ? 
Ở lớp tụi em học kiến thức về code còn mong lung quá ko rõ về ngành thì lên năm 3 tụi e có đc đi sâu về ngành ( như học figma, html, mySQL,… )để tạo ra ứng dụng hoặc website k"&amp;"o ạ? ")</f>
        <v xml:space="preserve">Học chương trình quốc tế thì có cần học thêm bằng ielts mới đc ra trường ko ạ? 
Ở lớp tụi em học kiến thức về code còn mong lung quá ko rõ về ngành thì lên năm 3 tụi e có đc đi sâu về ngành ( như học figma, html, mySQL,… )để tạo ra ứng dụng hoặc website ko ạ? </v>
      </c>
    </row>
    <row r="83" spans="1:8" ht="14.4">
      <c r="A83" s="22">
        <f ca="1">IFERROR(__xludf.DUMMYFUNCTION("""COMPUTED_VALUE"""),45380.6102501851)</f>
        <v>45380.610250185098</v>
      </c>
      <c r="B83" s="9" t="str">
        <f ca="1">IFERROR(__xludf.DUMMYFUNCTION("""COMPUTED_VALUE"""),"")</f>
        <v/>
      </c>
      <c r="C83" s="9" t="str">
        <f ca="1">IFERROR(__xludf.DUMMYFUNCTION("""COMPUTED_VALUE"""),"Hoàng Thanh An")</f>
        <v>Hoàng Thanh An</v>
      </c>
      <c r="D83" s="9" t="str">
        <f ca="1">IFERROR(__xludf.DUMMYFUNCTION("""COMPUTED_VALUE"""),"K28")</f>
        <v>K28</v>
      </c>
      <c r="E83" s="9" t="str">
        <f ca="1">IFERROR(__xludf.DUMMYFUNCTION("""COMPUTED_VALUE"""),"CMU - TPM (Kỹ thuật phần mềm)")</f>
        <v>CMU - TPM (Kỹ thuật phần mềm)</v>
      </c>
      <c r="F83" s="9" t="str">
        <f ca="1">IFERROR(__xludf.DUMMYFUNCTION("""COMPUTED_VALUE"""),".")</f>
        <v>.</v>
      </c>
      <c r="G83" s="9">
        <f ca="1">IFERROR(__xludf.DUMMYFUNCTION("""COMPUTED_VALUE"""),5)</f>
        <v>5</v>
      </c>
      <c r="H83" s="9" t="str">
        <f ca="1">IFERROR(__xludf.DUMMYFUNCTION("""COMPUTED_VALUE"""),"Ra trường mà còn trong độ tuổi đi nghĩa vụ thì sao ạ?")</f>
        <v>Ra trường mà còn trong độ tuổi đi nghĩa vụ thì sao ạ?</v>
      </c>
    </row>
    <row r="84" spans="1:8" ht="14.4">
      <c r="A84" s="22">
        <f ca="1">IFERROR(__xludf.DUMMYFUNCTION("""COMPUTED_VALUE"""),45380.6157175925)</f>
        <v>45380.615717592496</v>
      </c>
      <c r="B84" s="9" t="str">
        <f ca="1">IFERROR(__xludf.DUMMYFUNCTION("""COMPUTED_VALUE"""),"")</f>
        <v/>
      </c>
      <c r="C84" s="9" t="str">
        <f ca="1">IFERROR(__xludf.DUMMYFUNCTION("""COMPUTED_VALUE"""),"Văn Thắng")</f>
        <v>Văn Thắng</v>
      </c>
      <c r="D84" s="9" t="str">
        <f ca="1">IFERROR(__xludf.DUMMYFUNCTION("""COMPUTED_VALUE"""),"K29")</f>
        <v>K29</v>
      </c>
      <c r="E84" s="9" t="str">
        <f ca="1">IFERROR(__xludf.DUMMYFUNCTION("""COMPUTED_VALUE"""),"CMU - TPM (Kỹ thuật phần mềm)")</f>
        <v>CMU - TPM (Kỹ thuật phần mềm)</v>
      </c>
      <c r="F84" s="9" t="str">
        <f ca="1">IFERROR(__xludf.DUMMYFUNCTION("""COMPUTED_VALUE"""),"em không biết")</f>
        <v>em không biết</v>
      </c>
      <c r="G84" s="9">
        <f ca="1">IFERROR(__xludf.DUMMYFUNCTION("""COMPUTED_VALUE"""),5)</f>
        <v>5</v>
      </c>
      <c r="H84" s="9" t="str">
        <f ca="1">IFERROR(__xludf.DUMMYFUNCTION("""COMPUTED_VALUE"""),"không có ạ")</f>
        <v>không có ạ</v>
      </c>
    </row>
    <row r="85" spans="1:8" ht="14.4">
      <c r="A85" s="22">
        <f ca="1">IFERROR(__xludf.DUMMYFUNCTION("""COMPUTED_VALUE"""),45380.6862782638)</f>
        <v>45380.686278263798</v>
      </c>
      <c r="B85" s="9" t="str">
        <f ca="1">IFERROR(__xludf.DUMMYFUNCTION("""COMPUTED_VALUE"""),"")</f>
        <v/>
      </c>
      <c r="C85" s="9" t="str">
        <f ca="1">IFERROR(__xludf.DUMMYFUNCTION("""COMPUTED_VALUE"""),"Nguyễn Phước Tâm")</f>
        <v>Nguyễn Phước Tâm</v>
      </c>
      <c r="D85" s="9" t="str">
        <f ca="1">IFERROR(__xludf.DUMMYFUNCTION("""COMPUTED_VALUE"""),"K29")</f>
        <v>K29</v>
      </c>
      <c r="E85" s="9" t="str">
        <f ca="1">IFERROR(__xludf.DUMMYFUNCTION("""COMPUTED_VALUE"""),"CMU - TPM (Kỹ thuật phần mềm)")</f>
        <v>CMU - TPM (Kỹ thuật phần mềm)</v>
      </c>
      <c r="F85" s="9" t="str">
        <f ca="1">IFERROR(__xludf.DUMMYFUNCTION("""COMPUTED_VALUE"""),".")</f>
        <v>.</v>
      </c>
      <c r="G85" s="9">
        <f ca="1">IFERROR(__xludf.DUMMYFUNCTION("""COMPUTED_VALUE"""),5)</f>
        <v>5</v>
      </c>
      <c r="H85" s="9" t="str">
        <f ca="1">IFERROR(__xludf.DUMMYFUNCTION("""COMPUTED_VALUE"""),"Cách đăng ký tín chỉ?
Cách nộp học phí?
")</f>
        <v xml:space="preserve">Cách đăng ký tín chỉ?
Cách nộp học phí?
</v>
      </c>
    </row>
    <row r="86" spans="1:8" ht="14.4">
      <c r="A86" s="22">
        <f ca="1">IFERROR(__xludf.DUMMYFUNCTION("""COMPUTED_VALUE"""),45381.6359362963)</f>
        <v>45381.635936296298</v>
      </c>
      <c r="B86" s="23" t="str">
        <f ca="1">IFERROR(__xludf.DUMMYFUNCTION("""COMPUTED_VALUE"""),"")</f>
        <v/>
      </c>
      <c r="C86" s="23" t="str">
        <f ca="1">IFERROR(__xludf.DUMMYFUNCTION("""COMPUTED_VALUE"""),"Phan khánh")</f>
        <v>Phan khánh</v>
      </c>
      <c r="D86" s="23" t="str">
        <f ca="1">IFERROR(__xludf.DUMMYFUNCTION("""COMPUTED_VALUE"""),"K27")</f>
        <v>K27</v>
      </c>
      <c r="E86" s="23" t="str">
        <f ca="1">IFERROR(__xludf.DUMMYFUNCTION("""COMPUTED_VALUE"""),"CMU - TPM (Kỹ thuật phần mềm)")</f>
        <v>CMU - TPM (Kỹ thuật phần mềm)</v>
      </c>
      <c r="F86" s="9" t="str">
        <f ca="1">IFERROR(__xludf.DUMMYFUNCTION("""COMPUTED_VALUE""")," Mong muốn Chat bot phản hồi thông tin nhanh và chính xác ạ")</f>
        <v xml:space="preserve"> Mong muốn Chat bot phản hồi thông tin nhanh và chính xác ạ</v>
      </c>
      <c r="G86" s="9">
        <f ca="1">IFERROR(__xludf.DUMMYFUNCTION("""COMPUTED_VALUE"""),4)</f>
        <v>4</v>
      </c>
      <c r="H86" s="9" t="str">
        <f ca="1">IFERROR(__xludf.DUMMYFUNCTION("""COMPUTED_VALUE"""),"Lịch học hè như nào ạ?
Khi nào học quân sự ạ?
Học phí của kỳ học quân sự bao nhiêu ạ?
Học quân sự ở nơi nào ạ?
Làm sao đăng ký học quân sự ạ?")</f>
        <v>Lịch học hè như nào ạ?
Khi nào học quân sự ạ?
Học phí của kỳ học quân sự bao nhiêu ạ?
Học quân sự ở nơi nào ạ?
Làm sao đăng ký học quân sự ạ?</v>
      </c>
    </row>
    <row r="87" spans="1:8" ht="14.4">
      <c r="A87" s="22">
        <f ca="1">IFERROR(__xludf.DUMMYFUNCTION("""COMPUTED_VALUE"""),45383.3707683333)</f>
        <v>45383.370768333298</v>
      </c>
      <c r="B87" s="23" t="str">
        <f ca="1">IFERROR(__xludf.DUMMYFUNCTION("""COMPUTED_VALUE"""),"")</f>
        <v/>
      </c>
      <c r="C87" s="23" t="str">
        <f ca="1">IFERROR(__xludf.DUMMYFUNCTION("""COMPUTED_VALUE"""),"trần phước hồng anh")</f>
        <v>trần phước hồng anh</v>
      </c>
      <c r="D87" s="23" t="str">
        <f ca="1">IFERROR(__xludf.DUMMYFUNCTION("""COMPUTED_VALUE"""),"K29")</f>
        <v>K29</v>
      </c>
      <c r="E87" s="23" t="str">
        <f ca="1">IFERROR(__xludf.DUMMYFUNCTION("""COMPUTED_VALUE"""),"CMU - TPM")</f>
        <v>CMU - TPM</v>
      </c>
      <c r="F87" s="9" t="str">
        <f ca="1">IFERROR(__xludf.DUMMYFUNCTION("""COMPUTED_VALUE"""),"trả lời nhanh")</f>
        <v>trả lời nhanh</v>
      </c>
      <c r="G87" s="9">
        <f ca="1">IFERROR(__xludf.DUMMYFUNCTION("""COMPUTED_VALUE"""),1)</f>
        <v>1</v>
      </c>
      <c r="H87" s="9" t="str">
        <f ca="1">IFERROR(__xludf.DUMMYFUNCTION("""COMPUTED_VALUE"""),"cách làm đơn xin giảm học phí")</f>
        <v>cách làm đơn xin giảm học phí</v>
      </c>
    </row>
    <row r="88" spans="1:8" ht="14.4">
      <c r="A88" s="22">
        <f ca="1">IFERROR(__xludf.DUMMYFUNCTION("""COMPUTED_VALUE"""),45383.3715369328)</f>
        <v>45383.371536932798</v>
      </c>
      <c r="B88" s="23" t="str">
        <f ca="1">IFERROR(__xludf.DUMMYFUNCTION("""COMPUTED_VALUE"""),"")</f>
        <v/>
      </c>
      <c r="C88" s="23" t="str">
        <f ca="1">IFERROR(__xludf.DUMMYFUNCTION("""COMPUTED_VALUE"""),"Hoàng Phương Thảo")</f>
        <v>Hoàng Phương Thảo</v>
      </c>
      <c r="D88" s="23" t="str">
        <f ca="1">IFERROR(__xludf.DUMMYFUNCTION("""COMPUTED_VALUE"""),"K29")</f>
        <v>K29</v>
      </c>
      <c r="E88" s="23" t="str">
        <f ca="1">IFERROR(__xludf.DUMMYFUNCTION("""COMPUTED_VALUE"""),"CMU - TPM")</f>
        <v>CMU - TPM</v>
      </c>
      <c r="F88" s="9" t="str">
        <f ca="1">IFERROR(__xludf.DUMMYFUNCTION("""COMPUTED_VALUE"""),"có càng nhiều càng tốt ạ")</f>
        <v>có càng nhiều càng tốt ạ</v>
      </c>
      <c r="G88" s="9"/>
      <c r="H88" s="9" t="str">
        <f ca="1">IFERROR(__xludf.DUMMYFUNCTION("""COMPUTED_VALUE"""),"Ra trường ở DTU có khó khong ạ ")</f>
        <v xml:space="preserve">Ra trường ở DTU có khó khong ạ </v>
      </c>
    </row>
    <row r="89" spans="1:8" ht="14.4">
      <c r="A89" s="22">
        <f ca="1">IFERROR(__xludf.DUMMYFUNCTION("""COMPUTED_VALUE"""),45383.3717469907)</f>
        <v>45383.371746990699</v>
      </c>
      <c r="B89" s="23" t="str">
        <f ca="1">IFERROR(__xludf.DUMMYFUNCTION("""COMPUTED_VALUE"""),"")</f>
        <v/>
      </c>
      <c r="C89" s="23" t="str">
        <f ca="1">IFERROR(__xludf.DUMMYFUNCTION("""COMPUTED_VALUE"""),"Hoàng Lê Gia Khánh")</f>
        <v>Hoàng Lê Gia Khánh</v>
      </c>
      <c r="D89" s="23" t="str">
        <f ca="1">IFERROR(__xludf.DUMMYFUNCTION("""COMPUTED_VALUE"""),"K29")</f>
        <v>K29</v>
      </c>
      <c r="E89" s="23" t="str">
        <f ca="1">IFERROR(__xludf.DUMMYFUNCTION("""COMPUTED_VALUE"""),"CMU - TPM")</f>
        <v>CMU - TPM</v>
      </c>
      <c r="F89" s="9" t="str">
        <f ca="1">IFERROR(__xludf.DUMMYFUNCTION("""COMPUTED_VALUE"""),"Hướng dẫn làm bài và đưa ra 1 số vd")</f>
        <v>Hướng dẫn làm bài và đưa ra 1 số vd</v>
      </c>
      <c r="G89" s="9">
        <f ca="1">IFERROR(__xludf.DUMMYFUNCTION("""COMPUTED_VALUE"""),2)</f>
        <v>2</v>
      </c>
      <c r="H89" s="9" t="str">
        <f ca="1">IFERROR(__xludf.DUMMYFUNCTION("""COMPUTED_VALUE"""),"cách đăng kí tín chỉ và video hd,cách huỷ lớp học để đăng kí lớp học khác ")</f>
        <v xml:space="preserve">cách đăng kí tín chỉ và video hd,cách huỷ lớp học để đăng kí lớp học khác </v>
      </c>
    </row>
    <row r="90" spans="1:8" ht="14.4">
      <c r="A90" s="22">
        <f ca="1">IFERROR(__xludf.DUMMYFUNCTION("""COMPUTED_VALUE"""),45383.3733943981)</f>
        <v>45383.373394398099</v>
      </c>
      <c r="B90" s="23" t="str">
        <f ca="1">IFERROR(__xludf.DUMMYFUNCTION("""COMPUTED_VALUE"""),"")</f>
        <v/>
      </c>
      <c r="C90" s="23" t="str">
        <f ca="1">IFERROR(__xludf.DUMMYFUNCTION("""COMPUTED_VALUE"""),"Nguyễn Khắc Hiếuka")</f>
        <v>Nguyễn Khắc Hiếuka</v>
      </c>
      <c r="D90" s="23" t="str">
        <f ca="1">IFERROR(__xludf.DUMMYFUNCTION("""COMPUTED_VALUE"""),"K29")</f>
        <v>K29</v>
      </c>
      <c r="E90" s="23" t="str">
        <f ca="1">IFERROR(__xludf.DUMMYFUNCTION("""COMPUTED_VALUE"""),"CMU - TPM")</f>
        <v>CMU - TPM</v>
      </c>
      <c r="F90" s="9" t="str">
        <f ca="1">IFERROR(__xludf.DUMMYFUNCTION("""COMPUTED_VALUE"""),"Giải đáp câu hỏi")</f>
        <v>Giải đáp câu hỏi</v>
      </c>
      <c r="G90" s="9">
        <f ca="1">IFERROR(__xludf.DUMMYFUNCTION("""COMPUTED_VALUE"""),3)</f>
        <v>3</v>
      </c>
      <c r="H90" s="9" t="str">
        <f ca="1">IFERROR(__xludf.DUMMYFUNCTION("""COMPUTED_VALUE"""),"Cần tài liệu học tốt lập trình")</f>
        <v>Cần tài liệu học tốt lập trình</v>
      </c>
    </row>
    <row r="91" spans="1:8" ht="14.4">
      <c r="A91" s="22">
        <f ca="1">IFERROR(__xludf.DUMMYFUNCTION("""COMPUTED_VALUE"""),45383.3739876388)</f>
        <v>45383.373987638799</v>
      </c>
      <c r="B91" s="23" t="str">
        <f ca="1">IFERROR(__xludf.DUMMYFUNCTION("""COMPUTED_VALUE"""),"")</f>
        <v/>
      </c>
      <c r="C91" s="23" t="str">
        <f ca="1">IFERROR(__xludf.DUMMYFUNCTION("""COMPUTED_VALUE"""),"Pham Hoàng Long")</f>
        <v>Pham Hoàng Long</v>
      </c>
      <c r="D91" s="23" t="str">
        <f ca="1">IFERROR(__xludf.DUMMYFUNCTION("""COMPUTED_VALUE"""),"K29")</f>
        <v>K29</v>
      </c>
      <c r="E91" s="23" t="str">
        <f ca="1">IFERROR(__xludf.DUMMYFUNCTION("""COMPUTED_VALUE"""),"CMU - TPM")</f>
        <v>CMU - TPM</v>
      </c>
      <c r="F91" s="9" t="str">
        <f ca="1">IFERROR(__xludf.DUMMYFUNCTION("""COMPUTED_VALUE"""),"Nhắc nhở các sinh viên nộp học phí, đăng kí tín chỉ, đánh giá điểm rèn luyện, ngày thi....")</f>
        <v>Nhắc nhở các sinh viên nộp học phí, đăng kí tín chỉ, đánh giá điểm rèn luyện, ngày thi....</v>
      </c>
      <c r="G91" s="9">
        <f ca="1">IFERROR(__xludf.DUMMYFUNCTION("""COMPUTED_VALUE"""),4)</f>
        <v>4</v>
      </c>
      <c r="H91" s="9" t="str">
        <f ca="1">IFERROR(__xludf.DUMMYFUNCTION("""COMPUTED_VALUE"""),"Cách xem lịch thi, phòng thi")</f>
        <v>Cách xem lịch thi, phòng thi</v>
      </c>
    </row>
    <row r="92" spans="1:8" ht="14.4">
      <c r="A92" s="22">
        <f ca="1">IFERROR(__xludf.DUMMYFUNCTION("""COMPUTED_VALUE"""),45383.4556876157)</f>
        <v>45383.4556876157</v>
      </c>
      <c r="B92" s="23" t="str">
        <f ca="1">IFERROR(__xludf.DUMMYFUNCTION("""COMPUTED_VALUE"""),"")</f>
        <v/>
      </c>
      <c r="C92" s="23" t="str">
        <f ca="1">IFERROR(__xludf.DUMMYFUNCTION("""COMPUTED_VALUE"""),"Nguyễn Quang Kiệt")</f>
        <v>Nguyễn Quang Kiệt</v>
      </c>
      <c r="D92" s="23" t="str">
        <f ca="1">IFERROR(__xludf.DUMMYFUNCTION("""COMPUTED_VALUE"""),"K29")</f>
        <v>K29</v>
      </c>
      <c r="E92" s="23" t="str">
        <f ca="1">IFERROR(__xludf.DUMMYFUNCTION("""COMPUTED_VALUE"""),"CMU - TPM")</f>
        <v>CMU - TPM</v>
      </c>
      <c r="F92" s="9" t="str">
        <f ca="1">IFERROR(__xludf.DUMMYFUNCTION("""COMPUTED_VALUE"""),"Trả lời câu hỏi ngắn về code C++")</f>
        <v>Trả lời câu hỏi ngắn về code C++</v>
      </c>
      <c r="G92" s="9">
        <f ca="1">IFERROR(__xludf.DUMMYFUNCTION("""COMPUTED_VALUE"""),5)</f>
        <v>5</v>
      </c>
      <c r="H92" s="9" t="str">
        <f ca="1">IFERROR(__xludf.DUMMYFUNCTION("""COMPUTED_VALUE"""),"Thông báo danh sách thi ở đâu")</f>
        <v>Thông báo danh sách thi ở đâu</v>
      </c>
    </row>
    <row r="93" spans="1:8" ht="14.4">
      <c r="A93" s="22">
        <f ca="1">IFERROR(__xludf.DUMMYFUNCTION("""COMPUTED_VALUE"""),45383.4595025462)</f>
        <v>45383.459502546197</v>
      </c>
      <c r="B93" s="23" t="str">
        <f ca="1">IFERROR(__xludf.DUMMYFUNCTION("""COMPUTED_VALUE"""),"")</f>
        <v/>
      </c>
      <c r="C93" s="23" t="str">
        <f ca="1">IFERROR(__xludf.DUMMYFUNCTION("""COMPUTED_VALUE"""),"thân quang huy")</f>
        <v>thân quang huy</v>
      </c>
      <c r="D93" s="23" t="str">
        <f ca="1">IFERROR(__xludf.DUMMYFUNCTION("""COMPUTED_VALUE"""),"K29")</f>
        <v>K29</v>
      </c>
      <c r="E93" s="23" t="str">
        <f ca="1">IFERROR(__xludf.DUMMYFUNCTION("""COMPUTED_VALUE"""),"CMU - TPM")</f>
        <v>CMU - TPM</v>
      </c>
      <c r="F93" s="9" t="str">
        <f ca="1">IFERROR(__xludf.DUMMYFUNCTION("""COMPUTED_VALUE"""),"trả lời nhanh")</f>
        <v>trả lời nhanh</v>
      </c>
      <c r="G93" s="9">
        <f ca="1">IFERROR(__xludf.DUMMYFUNCTION("""COMPUTED_VALUE"""),5)</f>
        <v>5</v>
      </c>
      <c r="H93" s="9" t="str">
        <f ca="1">IFERROR(__xludf.DUMMYFUNCTION("""COMPUTED_VALUE"""),"kh có")</f>
        <v>kh có</v>
      </c>
    </row>
    <row r="94" spans="1:8" ht="14.4">
      <c r="A94" s="22">
        <f ca="1">IFERROR(__xludf.DUMMYFUNCTION("""COMPUTED_VALUE"""),45383.4596493402)</f>
        <v>45383.459649340199</v>
      </c>
      <c r="B94" s="23" t="str">
        <f ca="1">IFERROR(__xludf.DUMMYFUNCTION("""COMPUTED_VALUE"""),"")</f>
        <v/>
      </c>
      <c r="C94" s="23" t="str">
        <f ca="1">IFERROR(__xludf.DUMMYFUNCTION("""COMPUTED_VALUE"""),"Trần Nam Khánh")</f>
        <v>Trần Nam Khánh</v>
      </c>
      <c r="D94" s="23" t="str">
        <f ca="1">IFERROR(__xludf.DUMMYFUNCTION("""COMPUTED_VALUE"""),"K29")</f>
        <v>K29</v>
      </c>
      <c r="E94" s="23" t="str">
        <f ca="1">IFERROR(__xludf.DUMMYFUNCTION("""COMPUTED_VALUE"""),"CMU - TPM")</f>
        <v>CMU - TPM</v>
      </c>
      <c r="F94" s="9" t="str">
        <f ca="1">IFERROR(__xludf.DUMMYFUNCTION("""COMPUTED_VALUE"""),"Trả lời câu hỏi của học sinh")</f>
        <v>Trả lời câu hỏi của học sinh</v>
      </c>
      <c r="G94" s="9">
        <f ca="1">IFERROR(__xludf.DUMMYFUNCTION("""COMPUTED_VALUE"""),5)</f>
        <v>5</v>
      </c>
      <c r="H94" s="9" t="str">
        <f ca="1">IFERROR(__xludf.DUMMYFUNCTION("""COMPUTED_VALUE"""),"Cách nộp học phí
Cách nộp bài tập
Cách đăng ký tín chỉ")</f>
        <v>Cách nộp học phí
Cách nộp bài tập
Cách đăng ký tín chỉ</v>
      </c>
    </row>
    <row r="95" spans="1:8" ht="14.4">
      <c r="A95" s="22">
        <f ca="1">IFERROR(__xludf.DUMMYFUNCTION("""COMPUTED_VALUE"""),45383.4600790509)</f>
        <v>45383.460079050899</v>
      </c>
      <c r="B95" s="23" t="str">
        <f ca="1">IFERROR(__xludf.DUMMYFUNCTION("""COMPUTED_VALUE"""),"")</f>
        <v/>
      </c>
      <c r="C95" s="23" t="str">
        <f ca="1">IFERROR(__xludf.DUMMYFUNCTION("""COMPUTED_VALUE"""),"Trần Quang Sang")</f>
        <v>Trần Quang Sang</v>
      </c>
      <c r="D95" s="23" t="str">
        <f ca="1">IFERROR(__xludf.DUMMYFUNCTION("""COMPUTED_VALUE"""),"K29")</f>
        <v>K29</v>
      </c>
      <c r="E95" s="23" t="str">
        <f ca="1">IFERROR(__xludf.DUMMYFUNCTION("""COMPUTED_VALUE"""),"CMU - TPM")</f>
        <v>CMU - TPM</v>
      </c>
      <c r="F95" s="9" t="str">
        <f ca="1">IFERROR(__xludf.DUMMYFUNCTION("""COMPUTED_VALUE"""),"Giải trí, đố vui, đóng góp ý kiến, không có pop-up.")</f>
        <v>Giải trí, đố vui, đóng góp ý kiến, không có pop-up.</v>
      </c>
      <c r="G95" s="9">
        <f ca="1">IFERROR(__xludf.DUMMYFUNCTION("""COMPUTED_VALUE"""),2)</f>
        <v>2</v>
      </c>
      <c r="H95" s="9" t="str">
        <f ca="1">IFERROR(__xludf.DUMMYFUNCTION("""COMPUTED_VALUE"""),"- Học phí An ninh mạng CMU của trường?
- Hướng dẫn chuyển ngành học?
- Chuyển ngành học có mất thêm thời gian đào tạo không?
- Cách đăng ký học kỳ hè?
- Thời gian bắt đầu và kết thúc học kỳ hè?
")</f>
        <v xml:space="preserve">- Học phí An ninh mạng CMU của trường?
- Hướng dẫn chuyển ngành học?
- Chuyển ngành học có mất thêm thời gian đào tạo không?
- Cách đăng ký học kỳ hè?
- Thời gian bắt đầu và kết thúc học kỳ hè?
</v>
      </c>
    </row>
    <row r="96" spans="1:8" ht="14.4">
      <c r="A96" s="22">
        <f ca="1">IFERROR(__xludf.DUMMYFUNCTION("""COMPUTED_VALUE"""),45383.4600976736)</f>
        <v>45383.460097673596</v>
      </c>
      <c r="B96" s="23" t="str">
        <f ca="1">IFERROR(__xludf.DUMMYFUNCTION("""COMPUTED_VALUE"""),"")</f>
        <v/>
      </c>
      <c r="C96" s="23" t="str">
        <f ca="1">IFERROR(__xludf.DUMMYFUNCTION("""COMPUTED_VALUE"""),"Lê Hữu Quyền")</f>
        <v>Lê Hữu Quyền</v>
      </c>
      <c r="D96" s="23" t="str">
        <f ca="1">IFERROR(__xludf.DUMMYFUNCTION("""COMPUTED_VALUE"""),"K29")</f>
        <v>K29</v>
      </c>
      <c r="E96" s="23" t="str">
        <f ca="1">IFERROR(__xludf.DUMMYFUNCTION("""COMPUTED_VALUE"""),"CMU - TPM")</f>
        <v>CMU - TPM</v>
      </c>
      <c r="F96" s="9" t="str">
        <f ca="1">IFERROR(__xludf.DUMMYFUNCTION("""COMPUTED_VALUE"""),"Không có")</f>
        <v>Không có</v>
      </c>
      <c r="G96" s="9">
        <f ca="1">IFERROR(__xludf.DUMMYFUNCTION("""COMPUTED_VALUE"""),5)</f>
        <v>5</v>
      </c>
      <c r="H96" s="9" t="str">
        <f ca="1">IFERROR(__xludf.DUMMYFUNCTION("""COMPUTED_VALUE"""),"Khi bị rớt một tín chỉ thì làm sao để qua tín chỉ đó")</f>
        <v>Khi bị rớt một tín chỉ thì làm sao để qua tín chỉ đó</v>
      </c>
    </row>
    <row r="97" spans="1:8" ht="14.4">
      <c r="A97" s="22">
        <f ca="1">IFERROR(__xludf.DUMMYFUNCTION("""COMPUTED_VALUE"""),45383.4604729745)</f>
        <v>45383.460472974497</v>
      </c>
      <c r="B97" s="23" t="str">
        <f ca="1">IFERROR(__xludf.DUMMYFUNCTION("""COMPUTED_VALUE"""),"")</f>
        <v/>
      </c>
      <c r="C97" s="23" t="str">
        <f ca="1">IFERROR(__xludf.DUMMYFUNCTION("""COMPUTED_VALUE"""),"Huỳnh Văn An")</f>
        <v>Huỳnh Văn An</v>
      </c>
      <c r="D97" s="23" t="str">
        <f ca="1">IFERROR(__xludf.DUMMYFUNCTION("""COMPUTED_VALUE"""),"K29")</f>
        <v>K29</v>
      </c>
      <c r="E97" s="23" t="str">
        <f ca="1">IFERROR(__xludf.DUMMYFUNCTION("""COMPUTED_VALUE"""),"CMU - TPM")</f>
        <v>CMU - TPM</v>
      </c>
      <c r="F97" s="9" t="str">
        <f ca="1">IFERROR(__xludf.DUMMYFUNCTION("""COMPUTED_VALUE"""),"A")</f>
        <v>A</v>
      </c>
      <c r="G97" s="9">
        <f ca="1">IFERROR(__xludf.DUMMYFUNCTION("""COMPUTED_VALUE"""),5)</f>
        <v>5</v>
      </c>
      <c r="H97" s="9" t="str">
        <f ca="1">IFERROR(__xludf.DUMMYFUNCTION("""COMPUTED_VALUE"""),"Cách đăng kí tín chỉ để học lại ")</f>
        <v xml:space="preserve">Cách đăng kí tín chỉ để học lại </v>
      </c>
    </row>
    <row r="98" spans="1:8" ht="14.4">
      <c r="A98" s="22">
        <f ca="1">IFERROR(__xludf.DUMMYFUNCTION("""COMPUTED_VALUE"""),45383.4606622222)</f>
        <v>45383.460662222198</v>
      </c>
      <c r="B98" s="23" t="str">
        <f ca="1">IFERROR(__xludf.DUMMYFUNCTION("""COMPUTED_VALUE"""),"")</f>
        <v/>
      </c>
      <c r="C98" s="23" t="str">
        <f ca="1">IFERROR(__xludf.DUMMYFUNCTION("""COMPUTED_VALUE"""),"Nguyễn Đình Phi ")</f>
        <v xml:space="preserve">Nguyễn Đình Phi </v>
      </c>
      <c r="D98" s="23" t="str">
        <f ca="1">IFERROR(__xludf.DUMMYFUNCTION("""COMPUTED_VALUE"""),"K29")</f>
        <v>K29</v>
      </c>
      <c r="E98" s="23" t="str">
        <f ca="1">IFERROR(__xludf.DUMMYFUNCTION("""COMPUTED_VALUE"""),"CMU - TPM")</f>
        <v>CMU - TPM</v>
      </c>
      <c r="F98" s="9" t="str">
        <f ca="1">IFERROR(__xludf.DUMMYFUNCTION("""COMPUTED_VALUE"""),"Ko có")</f>
        <v>Ko có</v>
      </c>
      <c r="G98" s="9">
        <f ca="1">IFERROR(__xludf.DUMMYFUNCTION("""COMPUTED_VALUE"""),3)</f>
        <v>3</v>
      </c>
      <c r="H98" s="9" t="str">
        <f ca="1">IFERROR(__xludf.DUMMYFUNCTION("""COMPUTED_VALUE"""),"Ko có")</f>
        <v>Ko có</v>
      </c>
    </row>
    <row r="99" spans="1:8" ht="14.4">
      <c r="A99" s="22">
        <f ca="1">IFERROR(__xludf.DUMMYFUNCTION("""COMPUTED_VALUE"""),45383.4607452546)</f>
        <v>45383.460745254597</v>
      </c>
      <c r="B99" s="23" t="str">
        <f ca="1">IFERROR(__xludf.DUMMYFUNCTION("""COMPUTED_VALUE"""),"")</f>
        <v/>
      </c>
      <c r="C99" s="23" t="str">
        <f ca="1">IFERROR(__xludf.DUMMYFUNCTION("""COMPUTED_VALUE"""),"Nguyễn Văn Lộc")</f>
        <v>Nguyễn Văn Lộc</v>
      </c>
      <c r="D99" s="23" t="str">
        <f ca="1">IFERROR(__xludf.DUMMYFUNCTION("""COMPUTED_VALUE"""),"K29")</f>
        <v>K29</v>
      </c>
      <c r="E99" s="23" t="str">
        <f ca="1">IFERROR(__xludf.DUMMYFUNCTION("""COMPUTED_VALUE"""),"CMU - TPM")</f>
        <v>CMU - TPM</v>
      </c>
      <c r="F99" s="9" t="str">
        <f ca="1">IFERROR(__xludf.DUMMYFUNCTION("""COMPUTED_VALUE"""),"   ")</f>
        <v xml:space="preserve">   </v>
      </c>
      <c r="G99" s="9">
        <f ca="1">IFERROR(__xludf.DUMMYFUNCTION("""COMPUTED_VALUE"""),5)</f>
        <v>5</v>
      </c>
      <c r="H99" s="9" t="str">
        <f ca="1">IFERROR(__xludf.DUMMYFUNCTION("""COMPUTED_VALUE""")," ")</f>
        <v xml:space="preserve"> </v>
      </c>
    </row>
    <row r="100" spans="1:8" ht="14.4">
      <c r="A100" s="22">
        <f ca="1">IFERROR(__xludf.DUMMYFUNCTION("""COMPUTED_VALUE"""),45383.4611505092)</f>
        <v>45383.461150509203</v>
      </c>
      <c r="B100" s="23" t="str">
        <f ca="1">IFERROR(__xludf.DUMMYFUNCTION("""COMPUTED_VALUE"""),"")</f>
        <v/>
      </c>
      <c r="C100" s="23" t="str">
        <f ca="1">IFERROR(__xludf.DUMMYFUNCTION("""COMPUTED_VALUE"""),"Đặng Nguyễn Nhật Quang")</f>
        <v>Đặng Nguyễn Nhật Quang</v>
      </c>
      <c r="D100" s="23" t="str">
        <f ca="1">IFERROR(__xludf.DUMMYFUNCTION("""COMPUTED_VALUE"""),"K29")</f>
        <v>K29</v>
      </c>
      <c r="E100" s="23" t="str">
        <f ca="1">IFERROR(__xludf.DUMMYFUNCTION("""COMPUTED_VALUE"""),"CMU - TPM")</f>
        <v>CMU - TPM</v>
      </c>
      <c r="F100" s="9" t="str">
        <f ca="1">IFERROR(__xludf.DUMMYFUNCTION("""COMPUTED_VALUE"""),"Có thể 24/7")</f>
        <v>Có thể 24/7</v>
      </c>
      <c r="G100" s="9">
        <f ca="1">IFERROR(__xludf.DUMMYFUNCTION("""COMPUTED_VALUE"""),5)</f>
        <v>5</v>
      </c>
      <c r="H100" s="9" t="str">
        <f ca="1">IFERROR(__xludf.DUMMYFUNCTION("""COMPUTED_VALUE"""),"Nộp học phí ở đâu và nộp bao nhiêu?
Hạn cuối để nộp học phí?
Mất thẻ sinh viên thì làm lại như thế nào?
Lịch kiểm tra tìm ở đâu và khi nào có danh sách phòng thi?
Những cuốn sách tham khảo cho từng môn đc mua hay in ở đâu?")</f>
        <v>Nộp học phí ở đâu và nộp bao nhiêu?
Hạn cuối để nộp học phí?
Mất thẻ sinh viên thì làm lại như thế nào?
Lịch kiểm tra tìm ở đâu và khi nào có danh sách phòng thi?
Những cuốn sách tham khảo cho từng môn đc mua hay in ở đâu?</v>
      </c>
    </row>
    <row r="101" spans="1:8" ht="14.4">
      <c r="A101" s="22">
        <f ca="1">IFERROR(__xludf.DUMMYFUNCTION("""COMPUTED_VALUE"""),45383.4928036921)</f>
        <v>45383.492803692097</v>
      </c>
      <c r="B101" s="23" t="str">
        <f ca="1">IFERROR(__xludf.DUMMYFUNCTION("""COMPUTED_VALUE"""),"")</f>
        <v/>
      </c>
      <c r="C101" s="23" t="str">
        <f ca="1">IFERROR(__xludf.DUMMYFUNCTION("""COMPUTED_VALUE"""),"Đào Tiến Dũng")</f>
        <v>Đào Tiến Dũng</v>
      </c>
      <c r="D101" s="23" t="str">
        <f ca="1">IFERROR(__xludf.DUMMYFUNCTION("""COMPUTED_VALUE"""),"K28")</f>
        <v>K28</v>
      </c>
      <c r="E101" s="23" t="str">
        <f ca="1">IFERROR(__xludf.DUMMYFUNCTION("""COMPUTED_VALUE"""),"CMU - TPM")</f>
        <v>CMU - TPM</v>
      </c>
      <c r="F101" s="9" t="str">
        <f ca="1">IFERROR(__xludf.DUMMYFUNCTION("""COMPUTED_VALUE"""),"có thể trả lời nhanh chóng")</f>
        <v>có thể trả lời nhanh chóng</v>
      </c>
      <c r="G101" s="9">
        <f ca="1">IFERROR(__xludf.DUMMYFUNCTION("""COMPUTED_VALUE"""),5)</f>
        <v>5</v>
      </c>
      <c r="H101" s="9" t="str">
        <f ca="1">IFERROR(__xludf.DUMMYFUNCTION("""COMPUTED_VALUE"""),"Cách học sao cho hiệu quả và cách phân bổ thời gian hợp lý để học")</f>
        <v>Cách học sao cho hiệu quả và cách phân bổ thời gian hợp lý để học</v>
      </c>
    </row>
    <row r="102" spans="1:8" ht="14.4">
      <c r="A102" s="22">
        <f ca="1">IFERROR(__xludf.DUMMYFUNCTION("""COMPUTED_VALUE"""),45383.6227509143)</f>
        <v>45383.622750914299</v>
      </c>
      <c r="B102" s="23" t="str">
        <f ca="1">IFERROR(__xludf.DUMMYFUNCTION("""COMPUTED_VALUE"""),"")</f>
        <v/>
      </c>
      <c r="C102" s="23" t="str">
        <f ca="1">IFERROR(__xludf.DUMMYFUNCTION("""COMPUTED_VALUE"""),"Phan Văn Quân")</f>
        <v>Phan Văn Quân</v>
      </c>
      <c r="D102" s="23" t="str">
        <f ca="1">IFERROR(__xludf.DUMMYFUNCTION("""COMPUTED_VALUE"""),"K29")</f>
        <v>K29</v>
      </c>
      <c r="E102" s="23" t="str">
        <f ca="1">IFERROR(__xludf.DUMMYFUNCTION("""COMPUTED_VALUE"""),"CMU - TTT")</f>
        <v>CMU - TTT</v>
      </c>
      <c r="F102" s="9" t="str">
        <f ca="1">IFERROR(__xludf.DUMMYFUNCTION("""COMPUTED_VALUE"""),"Về sự cố trong học tập")</f>
        <v>Về sự cố trong học tập</v>
      </c>
      <c r="G102" s="9">
        <f ca="1">IFERROR(__xludf.DUMMYFUNCTION("""COMPUTED_VALUE"""),5)</f>
        <v>5</v>
      </c>
      <c r="H102" s="9" t="str">
        <f ca="1">IFERROR(__xludf.DUMMYFUNCTION("""COMPUTED_VALUE"""),"Em đã hiểu")</f>
        <v>Em đã hiểu</v>
      </c>
    </row>
    <row r="103" spans="1:8" ht="14.4">
      <c r="A103" s="22">
        <f ca="1">IFERROR(__xludf.DUMMYFUNCTION("""COMPUTED_VALUE"""),45383.6227871875)</f>
        <v>45383.622787187502</v>
      </c>
      <c r="B103" s="23" t="str">
        <f ca="1">IFERROR(__xludf.DUMMYFUNCTION("""COMPUTED_VALUE"""),"")</f>
        <v/>
      </c>
      <c r="C103" s="23" t="str">
        <f ca="1">IFERROR(__xludf.DUMMYFUNCTION("""COMPUTED_VALUE"""),"Trần Văn Tin")</f>
        <v>Trần Văn Tin</v>
      </c>
      <c r="D103" s="23" t="str">
        <f ca="1">IFERROR(__xludf.DUMMYFUNCTION("""COMPUTED_VALUE"""),"K29")</f>
        <v>K29</v>
      </c>
      <c r="E103" s="23" t="str">
        <f ca="1">IFERROR(__xludf.DUMMYFUNCTION("""COMPUTED_VALUE"""),"CMU - TTT")</f>
        <v>CMU - TTT</v>
      </c>
      <c r="F103" s="9" t="str">
        <f ca="1">IFERROR(__xludf.DUMMYFUNCTION("""COMPUTED_VALUE"""),"Trả lời nhanh")</f>
        <v>Trả lời nhanh</v>
      </c>
      <c r="G103" s="9">
        <f ca="1">IFERROR(__xludf.DUMMYFUNCTION("""COMPUTED_VALUE"""),5)</f>
        <v>5</v>
      </c>
      <c r="H103" s="9" t="str">
        <f ca="1">IFERROR(__xludf.DUMMYFUNCTION("""COMPUTED_VALUE"""),"Cách nộp học phí")</f>
        <v>Cách nộp học phí</v>
      </c>
    </row>
    <row r="104" spans="1:8" ht="14.4">
      <c r="A104" s="22">
        <f ca="1">IFERROR(__xludf.DUMMYFUNCTION("""COMPUTED_VALUE"""),45383.622935706)</f>
        <v>45383.622935706</v>
      </c>
      <c r="B104" s="23" t="str">
        <f ca="1">IFERROR(__xludf.DUMMYFUNCTION("""COMPUTED_VALUE"""),"")</f>
        <v/>
      </c>
      <c r="C104" s="23" t="str">
        <f ca="1">IFERROR(__xludf.DUMMYFUNCTION("""COMPUTED_VALUE"""),"Lương Trọng Đức")</f>
        <v>Lương Trọng Đức</v>
      </c>
      <c r="D104" s="23" t="str">
        <f ca="1">IFERROR(__xludf.DUMMYFUNCTION("""COMPUTED_VALUE"""),"K29")</f>
        <v>K29</v>
      </c>
      <c r="E104" s="23" t="str">
        <f ca="1">IFERROR(__xludf.DUMMYFUNCTION("""COMPUTED_VALUE"""),"CMU - TTT")</f>
        <v>CMU - TTT</v>
      </c>
      <c r="F104" s="9" t="str">
        <f ca="1">IFERROR(__xludf.DUMMYFUNCTION("""COMPUTED_VALUE"""),"Tốt")</f>
        <v>Tốt</v>
      </c>
      <c r="G104" s="9">
        <f ca="1">IFERROR(__xludf.DUMMYFUNCTION("""COMPUTED_VALUE"""),4)</f>
        <v>4</v>
      </c>
      <c r="H104" s="9" t="str">
        <f ca="1">IFERROR(__xludf.DUMMYFUNCTION("""COMPUTED_VALUE"""),"Tốt")</f>
        <v>Tốt</v>
      </c>
    </row>
    <row r="105" spans="1:8" ht="14.4">
      <c r="A105" s="22">
        <f ca="1">IFERROR(__xludf.DUMMYFUNCTION("""COMPUTED_VALUE"""),45383.6229380439)</f>
        <v>45383.622938043904</v>
      </c>
      <c r="B105" s="23" t="str">
        <f ca="1">IFERROR(__xludf.DUMMYFUNCTION("""COMPUTED_VALUE"""),"")</f>
        <v/>
      </c>
      <c r="C105" s="23" t="str">
        <f ca="1">IFERROR(__xludf.DUMMYFUNCTION("""COMPUTED_VALUE"""),"Nguyễn Hữu Phú")</f>
        <v>Nguyễn Hữu Phú</v>
      </c>
      <c r="D105" s="23" t="str">
        <f ca="1">IFERROR(__xludf.DUMMYFUNCTION("""COMPUTED_VALUE"""),"K29")</f>
        <v>K29</v>
      </c>
      <c r="E105" s="23" t="str">
        <f ca="1">IFERROR(__xludf.DUMMYFUNCTION("""COMPUTED_VALUE"""),"CMU - TTT")</f>
        <v>CMU - TTT</v>
      </c>
      <c r="F105" s="9" t="str">
        <f ca="1">IFERROR(__xludf.DUMMYFUNCTION("""COMPUTED_VALUE"""),"Trả lời nhanh ")</f>
        <v xml:space="preserve">Trả lời nhanh </v>
      </c>
      <c r="G105" s="9">
        <f ca="1">IFERROR(__xludf.DUMMYFUNCTION("""COMPUTED_VALUE"""),2)</f>
        <v>2</v>
      </c>
      <c r="H105" s="9" t="str">
        <f ca="1">IFERROR(__xludf.DUMMYFUNCTION("""COMPUTED_VALUE"""),"Đúng")</f>
        <v>Đúng</v>
      </c>
    </row>
    <row r="106" spans="1:8" ht="14.4">
      <c r="A106" s="22">
        <f ca="1">IFERROR(__xludf.DUMMYFUNCTION("""COMPUTED_VALUE"""),45383.6229875)</f>
        <v>45383.622987499999</v>
      </c>
      <c r="B106" s="23" t="str">
        <f ca="1">IFERROR(__xludf.DUMMYFUNCTION("""COMPUTED_VALUE"""),"")</f>
        <v/>
      </c>
      <c r="C106" s="23" t="str">
        <f ca="1">IFERROR(__xludf.DUMMYFUNCTION("""COMPUTED_VALUE"""),"Nguyễn Đình Lộc ")</f>
        <v xml:space="preserve">Nguyễn Đình Lộc </v>
      </c>
      <c r="D106" s="23" t="str">
        <f ca="1">IFERROR(__xludf.DUMMYFUNCTION("""COMPUTED_VALUE"""),"K29")</f>
        <v>K29</v>
      </c>
      <c r="E106" s="23" t="str">
        <f ca="1">IFERROR(__xludf.DUMMYFUNCTION("""COMPUTED_VALUE"""),"CMU - TTT")</f>
        <v>CMU - TTT</v>
      </c>
      <c r="F106" s="9" t="str">
        <f ca="1">IFERROR(__xludf.DUMMYFUNCTION("""COMPUTED_VALUE"""),"không có ")</f>
        <v xml:space="preserve">không có </v>
      </c>
      <c r="G106" s="9">
        <f ca="1">IFERROR(__xludf.DUMMYFUNCTION("""COMPUTED_VALUE"""),5)</f>
        <v>5</v>
      </c>
      <c r="H106" s="9" t="str">
        <f ca="1">IFERROR(__xludf.DUMMYFUNCTION("""COMPUTED_VALUE"""),"không có ")</f>
        <v xml:space="preserve">không có </v>
      </c>
    </row>
    <row r="107" spans="1:8" ht="14.4">
      <c r="A107" s="22">
        <f ca="1">IFERROR(__xludf.DUMMYFUNCTION("""COMPUTED_VALUE"""),45383.6229917824)</f>
        <v>45383.622991782402</v>
      </c>
      <c r="B107" s="23" t="str">
        <f ca="1">IFERROR(__xludf.DUMMYFUNCTION("""COMPUTED_VALUE"""),"")</f>
        <v/>
      </c>
      <c r="C107" s="23" t="str">
        <f ca="1">IFERROR(__xludf.DUMMYFUNCTION("""COMPUTED_VALUE"""),"Hồ Thị Ngọc Mai ")</f>
        <v xml:space="preserve">Hồ Thị Ngọc Mai </v>
      </c>
      <c r="D107" s="23" t="str">
        <f ca="1">IFERROR(__xludf.DUMMYFUNCTION("""COMPUTED_VALUE"""),"K29")</f>
        <v>K29</v>
      </c>
      <c r="E107" s="23" t="str">
        <f ca="1">IFERROR(__xludf.DUMMYFUNCTION("""COMPUTED_VALUE"""),"CMU - TTT")</f>
        <v>CMU - TTT</v>
      </c>
      <c r="F107" s="9" t="str">
        <f ca="1">IFERROR(__xludf.DUMMYFUNCTION("""COMPUTED_VALUE"""),"Dạ em chưa nghĩ ra")</f>
        <v>Dạ em chưa nghĩ ra</v>
      </c>
      <c r="G107" s="9">
        <f ca="1">IFERROR(__xludf.DUMMYFUNCTION("""COMPUTED_VALUE"""),4)</f>
        <v>4</v>
      </c>
      <c r="H107" s="9" t="str">
        <f ca="1">IFERROR(__xludf.DUMMYFUNCTION("""COMPUTED_VALUE"""),"Dạ chưa nghĩ ra")</f>
        <v>Dạ chưa nghĩ ra</v>
      </c>
    </row>
    <row r="108" spans="1:8" ht="14.4">
      <c r="A108" s="22">
        <f ca="1">IFERROR(__xludf.DUMMYFUNCTION("""COMPUTED_VALUE"""),45383.6230134143)</f>
        <v>45383.623013414297</v>
      </c>
      <c r="B108" s="23" t="str">
        <f ca="1">IFERROR(__xludf.DUMMYFUNCTION("""COMPUTED_VALUE"""),"")</f>
        <v/>
      </c>
      <c r="C108" s="23" t="str">
        <f ca="1">IFERROR(__xludf.DUMMYFUNCTION("""COMPUTED_VALUE"""),"Hà Văn Hoàng Tú")</f>
        <v>Hà Văn Hoàng Tú</v>
      </c>
      <c r="D108" s="23" t="str">
        <f ca="1">IFERROR(__xludf.DUMMYFUNCTION("""COMPUTED_VALUE"""),"K29")</f>
        <v>K29</v>
      </c>
      <c r="E108" s="23" t="str">
        <f ca="1">IFERROR(__xludf.DUMMYFUNCTION("""COMPUTED_VALUE"""),"CMU - TTT")</f>
        <v>CMU - TTT</v>
      </c>
      <c r="F108" s="9" t="str">
        <f ca="1">IFERROR(__xludf.DUMMYFUNCTION("""COMPUTED_VALUE"""),"không có")</f>
        <v>không có</v>
      </c>
      <c r="G108" s="9">
        <f ca="1">IFERROR(__xludf.DUMMYFUNCTION("""COMPUTED_VALUE"""),5)</f>
        <v>5</v>
      </c>
      <c r="H108" s="9" t="str">
        <f ca="1">IFERROR(__xludf.DUMMYFUNCTION("""COMPUTED_VALUE"""),"không có")</f>
        <v>không có</v>
      </c>
    </row>
    <row r="109" spans="1:8" ht="14.4">
      <c r="A109" s="22">
        <f ca="1">IFERROR(__xludf.DUMMYFUNCTION("""COMPUTED_VALUE"""),45383.6230654861)</f>
        <v>45383.623065486099</v>
      </c>
      <c r="B109" s="23" t="str">
        <f ca="1">IFERROR(__xludf.DUMMYFUNCTION("""COMPUTED_VALUE"""),"")</f>
        <v/>
      </c>
      <c r="C109" s="23" t="str">
        <f ca="1">IFERROR(__xludf.DUMMYFUNCTION("""COMPUTED_VALUE"""),"Nguyễn Minh Chiến")</f>
        <v>Nguyễn Minh Chiến</v>
      </c>
      <c r="D109" s="23" t="str">
        <f ca="1">IFERROR(__xludf.DUMMYFUNCTION("""COMPUTED_VALUE"""),"K29")</f>
        <v>K29</v>
      </c>
      <c r="E109" s="23" t="str">
        <f ca="1">IFERROR(__xludf.DUMMYFUNCTION("""COMPUTED_VALUE"""),"CMU - TTT")</f>
        <v>CMU - TTT</v>
      </c>
      <c r="F109" s="9" t="str">
        <f ca="1">IFERROR(__xludf.DUMMYFUNCTION("""COMPUTED_VALUE"""),"Call ")</f>
        <v xml:space="preserve">Call </v>
      </c>
      <c r="G109" s="9">
        <f ca="1">IFERROR(__xludf.DUMMYFUNCTION("""COMPUTED_VALUE"""),5)</f>
        <v>5</v>
      </c>
      <c r="H109" s="9" t="str">
        <f ca="1">IFERROR(__xludf.DUMMYFUNCTION("""COMPUTED_VALUE"""),"Cách giảm học phí")</f>
        <v>Cách giảm học phí</v>
      </c>
    </row>
    <row r="110" spans="1:8" ht="14.4">
      <c r="A110" s="22">
        <f ca="1">IFERROR(__xludf.DUMMYFUNCTION("""COMPUTED_VALUE"""),45383.6230754282)</f>
        <v>45383.623075428201</v>
      </c>
      <c r="B110" s="23" t="str">
        <f ca="1">IFERROR(__xludf.DUMMYFUNCTION("""COMPUTED_VALUE"""),"")</f>
        <v/>
      </c>
      <c r="C110" s="23" t="str">
        <f ca="1">IFERROR(__xludf.DUMMYFUNCTION("""COMPUTED_VALUE"""),"Trần Minh Phương")</f>
        <v>Trần Minh Phương</v>
      </c>
      <c r="D110" s="23" t="str">
        <f ca="1">IFERROR(__xludf.DUMMYFUNCTION("""COMPUTED_VALUE"""),"K29")</f>
        <v>K29</v>
      </c>
      <c r="E110" s="23" t="str">
        <f ca="1">IFERROR(__xludf.DUMMYFUNCTION("""COMPUTED_VALUE"""),"CMU - TTT")</f>
        <v>CMU - TTT</v>
      </c>
      <c r="F110" s="9" t="str">
        <f ca="1">IFERROR(__xludf.DUMMYFUNCTION("""COMPUTED_VALUE"""),"nào cũng được")</f>
        <v>nào cũng được</v>
      </c>
      <c r="G110" s="9">
        <f ca="1">IFERROR(__xludf.DUMMYFUNCTION("""COMPUTED_VALUE"""),1)</f>
        <v>1</v>
      </c>
      <c r="H110" s="9" t="str">
        <f ca="1">IFERROR(__xludf.DUMMYFUNCTION("""COMPUTED_VALUE"""),"cách nộp tiền thẻ giữ xe?")</f>
        <v>cách nộp tiền thẻ giữ xe?</v>
      </c>
    </row>
    <row r="111" spans="1:8" ht="14.4">
      <c r="A111" s="22">
        <f ca="1">IFERROR(__xludf.DUMMYFUNCTION("""COMPUTED_VALUE"""),45383.623094375)</f>
        <v>45383.623094374998</v>
      </c>
      <c r="B111" s="23" t="str">
        <f ca="1">IFERROR(__xludf.DUMMYFUNCTION("""COMPUTED_VALUE"""),"")</f>
        <v/>
      </c>
      <c r="C111" s="23" t="str">
        <f ca="1">IFERROR(__xludf.DUMMYFUNCTION("""COMPUTED_VALUE"""),"Nguyễn Uy Vinh")</f>
        <v>Nguyễn Uy Vinh</v>
      </c>
      <c r="D111" s="23" t="str">
        <f ca="1">IFERROR(__xludf.DUMMYFUNCTION("""COMPUTED_VALUE"""),"K29")</f>
        <v>K29</v>
      </c>
      <c r="E111" s="23" t="str">
        <f ca="1">IFERROR(__xludf.DUMMYFUNCTION("""COMPUTED_VALUE"""),"CMU - TTT")</f>
        <v>CMU - TTT</v>
      </c>
      <c r="F111" s="9" t="str">
        <f ca="1">IFERROR(__xludf.DUMMYFUNCTION("""COMPUTED_VALUE"""),"Không có")</f>
        <v>Không có</v>
      </c>
      <c r="G111" s="9">
        <f ca="1">IFERROR(__xludf.DUMMYFUNCTION("""COMPUTED_VALUE"""),5)</f>
        <v>5</v>
      </c>
      <c r="H111" s="9" t="str">
        <f ca="1">IFERROR(__xludf.DUMMYFUNCTION("""COMPUTED_VALUE"""),"Không có")</f>
        <v>Không có</v>
      </c>
    </row>
    <row r="112" spans="1:8" ht="14.4">
      <c r="A112" s="22">
        <f ca="1">IFERROR(__xludf.DUMMYFUNCTION("""COMPUTED_VALUE"""),45383.6231956365)</f>
        <v>45383.623195636501</v>
      </c>
      <c r="B112" s="23" t="str">
        <f ca="1">IFERROR(__xludf.DUMMYFUNCTION("""COMPUTED_VALUE"""),"")</f>
        <v/>
      </c>
      <c r="C112" s="23" t="str">
        <f ca="1">IFERROR(__xludf.DUMMYFUNCTION("""COMPUTED_VALUE"""),"Trần Hoàng Nhật Nam")</f>
        <v>Trần Hoàng Nhật Nam</v>
      </c>
      <c r="D112" s="23" t="str">
        <f ca="1">IFERROR(__xludf.DUMMYFUNCTION("""COMPUTED_VALUE"""),"K29")</f>
        <v>K29</v>
      </c>
      <c r="E112" s="23" t="str">
        <f ca="1">IFERROR(__xludf.DUMMYFUNCTION("""COMPUTED_VALUE"""),"CMU - TTT")</f>
        <v>CMU - TTT</v>
      </c>
      <c r="F112" s="9" t="str">
        <f ca="1">IFERROR(__xludf.DUMMYFUNCTION("""COMPUTED_VALUE"""),"em chưa nghĩ ra ạ")</f>
        <v>em chưa nghĩ ra ạ</v>
      </c>
      <c r="G112" s="9">
        <f ca="1">IFERROR(__xludf.DUMMYFUNCTION("""COMPUTED_VALUE"""),4)</f>
        <v>4</v>
      </c>
      <c r="H112" s="9" t="str">
        <f ca="1">IFERROR(__xludf.DUMMYFUNCTION("""COMPUTED_VALUE"""),"dạ em chưa nghĩ ra")</f>
        <v>dạ em chưa nghĩ ra</v>
      </c>
    </row>
    <row r="113" spans="1:8" ht="14.4">
      <c r="A113" s="22">
        <f ca="1">IFERROR(__xludf.DUMMYFUNCTION("""COMPUTED_VALUE"""),45383.6234199305)</f>
        <v>45383.623419930504</v>
      </c>
      <c r="B113" s="23" t="str">
        <f ca="1">IFERROR(__xludf.DUMMYFUNCTION("""COMPUTED_VALUE"""),"")</f>
        <v/>
      </c>
      <c r="C113" s="23" t="str">
        <f ca="1">IFERROR(__xludf.DUMMYFUNCTION("""COMPUTED_VALUE"""),"Đào Thị Mỹ Nhung")</f>
        <v>Đào Thị Mỹ Nhung</v>
      </c>
      <c r="D113" s="23" t="str">
        <f ca="1">IFERROR(__xludf.DUMMYFUNCTION("""COMPUTED_VALUE"""),"K29")</f>
        <v>K29</v>
      </c>
      <c r="E113" s="23" t="str">
        <f ca="1">IFERROR(__xludf.DUMMYFUNCTION("""COMPUTED_VALUE"""),"CMU - TTT")</f>
        <v>CMU - TTT</v>
      </c>
      <c r="F113" s="9" t="str">
        <f ca="1">IFERROR(__xludf.DUMMYFUNCTION("""COMPUTED_VALUE"""),"trả lời nhanh")</f>
        <v>trả lời nhanh</v>
      </c>
      <c r="G113" s="9">
        <f ca="1">IFERROR(__xludf.DUMMYFUNCTION("""COMPUTED_VALUE"""),3)</f>
        <v>3</v>
      </c>
      <c r="H113" s="9" t="str">
        <f ca="1">IFERROR(__xludf.DUMMYFUNCTION("""COMPUTED_VALUE"""),"cách đăng kí tín chỉ")</f>
        <v>cách đăng kí tín chỉ</v>
      </c>
    </row>
    <row r="114" spans="1:8" ht="14.4">
      <c r="A114" s="22">
        <f ca="1">IFERROR(__xludf.DUMMYFUNCTION("""COMPUTED_VALUE"""),45383.6234439467)</f>
        <v>45383.623443946701</v>
      </c>
      <c r="B114" s="23" t="str">
        <f ca="1">IFERROR(__xludf.DUMMYFUNCTION("""COMPUTED_VALUE"""),"")</f>
        <v/>
      </c>
      <c r="C114" s="23" t="str">
        <f ca="1">IFERROR(__xludf.DUMMYFUNCTION("""COMPUTED_VALUE"""),"Cao Thị Thanh")</f>
        <v>Cao Thị Thanh</v>
      </c>
      <c r="D114" s="23" t="str">
        <f ca="1">IFERROR(__xludf.DUMMYFUNCTION("""COMPUTED_VALUE"""),"K29")</f>
        <v>K29</v>
      </c>
      <c r="E114" s="23" t="str">
        <f ca="1">IFERROR(__xludf.DUMMYFUNCTION("""COMPUTED_VALUE"""),"CMU - TTT")</f>
        <v>CMU - TTT</v>
      </c>
      <c r="F114" s="9" t="str">
        <f ca="1">IFERROR(__xludf.DUMMYFUNCTION("""COMPUTED_VALUE"""),"nhiều tính năng")</f>
        <v>nhiều tính năng</v>
      </c>
      <c r="G114" s="9"/>
      <c r="H114" s="9" t="str">
        <f ca="1">IFERROR(__xludf.DUMMYFUNCTION("""COMPUTED_VALUE"""),"cách học tập hiệu quả")</f>
        <v>cách học tập hiệu quả</v>
      </c>
    </row>
    <row r="115" spans="1:8" ht="14.4">
      <c r="A115" s="22">
        <f ca="1">IFERROR(__xludf.DUMMYFUNCTION("""COMPUTED_VALUE"""),45383.6234829398)</f>
        <v>45383.623482939802</v>
      </c>
      <c r="B115" s="23" t="str">
        <f ca="1">IFERROR(__xludf.DUMMYFUNCTION("""COMPUTED_VALUE"""),"")</f>
        <v/>
      </c>
      <c r="C115" s="23" t="str">
        <f ca="1">IFERROR(__xludf.DUMMYFUNCTION("""COMPUTED_VALUE"""),"Lê Văn An ")</f>
        <v xml:space="preserve">Lê Văn An </v>
      </c>
      <c r="D115" s="23" t="str">
        <f ca="1">IFERROR(__xludf.DUMMYFUNCTION("""COMPUTED_VALUE"""),"K29")</f>
        <v>K29</v>
      </c>
      <c r="E115" s="23" t="str">
        <f ca="1">IFERROR(__xludf.DUMMYFUNCTION("""COMPUTED_VALUE"""),"CMU - TTT")</f>
        <v>CMU - TTT</v>
      </c>
      <c r="F115" s="9" t="str">
        <f ca="1">IFERROR(__xludf.DUMMYFUNCTION("""COMPUTED_VALUE"""),"Không có ")</f>
        <v xml:space="preserve">Không có </v>
      </c>
      <c r="G115" s="9">
        <f ca="1">IFERROR(__xludf.DUMMYFUNCTION("""COMPUTED_VALUE"""),4)</f>
        <v>4</v>
      </c>
      <c r="H115" s="9" t="str">
        <f ca="1">IFERROR(__xludf.DUMMYFUNCTION("""COMPUTED_VALUE"""),"Cách đăng kí môn học ")</f>
        <v xml:space="preserve">Cách đăng kí môn học </v>
      </c>
    </row>
    <row r="116" spans="1:8" ht="14.4">
      <c r="A116" s="22">
        <f ca="1">IFERROR(__xludf.DUMMYFUNCTION("""COMPUTED_VALUE"""),45383.6235294791)</f>
        <v>45383.623529479097</v>
      </c>
      <c r="B116" s="23" t="str">
        <f ca="1">IFERROR(__xludf.DUMMYFUNCTION("""COMPUTED_VALUE"""),"")</f>
        <v/>
      </c>
      <c r="C116" s="23" t="str">
        <f ca="1">IFERROR(__xludf.DUMMYFUNCTION("""COMPUTED_VALUE"""),"Đặng Quốc Thịnh")</f>
        <v>Đặng Quốc Thịnh</v>
      </c>
      <c r="D116" s="23" t="str">
        <f ca="1">IFERROR(__xludf.DUMMYFUNCTION("""COMPUTED_VALUE"""),"K28")</f>
        <v>K28</v>
      </c>
      <c r="E116" s="23" t="str">
        <f ca="1">IFERROR(__xludf.DUMMYFUNCTION("""COMPUTED_VALUE"""),"CMU - TPM")</f>
        <v>CMU - TPM</v>
      </c>
      <c r="F116" s="9" t="str">
        <f ca="1">IFERROR(__xludf.DUMMYFUNCTION("""COMPUTED_VALUE"""),"mọi tính năng")</f>
        <v>mọi tính năng</v>
      </c>
      <c r="G116" s="9">
        <f ca="1">IFERROR(__xludf.DUMMYFUNCTION("""COMPUTED_VALUE"""),4)</f>
        <v>4</v>
      </c>
      <c r="H116" s="9" t="str">
        <f ca="1">IFERROR(__xludf.DUMMYFUNCTION("""COMPUTED_VALUE"""),"cách đăng kí tín chỉ ")</f>
        <v xml:space="preserve">cách đăng kí tín chỉ </v>
      </c>
    </row>
    <row r="117" spans="1:8" ht="14.4">
      <c r="A117" s="22">
        <f ca="1">IFERROR(__xludf.DUMMYFUNCTION("""COMPUTED_VALUE"""),45383.6235769328)</f>
        <v>45383.623576932798</v>
      </c>
      <c r="B117" s="23" t="str">
        <f ca="1">IFERROR(__xludf.DUMMYFUNCTION("""COMPUTED_VALUE"""),"")</f>
        <v/>
      </c>
      <c r="C117" s="23" t="str">
        <f ca="1">IFERROR(__xludf.DUMMYFUNCTION("""COMPUTED_VALUE"""),"Châu Thị Khánh Linh ")</f>
        <v xml:space="preserve">Châu Thị Khánh Linh </v>
      </c>
      <c r="D117" s="23" t="str">
        <f ca="1">IFERROR(__xludf.DUMMYFUNCTION("""COMPUTED_VALUE"""),"K29")</f>
        <v>K29</v>
      </c>
      <c r="E117" s="23" t="str">
        <f ca="1">IFERROR(__xludf.DUMMYFUNCTION("""COMPUTED_VALUE"""),"CMU - TTT")</f>
        <v>CMU - TTT</v>
      </c>
      <c r="F117" s="9" t="str">
        <f ca="1">IFERROR(__xludf.DUMMYFUNCTION("""COMPUTED_VALUE"""),"Chưa có câu trả lời")</f>
        <v>Chưa có câu trả lời</v>
      </c>
      <c r="G117" s="9">
        <f ca="1">IFERROR(__xludf.DUMMYFUNCTION("""COMPUTED_VALUE"""),1)</f>
        <v>1</v>
      </c>
      <c r="H117" s="9" t="str">
        <f ca="1">IFERROR(__xludf.DUMMYFUNCTION("""COMPUTED_VALUE"""),"Cách tính điểm gpa?")</f>
        <v>Cách tính điểm gpa?</v>
      </c>
    </row>
    <row r="118" spans="1:8" ht="14.4">
      <c r="A118" s="22">
        <f ca="1">IFERROR(__xludf.DUMMYFUNCTION("""COMPUTED_VALUE"""),45383.6235907175)</f>
        <v>45383.6235907175</v>
      </c>
      <c r="B118" s="23" t="str">
        <f ca="1">IFERROR(__xludf.DUMMYFUNCTION("""COMPUTED_VALUE"""),"")</f>
        <v/>
      </c>
      <c r="C118" s="23" t="str">
        <f ca="1">IFERROR(__xludf.DUMMYFUNCTION("""COMPUTED_VALUE"""),"Cao Đình Nam")</f>
        <v>Cao Đình Nam</v>
      </c>
      <c r="D118" s="23" t="str">
        <f ca="1">IFERROR(__xludf.DUMMYFUNCTION("""COMPUTED_VALUE"""),"K29")</f>
        <v>K29</v>
      </c>
      <c r="E118" s="23" t="str">
        <f ca="1">IFERROR(__xludf.DUMMYFUNCTION("""COMPUTED_VALUE"""),"CMU - TTT")</f>
        <v>CMU - TTT</v>
      </c>
      <c r="F118" s="9" t="str">
        <f ca="1">IFERROR(__xludf.DUMMYFUNCTION("""COMPUTED_VALUE"""),"Chưa nghĩ ra")</f>
        <v>Chưa nghĩ ra</v>
      </c>
      <c r="G118" s="9">
        <f ca="1">IFERROR(__xludf.DUMMYFUNCTION("""COMPUTED_VALUE"""),4)</f>
        <v>4</v>
      </c>
      <c r="H118" s="9" t="str">
        <f ca="1">IFERROR(__xludf.DUMMYFUNCTION("""COMPUTED_VALUE"""),"Cách nộp học phí")</f>
        <v>Cách nộp học phí</v>
      </c>
    </row>
    <row r="119" spans="1:8" ht="14.4">
      <c r="A119" s="22">
        <f ca="1">IFERROR(__xludf.DUMMYFUNCTION("""COMPUTED_VALUE"""),45383.623613125)</f>
        <v>45383.623613124997</v>
      </c>
      <c r="B119" s="23" t="str">
        <f ca="1">IFERROR(__xludf.DUMMYFUNCTION("""COMPUTED_VALUE"""),"")</f>
        <v/>
      </c>
      <c r="C119" s="23" t="str">
        <f ca="1">IFERROR(__xludf.DUMMYFUNCTION("""COMPUTED_VALUE"""),"Mai Thị Lành")</f>
        <v>Mai Thị Lành</v>
      </c>
      <c r="D119" s="23" t="str">
        <f ca="1">IFERROR(__xludf.DUMMYFUNCTION("""COMPUTED_VALUE"""),"K29")</f>
        <v>K29</v>
      </c>
      <c r="E119" s="23" t="str">
        <f ca="1">IFERROR(__xludf.DUMMYFUNCTION("""COMPUTED_VALUE"""),"CMU - TTT")</f>
        <v>CMU - TTT</v>
      </c>
      <c r="F119" s="9" t="str">
        <f ca="1">IFERROR(__xludf.DUMMYFUNCTION("""COMPUTED_VALUE"""),"Dạ em chưa nghĩ ra")</f>
        <v>Dạ em chưa nghĩ ra</v>
      </c>
      <c r="G119" s="9">
        <f ca="1">IFERROR(__xludf.DUMMYFUNCTION("""COMPUTED_VALUE"""),2)</f>
        <v>2</v>
      </c>
      <c r="H119" s="9" t="str">
        <f ca="1">IFERROR(__xludf.DUMMYFUNCTION("""COMPUTED_VALUE"""),"1. Cách đăng kí môn học bị rớt
")</f>
        <v xml:space="preserve">1. Cách đăng kí môn học bị rớt
</v>
      </c>
    </row>
    <row r="120" spans="1:8" ht="14.4">
      <c r="A120" s="22">
        <f ca="1">IFERROR(__xludf.DUMMYFUNCTION("""COMPUTED_VALUE"""),45383.6236815856)</f>
        <v>45383.623681585603</v>
      </c>
      <c r="B120" s="23" t="str">
        <f ca="1">IFERROR(__xludf.DUMMYFUNCTION("""COMPUTED_VALUE"""),"")</f>
        <v/>
      </c>
      <c r="C120" s="23" t="str">
        <f ca="1">IFERROR(__xludf.DUMMYFUNCTION("""COMPUTED_VALUE"""),"Phan Tùng Lâm")</f>
        <v>Phan Tùng Lâm</v>
      </c>
      <c r="D120" s="23" t="str">
        <f ca="1">IFERROR(__xludf.DUMMYFUNCTION("""COMPUTED_VALUE"""),"K29")</f>
        <v>K29</v>
      </c>
      <c r="E120" s="23" t="str">
        <f ca="1">IFERROR(__xludf.DUMMYFUNCTION("""COMPUTED_VALUE"""),"CMU - TTT")</f>
        <v>CMU - TTT</v>
      </c>
      <c r="F120" s="9" t="str">
        <f ca="1">IFERROR(__xludf.DUMMYFUNCTION("""COMPUTED_VALUE"""),"Không")</f>
        <v>Không</v>
      </c>
      <c r="G120" s="9">
        <f ca="1">IFERROR(__xludf.DUMMYFUNCTION("""COMPUTED_VALUE"""),5)</f>
        <v>5</v>
      </c>
      <c r="H120" s="9" t="str">
        <f ca="1">IFERROR(__xludf.DUMMYFUNCTION("""COMPUTED_VALUE"""),"Cách làm đơn đăng kí tín chỉ")</f>
        <v>Cách làm đơn đăng kí tín chỉ</v>
      </c>
    </row>
    <row r="121" spans="1:8" ht="14.4">
      <c r="A121" s="22">
        <f ca="1">IFERROR(__xludf.DUMMYFUNCTION("""COMPUTED_VALUE"""),45383.6237269097)</f>
        <v>45383.623726909696</v>
      </c>
      <c r="B121" s="23" t="str">
        <f ca="1">IFERROR(__xludf.DUMMYFUNCTION("""COMPUTED_VALUE"""),"")</f>
        <v/>
      </c>
      <c r="C121" s="23" t="str">
        <f ca="1">IFERROR(__xludf.DUMMYFUNCTION("""COMPUTED_VALUE"""),"Thái bá huy hoàng")</f>
        <v>Thái bá huy hoàng</v>
      </c>
      <c r="D121" s="23" t="str">
        <f ca="1">IFERROR(__xludf.DUMMYFUNCTION("""COMPUTED_VALUE"""),"K29")</f>
        <v>K29</v>
      </c>
      <c r="E121" s="23" t="str">
        <f ca="1">IFERROR(__xludf.DUMMYFUNCTION("""COMPUTED_VALUE"""),"CMU - TTT")</f>
        <v>CMU - TTT</v>
      </c>
      <c r="F121" s="9" t="str">
        <f ca="1">IFERROR(__xludf.DUMMYFUNCTION("""COMPUTED_VALUE"""),"Không")</f>
        <v>Không</v>
      </c>
      <c r="G121" s="9">
        <f ca="1">IFERROR(__xludf.DUMMYFUNCTION("""COMPUTED_VALUE"""),2)</f>
        <v>2</v>
      </c>
      <c r="H121" s="9" t="str">
        <f ca="1">IFERROR(__xludf.DUMMYFUNCTION("""COMPUTED_VALUE"""),"Cách nộp học phí
")</f>
        <v xml:space="preserve">Cách nộp học phí
</v>
      </c>
    </row>
    <row r="122" spans="1:8" ht="14.4">
      <c r="A122" s="22">
        <f ca="1">IFERROR(__xludf.DUMMYFUNCTION("""COMPUTED_VALUE"""),45383.6238977893)</f>
        <v>45383.623897789301</v>
      </c>
      <c r="B122" s="23" t="str">
        <f ca="1">IFERROR(__xludf.DUMMYFUNCTION("""COMPUTED_VALUE"""),"")</f>
        <v/>
      </c>
      <c r="C122" s="23" t="str">
        <f ca="1">IFERROR(__xludf.DUMMYFUNCTION("""COMPUTED_VALUE"""),"Nguyễn Thọ Phi Hùng")</f>
        <v>Nguyễn Thọ Phi Hùng</v>
      </c>
      <c r="D122" s="23" t="str">
        <f ca="1">IFERROR(__xludf.DUMMYFUNCTION("""COMPUTED_VALUE"""),"K29")</f>
        <v>K29</v>
      </c>
      <c r="E122" s="23" t="str">
        <f ca="1">IFERROR(__xludf.DUMMYFUNCTION("""COMPUTED_VALUE"""),"CMU - TTT")</f>
        <v>CMU - TTT</v>
      </c>
      <c r="F122" s="9" t="str">
        <f ca="1">IFERROR(__xludf.DUMMYFUNCTION("""COMPUTED_VALUE"""),"Trả lời 24/7")</f>
        <v>Trả lời 24/7</v>
      </c>
      <c r="G122" s="9">
        <f ca="1">IFERROR(__xludf.DUMMYFUNCTION("""COMPUTED_VALUE"""),4)</f>
        <v>4</v>
      </c>
      <c r="H122" s="9" t="str">
        <f ca="1">IFERROR(__xludf.DUMMYFUNCTION("""COMPUTED_VALUE"""),"Cách gia hạn nộp học phí ")</f>
        <v xml:space="preserve">Cách gia hạn nộp học phí </v>
      </c>
    </row>
    <row r="123" spans="1:8" ht="14.4">
      <c r="A123" s="22">
        <f ca="1">IFERROR(__xludf.DUMMYFUNCTION("""COMPUTED_VALUE"""),45383.6240673263)</f>
        <v>45383.624067326302</v>
      </c>
      <c r="B123" s="23" t="str">
        <f ca="1">IFERROR(__xludf.DUMMYFUNCTION("""COMPUTED_VALUE"""),"")</f>
        <v/>
      </c>
      <c r="C123" s="23" t="str">
        <f ca="1">IFERROR(__xludf.DUMMYFUNCTION("""COMPUTED_VALUE"""),"Phạm Văn Long")</f>
        <v>Phạm Văn Long</v>
      </c>
      <c r="D123" s="23" t="str">
        <f ca="1">IFERROR(__xludf.DUMMYFUNCTION("""COMPUTED_VALUE"""),"K29")</f>
        <v>K29</v>
      </c>
      <c r="E123" s="23" t="str">
        <f ca="1">IFERROR(__xludf.DUMMYFUNCTION("""COMPUTED_VALUE"""),"CMU - TTT")</f>
        <v>CMU - TTT</v>
      </c>
      <c r="F123" s="9" t="str">
        <f ca="1">IFERROR(__xludf.DUMMYFUNCTION("""COMPUTED_VALUE"""),"Không mong muốn")</f>
        <v>Không mong muốn</v>
      </c>
      <c r="G123" s="9">
        <f ca="1">IFERROR(__xludf.DUMMYFUNCTION("""COMPUTED_VALUE"""),4)</f>
        <v>4</v>
      </c>
      <c r="H123" s="9" t="str">
        <f ca="1">IFERROR(__xludf.DUMMYFUNCTION("""COMPUTED_VALUE"""),"1. Đăng kí môn học lại khi phải rớt môn.
")</f>
        <v xml:space="preserve">1. Đăng kí môn học lại khi phải rớt môn.
</v>
      </c>
    </row>
    <row r="124" spans="1:8" ht="14.4">
      <c r="A124" s="22">
        <f ca="1">IFERROR(__xludf.DUMMYFUNCTION("""COMPUTED_VALUE"""),45383.6241156365)</f>
        <v>45383.624115636499</v>
      </c>
      <c r="B124" s="23" t="str">
        <f ca="1">IFERROR(__xludf.DUMMYFUNCTION("""COMPUTED_VALUE"""),"")</f>
        <v/>
      </c>
      <c r="C124" s="23" t="str">
        <f ca="1">IFERROR(__xludf.DUMMYFUNCTION("""COMPUTED_VALUE"""),"Võ Trọng Minh")</f>
        <v>Võ Trọng Minh</v>
      </c>
      <c r="D124" s="23" t="str">
        <f ca="1">IFERROR(__xludf.DUMMYFUNCTION("""COMPUTED_VALUE"""),"K29")</f>
        <v>K29</v>
      </c>
      <c r="E124" s="23" t="str">
        <f ca="1">IFERROR(__xludf.DUMMYFUNCTION("""COMPUTED_VALUE"""),"CMU - TTT")</f>
        <v>CMU - TTT</v>
      </c>
      <c r="F124" s="9" t="str">
        <f ca="1">IFERROR(__xludf.DUMMYFUNCTION("""COMPUTED_VALUE"""),"Những vấn đề về học tập, ngành nghề và những thứ khác sau này")</f>
        <v>Những vấn đề về học tập, ngành nghề và những thứ khác sau này</v>
      </c>
      <c r="G124" s="9">
        <f ca="1">IFERROR(__xludf.DUMMYFUNCTION("""COMPUTED_VALUE"""),5)</f>
        <v>5</v>
      </c>
      <c r="H124" s="9" t="str">
        <f ca="1">IFERROR(__xludf.DUMMYFUNCTION("""COMPUTED_VALUE"""),"Cách đăng ký tín chỉ ?
Cách thủ tục đăng nhập làm giấy tờ ?")</f>
        <v>Cách đăng ký tín chỉ ?
Cách thủ tục đăng nhập làm giấy tờ ?</v>
      </c>
    </row>
    <row r="125" spans="1:8" ht="14.4">
      <c r="A125" s="22">
        <f ca="1">IFERROR(__xludf.DUMMYFUNCTION("""COMPUTED_VALUE"""),45383.6247206828)</f>
        <v>45383.624720682797</v>
      </c>
      <c r="B125" s="23" t="str">
        <f ca="1">IFERROR(__xludf.DUMMYFUNCTION("""COMPUTED_VALUE"""),"")</f>
        <v/>
      </c>
      <c r="C125" s="23" t="str">
        <f ca="1">IFERROR(__xludf.DUMMYFUNCTION("""COMPUTED_VALUE"""),"Trần Văn Tuấn")</f>
        <v>Trần Văn Tuấn</v>
      </c>
      <c r="D125" s="23" t="str">
        <f ca="1">IFERROR(__xludf.DUMMYFUNCTION("""COMPUTED_VALUE"""),"K29")</f>
        <v>K29</v>
      </c>
      <c r="E125" s="23" t="str">
        <f ca="1">IFERROR(__xludf.DUMMYFUNCTION("""COMPUTED_VALUE"""),"CMU - TTT")</f>
        <v>CMU - TTT</v>
      </c>
      <c r="F125" s="9" t="str">
        <f ca="1">IFERROR(__xludf.DUMMYFUNCTION("""COMPUTED_VALUE"""),"Học tập")</f>
        <v>Học tập</v>
      </c>
      <c r="G125" s="9">
        <f ca="1">IFERROR(__xludf.DUMMYFUNCTION("""COMPUTED_VALUE"""),4)</f>
        <v>4</v>
      </c>
      <c r="H125" s="9" t="str">
        <f ca="1">IFERROR(__xludf.DUMMYFUNCTION("""COMPUTED_VALUE"""),"Cách làm đơn đăng ký tín chỉ")</f>
        <v>Cách làm đơn đăng ký tín chỉ</v>
      </c>
    </row>
    <row r="126" spans="1:8" ht="14.4">
      <c r="A126" s="22">
        <f ca="1">IFERROR(__xludf.DUMMYFUNCTION("""COMPUTED_VALUE"""),45383.624727037)</f>
        <v>45383.624727037</v>
      </c>
      <c r="B126" s="23" t="str">
        <f ca="1">IFERROR(__xludf.DUMMYFUNCTION("""COMPUTED_VALUE"""),"")</f>
        <v/>
      </c>
      <c r="C126" s="23" t="str">
        <f ca="1">IFERROR(__xludf.DUMMYFUNCTION("""COMPUTED_VALUE"""),"Lê Ngọc Sang")</f>
        <v>Lê Ngọc Sang</v>
      </c>
      <c r="D126" s="23" t="str">
        <f ca="1">IFERROR(__xludf.DUMMYFUNCTION("""COMPUTED_VALUE"""),"K29")</f>
        <v>K29</v>
      </c>
      <c r="E126" s="23" t="str">
        <f ca="1">IFERROR(__xludf.DUMMYFUNCTION("""COMPUTED_VALUE"""),"CMU - TTT")</f>
        <v>CMU - TTT</v>
      </c>
      <c r="F126" s="9" t="str">
        <f ca="1">IFERROR(__xludf.DUMMYFUNCTION("""COMPUTED_VALUE"""),"Hiểu sinh viên ")</f>
        <v xml:space="preserve">Hiểu sinh viên </v>
      </c>
      <c r="G126" s="9">
        <f ca="1">IFERROR(__xludf.DUMMYFUNCTION("""COMPUTED_VALUE"""),5)</f>
        <v>5</v>
      </c>
      <c r="H126" s="9" t="str">
        <f ca="1">IFERROR(__xludf.DUMMYFUNCTION("""COMPUTED_VALUE"""),"1.cách thức đăng kí môn bị rớt
")</f>
        <v xml:space="preserve">1.cách thức đăng kí môn bị rớt
</v>
      </c>
    </row>
    <row r="127" spans="1:8" ht="14.4">
      <c r="A127" s="22">
        <f ca="1">IFERROR(__xludf.DUMMYFUNCTION("""COMPUTED_VALUE"""),45383.6249007291)</f>
        <v>45383.624900729097</v>
      </c>
      <c r="B127" s="23" t="str">
        <f ca="1">IFERROR(__xludf.DUMMYFUNCTION("""COMPUTED_VALUE"""),"")</f>
        <v/>
      </c>
      <c r="C127" s="23" t="str">
        <f ca="1">IFERROR(__xludf.DUMMYFUNCTION("""COMPUTED_VALUE"""),".")</f>
        <v>.</v>
      </c>
      <c r="D127" s="23" t="str">
        <f ca="1">IFERROR(__xludf.DUMMYFUNCTION("""COMPUTED_VALUE"""),"K29")</f>
        <v>K29</v>
      </c>
      <c r="E127" s="23" t="str">
        <f ca="1">IFERROR(__xludf.DUMMYFUNCTION("""COMPUTED_VALUE"""),"CMU - TTT")</f>
        <v>CMU - TTT</v>
      </c>
      <c r="F127" s="9" t="str">
        <f ca="1">IFERROR(__xludf.DUMMYFUNCTION("""COMPUTED_VALUE"""),"Trả lời câu hỏi có độ chính xác cao")</f>
        <v>Trả lời câu hỏi có độ chính xác cao</v>
      </c>
      <c r="G127" s="9">
        <f ca="1">IFERROR(__xludf.DUMMYFUNCTION("""COMPUTED_VALUE"""),3)</f>
        <v>3</v>
      </c>
      <c r="H127" s="9" t="str">
        <f ca="1">IFERROR(__xludf.DUMMYFUNCTION("""COMPUTED_VALUE"""),"Cách đăng kí tín chỉ")</f>
        <v>Cách đăng kí tín chỉ</v>
      </c>
    </row>
    <row r="128" spans="1:8" ht="14.4">
      <c r="A128" s="22">
        <f ca="1">IFERROR(__xludf.DUMMYFUNCTION("""COMPUTED_VALUE"""),45383.6266624768)</f>
        <v>45383.626662476803</v>
      </c>
      <c r="B128" s="23" t="str">
        <f ca="1">IFERROR(__xludf.DUMMYFUNCTION("""COMPUTED_VALUE"""),"")</f>
        <v/>
      </c>
      <c r="C128" s="23" t="str">
        <f ca="1">IFERROR(__xludf.DUMMYFUNCTION("""COMPUTED_VALUE"""),"Huỳnh Trần Ngọc Trang ")</f>
        <v xml:space="preserve">Huỳnh Trần Ngọc Trang </v>
      </c>
      <c r="D128" s="23" t="str">
        <f ca="1">IFERROR(__xludf.DUMMYFUNCTION("""COMPUTED_VALUE"""),"K29")</f>
        <v>K29</v>
      </c>
      <c r="E128" s="23" t="str">
        <f ca="1">IFERROR(__xludf.DUMMYFUNCTION("""COMPUTED_VALUE"""),"CMU - TTT")</f>
        <v>CMU - TTT</v>
      </c>
      <c r="F128" s="9" t="str">
        <f ca="1">IFERROR(__xludf.DUMMYFUNCTION("""COMPUTED_VALUE"""),"Trả lời nhanh")</f>
        <v>Trả lời nhanh</v>
      </c>
      <c r="G128" s="9">
        <f ca="1">IFERROR(__xludf.DUMMYFUNCTION("""COMPUTED_VALUE"""),5)</f>
        <v>5</v>
      </c>
      <c r="H128" s="9" t="str">
        <f ca="1">IFERROR(__xludf.DUMMYFUNCTION("""COMPUTED_VALUE"""),"Cách làm đơn đăng ký tín chỉ
Cách đăng ký tín chỉ nhanh và hiệu quả
")</f>
        <v xml:space="preserve">Cách làm đơn đăng ký tín chỉ
Cách đăng ký tín chỉ nhanh và hiệu quả
</v>
      </c>
    </row>
    <row r="129" spans="1:8" ht="14.4">
      <c r="A129" s="22">
        <f ca="1">IFERROR(__xludf.DUMMYFUNCTION("""COMPUTED_VALUE"""),45383.6352124537)</f>
        <v>45383.635212453701</v>
      </c>
      <c r="B129" s="23" t="str">
        <f ca="1">IFERROR(__xludf.DUMMYFUNCTION("""COMPUTED_VALUE"""),"")</f>
        <v/>
      </c>
      <c r="C129" s="23" t="str">
        <f ca="1">IFERROR(__xludf.DUMMYFUNCTION("""COMPUTED_VALUE"""),"Thạch Hoài Trang")</f>
        <v>Thạch Hoài Trang</v>
      </c>
      <c r="D129" s="23" t="str">
        <f ca="1">IFERROR(__xludf.DUMMYFUNCTION("""COMPUTED_VALUE"""),"K29")</f>
        <v>K29</v>
      </c>
      <c r="E129" s="23" t="str">
        <f ca="1">IFERROR(__xludf.DUMMYFUNCTION("""COMPUTED_VALUE"""),"CMU - TTT")</f>
        <v>CMU - TTT</v>
      </c>
      <c r="F129" s="9" t="str">
        <f ca="1">IFERROR(__xludf.DUMMYFUNCTION("""COMPUTED_VALUE"""),"Không có ")</f>
        <v xml:space="preserve">Không có </v>
      </c>
      <c r="G129" s="9">
        <f ca="1">IFERROR(__xludf.DUMMYFUNCTION("""COMPUTED_VALUE"""),5)</f>
        <v>5</v>
      </c>
      <c r="H129" s="9" t="str">
        <f ca="1">IFERROR(__xludf.DUMMYFUNCTION("""COMPUTED_VALUE"""),"Không có ")</f>
        <v xml:space="preserve">Không có </v>
      </c>
    </row>
    <row r="130" spans="1:8" ht="14.4">
      <c r="A130" s="22">
        <f ca="1">IFERROR(__xludf.DUMMYFUNCTION("""COMPUTED_VALUE"""),45383.6372892361)</f>
        <v>45383.637289236103</v>
      </c>
      <c r="B130" s="23" t="str">
        <f ca="1">IFERROR(__xludf.DUMMYFUNCTION("""COMPUTED_VALUE"""),"")</f>
        <v/>
      </c>
      <c r="C130" s="23" t="str">
        <f ca="1">IFERROR(__xludf.DUMMYFUNCTION("""COMPUTED_VALUE"""),"Lê Trần Thanh Hiền")</f>
        <v>Lê Trần Thanh Hiền</v>
      </c>
      <c r="D130" s="23" t="str">
        <f ca="1">IFERROR(__xludf.DUMMYFUNCTION("""COMPUTED_VALUE"""),"K29")</f>
        <v>K29</v>
      </c>
      <c r="E130" s="23" t="str">
        <f ca="1">IFERROR(__xludf.DUMMYFUNCTION("""COMPUTED_VALUE"""),"CMU - TTT")</f>
        <v>CMU - TTT</v>
      </c>
      <c r="F130" s="9" t="str">
        <f ca="1">IFERROR(__xludf.DUMMYFUNCTION("""COMPUTED_VALUE"""),"hiểu biết về chủ đề học tập, phân tích đánh giá, giao tiếp thân thiện, khả năng học hỏi, cập nhật, nhiều ngôn ngữ")</f>
        <v>hiểu biết về chủ đề học tập, phân tích đánh giá, giao tiếp thân thiện, khả năng học hỏi, cập nhật, nhiều ngôn ngữ</v>
      </c>
      <c r="G130" s="9">
        <f ca="1">IFERROR(__xludf.DUMMYFUNCTION("""COMPUTED_VALUE"""),3)</f>
        <v>3</v>
      </c>
      <c r="H130" s="9" t="str">
        <f ca="1">IFERROR(__xludf.DUMMYFUNCTION("""COMPUTED_VALUE"""),"cách chuyển trường
cách chuyển ngành
đăng kí tín chỉ
cách nộp tiền giữ xe cụ thể hơn
cách nộp học phí")</f>
        <v>cách chuyển trường
cách chuyển ngành
đăng kí tín chỉ
cách nộp tiền giữ xe cụ thể hơn
cách nộp học phí</v>
      </c>
    </row>
    <row r="131" spans="1:8" ht="14.4">
      <c r="A131" s="22">
        <f ca="1">IFERROR(__xludf.DUMMYFUNCTION("""COMPUTED_VALUE"""),45383.6373241203)</f>
        <v>45383.637324120296</v>
      </c>
      <c r="B131" s="23" t="str">
        <f ca="1">IFERROR(__xludf.DUMMYFUNCTION("""COMPUTED_VALUE"""),"")</f>
        <v/>
      </c>
      <c r="C131" s="23" t="str">
        <f ca="1">IFERROR(__xludf.DUMMYFUNCTION("""COMPUTED_VALUE"""),"Trần Quốc Huy")</f>
        <v>Trần Quốc Huy</v>
      </c>
      <c r="D131" s="23" t="str">
        <f ca="1">IFERROR(__xludf.DUMMYFUNCTION("""COMPUTED_VALUE"""),"K29")</f>
        <v>K29</v>
      </c>
      <c r="E131" s="23" t="str">
        <f ca="1">IFERROR(__xludf.DUMMYFUNCTION("""COMPUTED_VALUE"""),"CMU - TTT")</f>
        <v>CMU - TTT</v>
      </c>
      <c r="F131" s="9" t="str">
        <f ca="1">IFERROR(__xludf.DUMMYFUNCTION("""COMPUTED_VALUE"""),"hiểu biết, thông suốt về học tập và đời sống. Những kĩ năng mềm cần thiết ")</f>
        <v xml:space="preserve">hiểu biết, thông suốt về học tập và đời sống. Những kĩ năng mềm cần thiết </v>
      </c>
      <c r="G131" s="9">
        <f ca="1">IFERROR(__xludf.DUMMYFUNCTION("""COMPUTED_VALUE"""),4)</f>
        <v>4</v>
      </c>
      <c r="H131" s="9" t="str">
        <f ca="1">IFERROR(__xludf.DUMMYFUNCTION("""COMPUTED_VALUE"""),"Cách chuyển trường ?
Cách chuyển ngành ?
Cách đăng kí tín chỉ ?
Cách nộp học phí ?
Cách nộp tiền giữ xe cụ thể hơn ?
")</f>
        <v xml:space="preserve">Cách chuyển trường ?
Cách chuyển ngành ?
Cách đăng kí tín chỉ ?
Cách nộp học phí ?
Cách nộp tiền giữ xe cụ thể hơn ?
</v>
      </c>
    </row>
    <row r="132" spans="1:8" ht="14.4">
      <c r="A132" s="22">
        <f ca="1">IFERROR(__xludf.DUMMYFUNCTION("""COMPUTED_VALUE"""),45383.6389715972)</f>
        <v>45383.638971597204</v>
      </c>
      <c r="B132" s="23" t="str">
        <f ca="1">IFERROR(__xludf.DUMMYFUNCTION("""COMPUTED_VALUE"""),"")</f>
        <v/>
      </c>
      <c r="C132" s="23" t="str">
        <f ca="1">IFERROR(__xludf.DUMMYFUNCTION("""COMPUTED_VALUE"""),"Ngô Văn Nhật")</f>
        <v>Ngô Văn Nhật</v>
      </c>
      <c r="D132" s="23" t="str">
        <f ca="1">IFERROR(__xludf.DUMMYFUNCTION("""COMPUTED_VALUE"""),"K29")</f>
        <v>K29</v>
      </c>
      <c r="E132" s="23" t="str">
        <f ca="1">IFERROR(__xludf.DUMMYFUNCTION("""COMPUTED_VALUE"""),"CMU - TPM")</f>
        <v>CMU - TPM</v>
      </c>
      <c r="F132" s="9" t="str">
        <f ca="1">IFERROR(__xludf.DUMMYFUNCTION("""COMPUTED_VALUE"""),"Không")</f>
        <v>Không</v>
      </c>
      <c r="G132" s="9">
        <f ca="1">IFERROR(__xludf.DUMMYFUNCTION("""COMPUTED_VALUE"""),5)</f>
        <v>5</v>
      </c>
      <c r="H132" s="9" t="str">
        <f ca="1">IFERROR(__xludf.DUMMYFUNCTION("""COMPUTED_VALUE"""),"Không ")</f>
        <v xml:space="preserve">Không </v>
      </c>
    </row>
    <row r="133" spans="1:8" ht="14.4">
      <c r="A133" s="22">
        <f ca="1">IFERROR(__xludf.DUMMYFUNCTION("""COMPUTED_VALUE"""),45383.6394259375)</f>
        <v>45383.639425937501</v>
      </c>
      <c r="B133" s="23" t="str">
        <f ca="1">IFERROR(__xludf.DUMMYFUNCTION("""COMPUTED_VALUE"""),"")</f>
        <v/>
      </c>
      <c r="C133" s="23" t="str">
        <f ca="1">IFERROR(__xludf.DUMMYFUNCTION("""COMPUTED_VALUE"""),"Nguyễn Bá Tùng")</f>
        <v>Nguyễn Bá Tùng</v>
      </c>
      <c r="D133" s="23" t="str">
        <f ca="1">IFERROR(__xludf.DUMMYFUNCTION("""COMPUTED_VALUE"""),"K29")</f>
        <v>K29</v>
      </c>
      <c r="E133" s="23" t="str">
        <f ca="1">IFERROR(__xludf.DUMMYFUNCTION("""COMPUTED_VALUE"""),"CMU - TPM")</f>
        <v>CMU - TPM</v>
      </c>
      <c r="F133" s="9" t="str">
        <f ca="1">IFERROR(__xludf.DUMMYFUNCTION("""COMPUTED_VALUE"""),"cách đăng ký môn")</f>
        <v>cách đăng ký môn</v>
      </c>
      <c r="G133" s="9">
        <f ca="1">IFERROR(__xludf.DUMMYFUNCTION("""COMPUTED_VALUE"""),5)</f>
        <v>5</v>
      </c>
      <c r="H133" s="9" t="str">
        <f ca="1">IFERROR(__xludf.DUMMYFUNCTION("""COMPUTED_VALUE"""),"cách đăng ký môn")</f>
        <v>cách đăng ký môn</v>
      </c>
    </row>
    <row r="134" spans="1:8" ht="14.4">
      <c r="A134" s="22">
        <f ca="1">IFERROR(__xludf.DUMMYFUNCTION("""COMPUTED_VALUE"""),45383.6399169675)</f>
        <v>45383.639916967499</v>
      </c>
      <c r="B134" s="23" t="str">
        <f ca="1">IFERROR(__xludf.DUMMYFUNCTION("""COMPUTED_VALUE"""),"")</f>
        <v/>
      </c>
      <c r="C134" s="23" t="str">
        <f ca="1">IFERROR(__xludf.DUMMYFUNCTION("""COMPUTED_VALUE"""),"Nguyễn Quang Tâm ")</f>
        <v xml:space="preserve">Nguyễn Quang Tâm </v>
      </c>
      <c r="D134" s="23" t="str">
        <f ca="1">IFERROR(__xludf.DUMMYFUNCTION("""COMPUTED_VALUE"""),"K29")</f>
        <v>K29</v>
      </c>
      <c r="E134" s="23" t="str">
        <f ca="1">IFERROR(__xludf.DUMMYFUNCTION("""COMPUTED_VALUE"""),"CMU - TPM")</f>
        <v>CMU - TPM</v>
      </c>
      <c r="F134" s="9" t="str">
        <f ca="1">IFERROR(__xludf.DUMMYFUNCTION("""COMPUTED_VALUE"""),"Tính năng trả lời siêu thực")</f>
        <v>Tính năng trả lời siêu thực</v>
      </c>
      <c r="G134" s="9">
        <f ca="1">IFERROR(__xludf.DUMMYFUNCTION("""COMPUTED_VALUE"""),5)</f>
        <v>5</v>
      </c>
      <c r="H134" s="9" t="str">
        <f ca="1">IFERROR(__xludf.DUMMYFUNCTION("""COMPUTED_VALUE"""),"Cách đăng kí tín chỉ")</f>
        <v>Cách đăng kí tín chỉ</v>
      </c>
    </row>
    <row r="135" spans="1:8" ht="14.4">
      <c r="A135" s="22">
        <f ca="1">IFERROR(__xludf.DUMMYFUNCTION("""COMPUTED_VALUE"""),45383.6408432754)</f>
        <v>45383.640843275403</v>
      </c>
      <c r="B135" s="23" t="str">
        <f ca="1">IFERROR(__xludf.DUMMYFUNCTION("""COMPUTED_VALUE"""),"")</f>
        <v/>
      </c>
      <c r="C135" s="23" t="str">
        <f ca="1">IFERROR(__xludf.DUMMYFUNCTION("""COMPUTED_VALUE"""),"Nguyễn Hữu Nghĩa ")</f>
        <v xml:space="preserve">Nguyễn Hữu Nghĩa </v>
      </c>
      <c r="D135" s="23" t="str">
        <f ca="1">IFERROR(__xludf.DUMMYFUNCTION("""COMPUTED_VALUE"""),"K29")</f>
        <v>K29</v>
      </c>
      <c r="E135" s="23" t="str">
        <f ca="1">IFERROR(__xludf.DUMMYFUNCTION("""COMPUTED_VALUE"""),"CMU - TPM")</f>
        <v>CMU - TPM</v>
      </c>
      <c r="F135" s="9" t="str">
        <f ca="1">IFERROR(__xludf.DUMMYFUNCTION("""COMPUTED_VALUE"""),"ko")</f>
        <v>ko</v>
      </c>
      <c r="G135" s="9">
        <f ca="1">IFERROR(__xludf.DUMMYFUNCTION("""COMPUTED_VALUE"""),3)</f>
        <v>3</v>
      </c>
      <c r="H135" s="9" t="str">
        <f ca="1">IFERROR(__xludf.DUMMYFUNCTION("""COMPUTED_VALUE"""),"đăng kí tín chỉ
")</f>
        <v xml:space="preserve">đăng kí tín chỉ
</v>
      </c>
    </row>
    <row r="136" spans="1:8" ht="14.4">
      <c r="A136" s="22">
        <f ca="1">IFERROR(__xludf.DUMMYFUNCTION("""COMPUTED_VALUE"""),45383.6410352662)</f>
        <v>45383.641035266199</v>
      </c>
      <c r="B136" s="23" t="str">
        <f ca="1">IFERROR(__xludf.DUMMYFUNCTION("""COMPUTED_VALUE"""),"")</f>
        <v/>
      </c>
      <c r="C136" s="23" t="str">
        <f ca="1">IFERROR(__xludf.DUMMYFUNCTION("""COMPUTED_VALUE"""),"Trần Vinh")</f>
        <v>Trần Vinh</v>
      </c>
      <c r="D136" s="23" t="str">
        <f ca="1">IFERROR(__xludf.DUMMYFUNCTION("""COMPUTED_VALUE"""),"K29")</f>
        <v>K29</v>
      </c>
      <c r="E136" s="23" t="str">
        <f ca="1">IFERROR(__xludf.DUMMYFUNCTION("""COMPUTED_VALUE"""),"CMU - TPM")</f>
        <v>CMU - TPM</v>
      </c>
      <c r="F136" s="9" t="str">
        <f ca="1">IFERROR(__xludf.DUMMYFUNCTION("""COMPUTED_VALUE"""),"Không biết")</f>
        <v>Không biết</v>
      </c>
      <c r="G136" s="9">
        <f ca="1">IFERROR(__xludf.DUMMYFUNCTION("""COMPUTED_VALUE"""),5)</f>
        <v>5</v>
      </c>
      <c r="H136" s="9" t="str">
        <f ca="1">IFERROR(__xludf.DUMMYFUNCTION("""COMPUTED_VALUE"""),"Trong gia đình sẽ học chung trường có giảm học phí không")</f>
        <v>Trong gia đình sẽ học chung trường có giảm học phí không</v>
      </c>
    </row>
    <row r="137" spans="1:8" ht="14.4">
      <c r="A137" s="22">
        <f ca="1">IFERROR(__xludf.DUMMYFUNCTION("""COMPUTED_VALUE"""),45383.6414234027)</f>
        <v>45383.641423402703</v>
      </c>
      <c r="B137" s="23" t="str">
        <f ca="1">IFERROR(__xludf.DUMMYFUNCTION("""COMPUTED_VALUE"""),"")</f>
        <v/>
      </c>
      <c r="C137" s="23" t="str">
        <f ca="1">IFERROR(__xludf.DUMMYFUNCTION("""COMPUTED_VALUE"""),"Đặng Phước Tấn")</f>
        <v>Đặng Phước Tấn</v>
      </c>
      <c r="D137" s="23" t="str">
        <f ca="1">IFERROR(__xludf.DUMMYFUNCTION("""COMPUTED_VALUE"""),"K29")</f>
        <v>K29</v>
      </c>
      <c r="E137" s="23" t="str">
        <f ca="1">IFERROR(__xludf.DUMMYFUNCTION("""COMPUTED_VALUE"""),"CMU - TPM")</f>
        <v>CMU - TPM</v>
      </c>
      <c r="F137" s="9" t="str">
        <f ca="1">IFERROR(__xludf.DUMMYFUNCTION("""COMPUTED_VALUE"""),"Đăng ký tín chỉ")</f>
        <v>Đăng ký tín chỉ</v>
      </c>
      <c r="G137" s="9">
        <f ca="1">IFERROR(__xludf.DUMMYFUNCTION("""COMPUTED_VALUE"""),5)</f>
        <v>5</v>
      </c>
      <c r="H137" s="9" t="str">
        <f ca="1">IFERROR(__xludf.DUMMYFUNCTION("""COMPUTED_VALUE"""),"Cách làm đơn đăng ký tín chỉ ? 
Cách đăng ký môn học? 
Cách nộp sổ đăng ký làm sổ thành viên đoàn viên thanh niên")</f>
        <v>Cách làm đơn đăng ký tín chỉ ? 
Cách đăng ký môn học? 
Cách nộp sổ đăng ký làm sổ thành viên đoàn viên thanh niên</v>
      </c>
    </row>
    <row r="138" spans="1:8" ht="14.4">
      <c r="A138" s="22">
        <f ca="1">IFERROR(__xludf.DUMMYFUNCTION("""COMPUTED_VALUE"""),45383.6416762847)</f>
        <v>45383.6416762847</v>
      </c>
      <c r="B138" s="23" t="str">
        <f ca="1">IFERROR(__xludf.DUMMYFUNCTION("""COMPUTED_VALUE"""),"")</f>
        <v/>
      </c>
      <c r="C138" s="23" t="str">
        <f ca="1">IFERROR(__xludf.DUMMYFUNCTION("""COMPUTED_VALUE"""),"Nguyễn Kim Nhật Tuyên")</f>
        <v>Nguyễn Kim Nhật Tuyên</v>
      </c>
      <c r="D138" s="23" t="str">
        <f ca="1">IFERROR(__xludf.DUMMYFUNCTION("""COMPUTED_VALUE"""),"K29")</f>
        <v>K29</v>
      </c>
      <c r="E138" s="23" t="str">
        <f ca="1">IFERROR(__xludf.DUMMYFUNCTION("""COMPUTED_VALUE"""),"CMU - TPM")</f>
        <v>CMU - TPM</v>
      </c>
      <c r="F138" s="9" t="str">
        <f ca="1">IFERROR(__xludf.DUMMYFUNCTION("""COMPUTED_VALUE"""),".")</f>
        <v>.</v>
      </c>
      <c r="G138" s="9">
        <f ca="1">IFERROR(__xludf.DUMMYFUNCTION("""COMPUTED_VALUE"""),5)</f>
        <v>5</v>
      </c>
      <c r="H138" s="9" t="str">
        <f ca="1">IFERROR(__xludf.DUMMYFUNCTION("""COMPUTED_VALUE"""),".")</f>
        <v>.</v>
      </c>
    </row>
    <row r="139" spans="1:8" ht="14.4">
      <c r="A139" s="22">
        <f ca="1">IFERROR(__xludf.DUMMYFUNCTION("""COMPUTED_VALUE"""),45383.6419055208)</f>
        <v>45383.641905520803</v>
      </c>
      <c r="B139" s="23" t="str">
        <f ca="1">IFERROR(__xludf.DUMMYFUNCTION("""COMPUTED_VALUE"""),"")</f>
        <v/>
      </c>
      <c r="C139" s="23" t="str">
        <f ca="1">IFERROR(__xludf.DUMMYFUNCTION("""COMPUTED_VALUE"""),"Phạm Thái Sang")</f>
        <v>Phạm Thái Sang</v>
      </c>
      <c r="D139" s="23" t="str">
        <f ca="1">IFERROR(__xludf.DUMMYFUNCTION("""COMPUTED_VALUE"""),"K29")</f>
        <v>K29</v>
      </c>
      <c r="E139" s="23" t="str">
        <f ca="1">IFERROR(__xludf.DUMMYFUNCTION("""COMPUTED_VALUE"""),"CMU - TPM")</f>
        <v>CMU - TPM</v>
      </c>
      <c r="F139" s="9" t="str">
        <f ca="1">IFERROR(__xludf.DUMMYFUNCTION("""COMPUTED_VALUE"""),"trả lời nhanh")</f>
        <v>trả lời nhanh</v>
      </c>
      <c r="G139" s="9">
        <f ca="1">IFERROR(__xludf.DUMMYFUNCTION("""COMPUTED_VALUE"""),4)</f>
        <v>4</v>
      </c>
      <c r="H139" s="9" t="str">
        <f ca="1">IFERROR(__xludf.DUMMYFUNCTION("""COMPUTED_VALUE"""),"cách đăng ký tín chỉ,")</f>
        <v>cách đăng ký tín chỉ,</v>
      </c>
    </row>
    <row r="140" spans="1:8" ht="14.4">
      <c r="A140" s="22">
        <f ca="1">IFERROR(__xludf.DUMMYFUNCTION("""COMPUTED_VALUE"""),45383.642458912)</f>
        <v>45383.642458912</v>
      </c>
      <c r="B140" s="23" t="str">
        <f ca="1">IFERROR(__xludf.DUMMYFUNCTION("""COMPUTED_VALUE"""),"")</f>
        <v/>
      </c>
      <c r="C140" s="23" t="str">
        <f ca="1">IFERROR(__xludf.DUMMYFUNCTION("""COMPUTED_VALUE"""),"Trần Quốc Trương ")</f>
        <v xml:space="preserve">Trần Quốc Trương </v>
      </c>
      <c r="D140" s="23" t="str">
        <f ca="1">IFERROR(__xludf.DUMMYFUNCTION("""COMPUTED_VALUE"""),"K29")</f>
        <v>K29</v>
      </c>
      <c r="E140" s="23" t="str">
        <f ca="1">IFERROR(__xludf.DUMMYFUNCTION("""COMPUTED_VALUE"""),"CMU - TPM")</f>
        <v>CMU - TPM</v>
      </c>
      <c r="F140" s="9" t="str">
        <f ca="1">IFERROR(__xludf.DUMMYFUNCTION("""COMPUTED_VALUE"""),"Hoà đồng vui vẻ ")</f>
        <v xml:space="preserve">Hoà đồng vui vẻ </v>
      </c>
      <c r="G140" s="9">
        <f ca="1">IFERROR(__xludf.DUMMYFUNCTION("""COMPUTED_VALUE"""),4)</f>
        <v>4</v>
      </c>
      <c r="H140" s="9" t="str">
        <f ca="1">IFERROR(__xludf.DUMMYFUNCTION("""COMPUTED_VALUE"""),"Cách Đăng ký tín chỉ
Cách làm các loại giấy tờ
Cách nộp học phí
Thời gian mở đánh giá rèn luyện ")</f>
        <v xml:space="preserve">Cách Đăng ký tín chỉ
Cách làm các loại giấy tờ
Cách nộp học phí
Thời gian mở đánh giá rèn luyện </v>
      </c>
    </row>
    <row r="141" spans="1:8" ht="14.4">
      <c r="A141" s="22">
        <f ca="1">IFERROR(__xludf.DUMMYFUNCTION("""COMPUTED_VALUE"""),45383.6434056944)</f>
        <v>45383.643405694398</v>
      </c>
      <c r="B141" s="23" t="str">
        <f ca="1">IFERROR(__xludf.DUMMYFUNCTION("""COMPUTED_VALUE"""),"")</f>
        <v/>
      </c>
      <c r="C141" s="23" t="str">
        <f ca="1">IFERROR(__xludf.DUMMYFUNCTION("""COMPUTED_VALUE"""),"Nguyễn Khôi Nguyên ")</f>
        <v xml:space="preserve">Nguyễn Khôi Nguyên </v>
      </c>
      <c r="D141" s="23" t="str">
        <f ca="1">IFERROR(__xludf.DUMMYFUNCTION("""COMPUTED_VALUE"""),"K29")</f>
        <v>K29</v>
      </c>
      <c r="E141" s="23" t="str">
        <f ca="1">IFERROR(__xludf.DUMMYFUNCTION("""COMPUTED_VALUE"""),"CMU - TPM")</f>
        <v>CMU - TPM</v>
      </c>
      <c r="F141" s="9" t="str">
        <f ca="1">IFERROR(__xludf.DUMMYFUNCTION("""COMPUTED_VALUE"""),"không")</f>
        <v>không</v>
      </c>
      <c r="G141" s="9">
        <f ca="1">IFERROR(__xludf.DUMMYFUNCTION("""COMPUTED_VALUE"""),1)</f>
        <v>1</v>
      </c>
      <c r="H141" s="9" t="str">
        <f ca="1">IFERROR(__xludf.DUMMYFUNCTION("""COMPUTED_VALUE"""),"cách nộp học phí
cách đăng kí tín chỉ
có nên học thêm kì hè không
1 kỳ mà full điểm A có được gì không
")</f>
        <v xml:space="preserve">cách nộp học phí
cách đăng kí tín chỉ
có nên học thêm kì hè không
1 kỳ mà full điểm A có được gì không
</v>
      </c>
    </row>
    <row r="142" spans="1:8" ht="14.4">
      <c r="A142" s="22">
        <f ca="1">IFERROR(__xludf.DUMMYFUNCTION("""COMPUTED_VALUE"""),45383.6434303703)</f>
        <v>45383.643430370299</v>
      </c>
      <c r="B142" s="23" t="str">
        <f ca="1">IFERROR(__xludf.DUMMYFUNCTION("""COMPUTED_VALUE"""),"")</f>
        <v/>
      </c>
      <c r="C142" s="23" t="str">
        <f ca="1">IFERROR(__xludf.DUMMYFUNCTION("""COMPUTED_VALUE"""),"Lê Huỳnh Vĩnh Tú ")</f>
        <v xml:space="preserve">Lê Huỳnh Vĩnh Tú </v>
      </c>
      <c r="D142" s="23" t="str">
        <f ca="1">IFERROR(__xludf.DUMMYFUNCTION("""COMPUTED_VALUE"""),"K29")</f>
        <v>K29</v>
      </c>
      <c r="E142" s="23" t="str">
        <f ca="1">IFERROR(__xludf.DUMMYFUNCTION("""COMPUTED_VALUE"""),"CMU - TPM")</f>
        <v>CMU - TPM</v>
      </c>
      <c r="F142" s="9" t="str">
        <f ca="1">IFERROR(__xludf.DUMMYFUNCTION("""COMPUTED_VALUE"""),"Không")</f>
        <v>Không</v>
      </c>
      <c r="G142" s="9">
        <f ca="1">IFERROR(__xludf.DUMMYFUNCTION("""COMPUTED_VALUE"""),5)</f>
        <v>5</v>
      </c>
      <c r="H142" s="9" t="str">
        <f ca="1">IFERROR(__xludf.DUMMYFUNCTION("""COMPUTED_VALUE"""),"Cách nhận học bổng theo kỳ học ")</f>
        <v xml:space="preserve">Cách nhận học bổng theo kỳ học </v>
      </c>
    </row>
    <row r="143" spans="1:8" ht="14.4">
      <c r="A143" s="22">
        <f ca="1">IFERROR(__xludf.DUMMYFUNCTION("""COMPUTED_VALUE"""),45383.6650852199)</f>
        <v>45383.665085219902</v>
      </c>
      <c r="B143" s="23" t="str">
        <f ca="1">IFERROR(__xludf.DUMMYFUNCTION("""COMPUTED_VALUE"""),"")</f>
        <v/>
      </c>
      <c r="C143" s="23" t="str">
        <f ca="1">IFERROR(__xludf.DUMMYFUNCTION("""COMPUTED_VALUE"""),"Đặng Ngọc Tú")</f>
        <v>Đặng Ngọc Tú</v>
      </c>
      <c r="D143" s="23" t="str">
        <f ca="1">IFERROR(__xludf.DUMMYFUNCTION("""COMPUTED_VALUE"""),"K27")</f>
        <v>K27</v>
      </c>
      <c r="E143" s="23" t="str">
        <f ca="1">IFERROR(__xludf.DUMMYFUNCTION("""COMPUTED_VALUE"""),"CMU - TPM")</f>
        <v>CMU - TPM</v>
      </c>
      <c r="F143" s="9" t="str">
        <f ca="1">IFERROR(__xludf.DUMMYFUNCTION("""COMPUTED_VALUE"""),"Giúp tìm kiếm, truy xuất tài liệu, đề cương môn học cần tìm hoặc là tìm kiếm được thông tin giảng viên mình cần ")</f>
        <v xml:space="preserve">Giúp tìm kiếm, truy xuất tài liệu, đề cương môn học cần tìm hoặc là tìm kiếm được thông tin giảng viên mình cần </v>
      </c>
      <c r="G143" s="9">
        <f ca="1">IFERROR(__xludf.DUMMYFUNCTION("""COMPUTED_VALUE"""),5)</f>
        <v>5</v>
      </c>
      <c r="H143" s="9" t="str">
        <f ca="1">IFERROR(__xludf.DUMMYFUNCTION("""COMPUTED_VALUE"""),"Cách nộp học phí?
Em có bảo hiểm rồi thì có cần mua nữa không ạ?
Em lỡ quên không đánh giá rèn luyện, thầy có thể giúp em với được không ạ?
Thầy thêm em vô nhóm fb lớp để em nhận thông báo với ạ?
Điểm GPA tầm bao nhiêu là được bằng xuất sắc ạ?
Môn học này"&amp;" em bị thiếu bài kiểm tra, thầy cho em số điện thoại để em liên lạc với thầy bộ môn ạ?")</f>
        <v>Cách nộp học phí?
Em có bảo hiểm rồi thì có cần mua nữa không ạ?
Em lỡ quên không đánh giá rèn luyện, thầy có thể giúp em với được không ạ?
Thầy thêm em vô nhóm fb lớp để em nhận thông báo với ạ?
Điểm GPA tầm bao nhiêu là được bằng xuất sắc ạ?
Môn học này em bị thiếu bài kiểm tra, thầy cho em số điện thoại để em liên lạc với thầy bộ môn ạ?</v>
      </c>
    </row>
    <row r="144" spans="1:8" ht="14.4">
      <c r="A144" s="22">
        <f ca="1">IFERROR(__xludf.DUMMYFUNCTION("""COMPUTED_VALUE"""),45383.7056270254)</f>
        <v>45383.705627025403</v>
      </c>
      <c r="B144" s="23" t="str">
        <f ca="1">IFERROR(__xludf.DUMMYFUNCTION("""COMPUTED_VALUE"""),"")</f>
        <v/>
      </c>
      <c r="C144" s="23" t="str">
        <f ca="1">IFERROR(__xludf.DUMMYFUNCTION("""COMPUTED_VALUE"""),"Lê Tấn Quốc")</f>
        <v>Lê Tấn Quốc</v>
      </c>
      <c r="D144" s="23" t="str">
        <f ca="1">IFERROR(__xludf.DUMMYFUNCTION("""COMPUTED_VALUE"""),"K29")</f>
        <v>K29</v>
      </c>
      <c r="E144" s="23" t="str">
        <f ca="1">IFERROR(__xludf.DUMMYFUNCTION("""COMPUTED_VALUE"""),"CMU - TPM")</f>
        <v>CMU - TPM</v>
      </c>
      <c r="F144" s="9" t="str">
        <f ca="1">IFERROR(__xludf.DUMMYFUNCTION("""COMPUTED_VALUE"""),"Không biết")</f>
        <v>Không biết</v>
      </c>
      <c r="G144" s="9">
        <f ca="1">IFERROR(__xludf.DUMMYFUNCTION("""COMPUTED_VALUE"""),5)</f>
        <v>5</v>
      </c>
      <c r="H144" s="9" t="str">
        <f ca="1">IFERROR(__xludf.DUMMYFUNCTION("""COMPUTED_VALUE"""),"Cách làm đơn đăng kí tín chỉ ?")</f>
        <v>Cách làm đơn đăng kí tín chỉ ?</v>
      </c>
    </row>
    <row r="145" spans="1:8" ht="14.4">
      <c r="A145" s="22">
        <f ca="1">IFERROR(__xludf.DUMMYFUNCTION("""COMPUTED_VALUE"""),45383.7065546759)</f>
        <v>45383.706554675897</v>
      </c>
      <c r="B145" s="23" t="str">
        <f ca="1">IFERROR(__xludf.DUMMYFUNCTION("""COMPUTED_VALUE"""),"")</f>
        <v/>
      </c>
      <c r="C145" s="23" t="str">
        <f ca="1">IFERROR(__xludf.DUMMYFUNCTION("""COMPUTED_VALUE"""),"Huỳnh Tấn Trí")</f>
        <v>Huỳnh Tấn Trí</v>
      </c>
      <c r="D145" s="23" t="str">
        <f ca="1">IFERROR(__xludf.DUMMYFUNCTION("""COMPUTED_VALUE"""),"K29")</f>
        <v>K29</v>
      </c>
      <c r="E145" s="23" t="str">
        <f ca="1">IFERROR(__xludf.DUMMYFUNCTION("""COMPUTED_VALUE"""),"CMU - TPM")</f>
        <v>CMU - TPM</v>
      </c>
      <c r="F145" s="9" t="str">
        <f ca="1">IFERROR(__xludf.DUMMYFUNCTION("""COMPUTED_VALUE"""),"Có")</f>
        <v>Có</v>
      </c>
      <c r="G145" s="9">
        <f ca="1">IFERROR(__xludf.DUMMYFUNCTION("""COMPUTED_VALUE"""),1)</f>
        <v>1</v>
      </c>
      <c r="H145" s="9" t="str">
        <f ca="1">IFERROR(__xludf.DUMMYFUNCTION("""COMPUTED_VALUE"""),"Cách nộp học phí?")</f>
        <v>Cách nộp học phí?</v>
      </c>
    </row>
    <row r="146" spans="1:8" ht="14.4">
      <c r="A146" s="22">
        <f ca="1">IFERROR(__xludf.DUMMYFUNCTION("""COMPUTED_VALUE"""),45383.7067208564)</f>
        <v>45383.706720856397</v>
      </c>
      <c r="B146" s="23" t="str">
        <f ca="1">IFERROR(__xludf.DUMMYFUNCTION("""COMPUTED_VALUE"""),"")</f>
        <v/>
      </c>
      <c r="C146" s="23" t="str">
        <f ca="1">IFERROR(__xludf.DUMMYFUNCTION("""COMPUTED_VALUE"""),"Võ Trung Tài")</f>
        <v>Võ Trung Tài</v>
      </c>
      <c r="D146" s="23" t="str">
        <f ca="1">IFERROR(__xludf.DUMMYFUNCTION("""COMPUTED_VALUE"""),"K29")</f>
        <v>K29</v>
      </c>
      <c r="E146" s="23" t="str">
        <f ca="1">IFERROR(__xludf.DUMMYFUNCTION("""COMPUTED_VALUE"""),"CMU - TPM")</f>
        <v>CMU - TPM</v>
      </c>
      <c r="F146" s="9" t="str">
        <f ca="1">IFERROR(__xludf.DUMMYFUNCTION("""COMPUTED_VALUE"""),"Trả lời 24/24")</f>
        <v>Trả lời 24/24</v>
      </c>
      <c r="G146" s="9">
        <f ca="1">IFERROR(__xludf.DUMMYFUNCTION("""COMPUTED_VALUE"""),3)</f>
        <v>3</v>
      </c>
      <c r="H146" s="9" t="str">
        <f ca="1">IFERROR(__xludf.DUMMYFUNCTION("""COMPUTED_VALUE"""),"Khai báo ngoại trú")</f>
        <v>Khai báo ngoại trú</v>
      </c>
    </row>
    <row r="147" spans="1:8" ht="14.4">
      <c r="A147" s="22">
        <f ca="1">IFERROR(__xludf.DUMMYFUNCTION("""COMPUTED_VALUE"""),45383.7079757638)</f>
        <v>45383.707975763798</v>
      </c>
      <c r="B147" s="23" t="str">
        <f ca="1">IFERROR(__xludf.DUMMYFUNCTION("""COMPUTED_VALUE"""),"")</f>
        <v/>
      </c>
      <c r="C147" s="23" t="str">
        <f ca="1">IFERROR(__xludf.DUMMYFUNCTION("""COMPUTED_VALUE"""),"Kiều Minh Thư ")</f>
        <v xml:space="preserve">Kiều Minh Thư </v>
      </c>
      <c r="D147" s="23" t="str">
        <f ca="1">IFERROR(__xludf.DUMMYFUNCTION("""COMPUTED_VALUE"""),"K29")</f>
        <v>K29</v>
      </c>
      <c r="E147" s="23" t="str">
        <f ca="1">IFERROR(__xludf.DUMMYFUNCTION("""COMPUTED_VALUE"""),"CMU - TPM")</f>
        <v>CMU - TPM</v>
      </c>
      <c r="F147" s="9" t="str">
        <f ca="1">IFERROR(__xludf.DUMMYFUNCTION("""COMPUTED_VALUE"""),"Không")</f>
        <v>Không</v>
      </c>
      <c r="G147" s="9">
        <f ca="1">IFERROR(__xludf.DUMMYFUNCTION("""COMPUTED_VALUE"""),5)</f>
        <v>5</v>
      </c>
      <c r="H147" s="9" t="str">
        <f ca="1">IFERROR(__xludf.DUMMYFUNCTION("""COMPUTED_VALUE"""),"Cách đăng ký tín chỉ")</f>
        <v>Cách đăng ký tín chỉ</v>
      </c>
    </row>
    <row r="148" spans="1:8" ht="14.4">
      <c r="A148" s="22">
        <f ca="1">IFERROR(__xludf.DUMMYFUNCTION("""COMPUTED_VALUE"""),45383.757100162)</f>
        <v>45383.757100162002</v>
      </c>
      <c r="B148" s="23" t="str">
        <f ca="1">IFERROR(__xludf.DUMMYFUNCTION("""COMPUTED_VALUE"""),"")</f>
        <v/>
      </c>
      <c r="C148" s="23" t="str">
        <f ca="1">IFERROR(__xludf.DUMMYFUNCTION("""COMPUTED_VALUE"""),"Lê Anh Khoa")</f>
        <v>Lê Anh Khoa</v>
      </c>
      <c r="D148" s="23" t="str">
        <f ca="1">IFERROR(__xludf.DUMMYFUNCTION("""COMPUTED_VALUE"""),"K29")</f>
        <v>K29</v>
      </c>
      <c r="E148" s="23" t="str">
        <f ca="1">IFERROR(__xludf.DUMMYFUNCTION("""COMPUTED_VALUE"""),"CMU - TPM")</f>
        <v>CMU - TPM</v>
      </c>
      <c r="F148" s="9" t="str">
        <f ca="1">IFERROR(__xludf.DUMMYFUNCTION("""COMPUTED_VALUE"""),"Nghe gọi")</f>
        <v>Nghe gọi</v>
      </c>
      <c r="G148" s="9"/>
      <c r="H148" s="9" t="str">
        <f ca="1">IFERROR(__xludf.DUMMYFUNCTION("""COMPUTED_VALUE"""),"Cách chuyển ngành ")</f>
        <v xml:space="preserve">Cách chuyển ngành </v>
      </c>
    </row>
    <row r="149" spans="1:8" ht="14.4">
      <c r="A149" s="22">
        <f ca="1">IFERROR(__xludf.DUMMYFUNCTION("""COMPUTED_VALUE"""),45383.7575928588)</f>
        <v>45383.757592858798</v>
      </c>
      <c r="B149" s="23" t="str">
        <f ca="1">IFERROR(__xludf.DUMMYFUNCTION("""COMPUTED_VALUE"""),"")</f>
        <v/>
      </c>
      <c r="C149" s="23" t="str">
        <f ca="1">IFERROR(__xludf.DUMMYFUNCTION("""COMPUTED_VALUE"""),"Đặng Thành Quyết")</f>
        <v>Đặng Thành Quyết</v>
      </c>
      <c r="D149" s="23" t="str">
        <f ca="1">IFERROR(__xludf.DUMMYFUNCTION("""COMPUTED_VALUE"""),"K29")</f>
        <v>K29</v>
      </c>
      <c r="E149" s="23" t="str">
        <f ca="1">IFERROR(__xludf.DUMMYFUNCTION("""COMPUTED_VALUE"""),"CMU - TPM")</f>
        <v>CMU - TPM</v>
      </c>
      <c r="F149" s="9" t="str">
        <f ca="1">IFERROR(__xludf.DUMMYFUNCTION("""COMPUTED_VALUE"""),"Trả lời chính xác")</f>
        <v>Trả lời chính xác</v>
      </c>
      <c r="G149" s="9">
        <f ca="1">IFERROR(__xludf.DUMMYFUNCTION("""COMPUTED_VALUE"""),5)</f>
        <v>5</v>
      </c>
      <c r="H149" s="9" t="str">
        <f ca="1">IFERROR(__xludf.DUMMYFUNCTION("""COMPUTED_VALUE"""),"Cách nộp học phí
Cách huỷ môn đăng ký môn
")</f>
        <v xml:space="preserve">Cách nộp học phí
Cách huỷ môn đăng ký môn
</v>
      </c>
    </row>
    <row r="150" spans="1:8" ht="14.4">
      <c r="A150" s="22">
        <f ca="1">IFERROR(__xludf.DUMMYFUNCTION("""COMPUTED_VALUE"""),45383.7580654051)</f>
        <v>45383.758065405098</v>
      </c>
      <c r="B150" s="23" t="str">
        <f ca="1">IFERROR(__xludf.DUMMYFUNCTION("""COMPUTED_VALUE"""),"")</f>
        <v/>
      </c>
      <c r="C150" s="23" t="str">
        <f ca="1">IFERROR(__xludf.DUMMYFUNCTION("""COMPUTED_VALUE"""),"Tạ Quang Tĩnh ")</f>
        <v xml:space="preserve">Tạ Quang Tĩnh </v>
      </c>
      <c r="D150" s="23" t="str">
        <f ca="1">IFERROR(__xludf.DUMMYFUNCTION("""COMPUTED_VALUE"""),"K29")</f>
        <v>K29</v>
      </c>
      <c r="E150" s="23" t="str">
        <f ca="1">IFERROR(__xludf.DUMMYFUNCTION("""COMPUTED_VALUE"""),"CMU - TPM")</f>
        <v>CMU - TPM</v>
      </c>
      <c r="F150" s="9" t="str">
        <f ca="1">IFERROR(__xludf.DUMMYFUNCTION("""COMPUTED_VALUE"""),"Auto ")</f>
        <v xml:space="preserve">Auto </v>
      </c>
      <c r="G150" s="9">
        <f ca="1">IFERROR(__xludf.DUMMYFUNCTION("""COMPUTED_VALUE"""),5)</f>
        <v>5</v>
      </c>
      <c r="H150" s="9" t="str">
        <f ca="1">IFERROR(__xludf.DUMMYFUNCTION("""COMPUTED_VALUE"""),"Cách nộp học phí ?
Cách làm đơn đăng ký tín chỉ ?")</f>
        <v>Cách nộp học phí ?
Cách làm đơn đăng ký tín chỉ ?</v>
      </c>
    </row>
    <row r="151" spans="1:8" ht="14.4">
      <c r="A151" s="22">
        <f ca="1">IFERROR(__xludf.DUMMYFUNCTION("""COMPUTED_VALUE"""),45383.7585080324)</f>
        <v>45383.758508032399</v>
      </c>
      <c r="B151" s="23" t="str">
        <f ca="1">IFERROR(__xludf.DUMMYFUNCTION("""COMPUTED_VALUE"""),"")</f>
        <v/>
      </c>
      <c r="C151" s="23" t="str">
        <f ca="1">IFERROR(__xludf.DUMMYFUNCTION("""COMPUTED_VALUE"""),"Nguyễn Khắc Hòa ")</f>
        <v xml:space="preserve">Nguyễn Khắc Hòa </v>
      </c>
      <c r="D151" s="23" t="str">
        <f ca="1">IFERROR(__xludf.DUMMYFUNCTION("""COMPUTED_VALUE"""),"K29")</f>
        <v>K29</v>
      </c>
      <c r="E151" s="23" t="str">
        <f ca="1">IFERROR(__xludf.DUMMYFUNCTION("""COMPUTED_VALUE"""),"CMU - TPM")</f>
        <v>CMU - TPM</v>
      </c>
      <c r="F151" s="9" t="str">
        <f ca="1">IFERROR(__xludf.DUMMYFUNCTION("""COMPUTED_VALUE"""),"All")</f>
        <v>All</v>
      </c>
      <c r="G151" s="9">
        <f ca="1">IFERROR(__xludf.DUMMYFUNCTION("""COMPUTED_VALUE"""),4)</f>
        <v>4</v>
      </c>
      <c r="H151" s="9" t="str">
        <f ca="1">IFERROR(__xludf.DUMMYFUNCTION("""COMPUTED_VALUE"""),"Cách nộp học phí ?
Cách làm đơn đăng ký tín chỉ ?
")</f>
        <v xml:space="preserve">Cách nộp học phí ?
Cách làm đơn đăng ký tín chỉ ?
</v>
      </c>
    </row>
    <row r="152" spans="1:8" ht="14.4">
      <c r="A152" s="22">
        <f ca="1">IFERROR(__xludf.DUMMYFUNCTION("""COMPUTED_VALUE"""),45383.758910081)</f>
        <v>45383.758910081</v>
      </c>
      <c r="B152" s="23" t="str">
        <f ca="1">IFERROR(__xludf.DUMMYFUNCTION("""COMPUTED_VALUE"""),"")</f>
        <v/>
      </c>
      <c r="C152" s="23" t="str">
        <f ca="1">IFERROR(__xludf.DUMMYFUNCTION("""COMPUTED_VALUE"""),"Nguyễn Hoàng Xuân Phát")</f>
        <v>Nguyễn Hoàng Xuân Phát</v>
      </c>
      <c r="D152" s="23" t="str">
        <f ca="1">IFERROR(__xludf.DUMMYFUNCTION("""COMPUTED_VALUE"""),"K29")</f>
        <v>K29</v>
      </c>
      <c r="E152" s="23" t="str">
        <f ca="1">IFERROR(__xludf.DUMMYFUNCTION("""COMPUTED_VALUE"""),"CMU - TPM")</f>
        <v>CMU - TPM</v>
      </c>
      <c r="F152" s="9" t="str">
        <f ca="1">IFERROR(__xludf.DUMMYFUNCTION("""COMPUTED_VALUE"""),"Em hi vọng chatbot có khả năng tính toán")</f>
        <v>Em hi vọng chatbot có khả năng tính toán</v>
      </c>
      <c r="G152" s="9">
        <f ca="1">IFERROR(__xludf.DUMMYFUNCTION("""COMPUTED_VALUE"""),3)</f>
        <v>3</v>
      </c>
      <c r="H152" s="9" t="str">
        <f ca="1">IFERROR(__xludf.DUMMYFUNCTION("""COMPUTED_VALUE"""),"Cách tính điểm phần trăm?
Cách tính điểm ")</f>
        <v xml:space="preserve">Cách tính điểm phần trăm?
Cách tính điểm </v>
      </c>
    </row>
    <row r="153" spans="1:8" ht="14.4">
      <c r="A153" s="22">
        <f ca="1">IFERROR(__xludf.DUMMYFUNCTION("""COMPUTED_VALUE"""),45383.7596705208)</f>
        <v>45383.759670520798</v>
      </c>
      <c r="B153" s="23" t="str">
        <f ca="1">IFERROR(__xludf.DUMMYFUNCTION("""COMPUTED_VALUE"""),"")</f>
        <v/>
      </c>
      <c r="C153" s="23" t="str">
        <f ca="1">IFERROR(__xludf.DUMMYFUNCTION("""COMPUTED_VALUE"""),"Thái Anh Tài")</f>
        <v>Thái Anh Tài</v>
      </c>
      <c r="D153" s="23" t="str">
        <f ca="1">IFERROR(__xludf.DUMMYFUNCTION("""COMPUTED_VALUE"""),"K29")</f>
        <v>K29</v>
      </c>
      <c r="E153" s="23" t="str">
        <f ca="1">IFERROR(__xludf.DUMMYFUNCTION("""COMPUTED_VALUE"""),"CMU - TPM")</f>
        <v>CMU - TPM</v>
      </c>
      <c r="F153" s="9" t="str">
        <f ca="1">IFERROR(__xludf.DUMMYFUNCTION("""COMPUTED_VALUE"""),"Tích hợp tính năng thông báo điểm")</f>
        <v>Tích hợp tính năng thông báo điểm</v>
      </c>
      <c r="G153" s="9">
        <f ca="1">IFERROR(__xludf.DUMMYFUNCTION("""COMPUTED_VALUE"""),5)</f>
        <v>5</v>
      </c>
      <c r="H153" s="9" t="str">
        <f ca="1">IFERROR(__xludf.DUMMYFUNCTION("""COMPUTED_VALUE"""),"Cách đăng ký tín chỉ")</f>
        <v>Cách đăng ký tín chỉ</v>
      </c>
    </row>
    <row r="154" spans="1:8" ht="14.4">
      <c r="A154" s="22">
        <f ca="1">IFERROR(__xludf.DUMMYFUNCTION("""COMPUTED_VALUE"""),45383.7598430902)</f>
        <v>45383.7598430902</v>
      </c>
      <c r="B154" s="23" t="str">
        <f ca="1">IFERROR(__xludf.DUMMYFUNCTION("""COMPUTED_VALUE"""),"")</f>
        <v/>
      </c>
      <c r="C154" s="23" t="str">
        <f ca="1">IFERROR(__xludf.DUMMYFUNCTION("""COMPUTED_VALUE"""),"Trần Thị Hải Yến ")</f>
        <v xml:space="preserve">Trần Thị Hải Yến </v>
      </c>
      <c r="D154" s="23" t="str">
        <f ca="1">IFERROR(__xludf.DUMMYFUNCTION("""COMPUTED_VALUE"""),"K29")</f>
        <v>K29</v>
      </c>
      <c r="E154" s="23" t="str">
        <f ca="1">IFERROR(__xludf.DUMMYFUNCTION("""COMPUTED_VALUE"""),"CMU - TPM")</f>
        <v>CMU - TPM</v>
      </c>
      <c r="F154" s="9" t="str">
        <f ca="1">IFERROR(__xludf.DUMMYFUNCTION("""COMPUTED_VALUE"""),"Tâm sự với sinh viên")</f>
        <v>Tâm sự với sinh viên</v>
      </c>
      <c r="G154" s="9">
        <f ca="1">IFERROR(__xludf.DUMMYFUNCTION("""COMPUTED_VALUE"""),5)</f>
        <v>5</v>
      </c>
      <c r="H154" s="9" t="str">
        <f ca="1">IFERROR(__xludf.DUMMYFUNCTION("""COMPUTED_VALUE"""),"Cách chuyển ngành")</f>
        <v>Cách chuyển ngành</v>
      </c>
    </row>
    <row r="155" spans="1:8" ht="14.4">
      <c r="A155" s="22">
        <f ca="1">IFERROR(__xludf.DUMMYFUNCTION("""COMPUTED_VALUE"""),45383.7598762384)</f>
        <v>45383.7598762384</v>
      </c>
      <c r="B155" s="23" t="str">
        <f ca="1">IFERROR(__xludf.DUMMYFUNCTION("""COMPUTED_VALUE"""),"")</f>
        <v/>
      </c>
      <c r="C155" s="23" t="str">
        <f ca="1">IFERROR(__xludf.DUMMYFUNCTION("""COMPUTED_VALUE"""),"Trần Anh Bằng")</f>
        <v>Trần Anh Bằng</v>
      </c>
      <c r="D155" s="23" t="str">
        <f ca="1">IFERROR(__xludf.DUMMYFUNCTION("""COMPUTED_VALUE"""),"K29")</f>
        <v>K29</v>
      </c>
      <c r="E155" s="23" t="str">
        <f ca="1">IFERROR(__xludf.DUMMYFUNCTION("""COMPUTED_VALUE"""),"CMU - TPM")</f>
        <v>CMU - TPM</v>
      </c>
      <c r="F155" s="9" t="str">
        <f ca="1">IFERROR(__xludf.DUMMYFUNCTION("""COMPUTED_VALUE"""),"Nghe gọi")</f>
        <v>Nghe gọi</v>
      </c>
      <c r="G155" s="9">
        <f ca="1">IFERROR(__xludf.DUMMYFUNCTION("""COMPUTED_VALUE"""),5)</f>
        <v>5</v>
      </c>
      <c r="H155" s="9" t="str">
        <f ca="1">IFERROR(__xludf.DUMMYFUNCTION("""COMPUTED_VALUE"""),"Cách có học bổng")</f>
        <v>Cách có học bổng</v>
      </c>
    </row>
    <row r="156" spans="1:8" ht="14.4">
      <c r="A156" s="22">
        <f ca="1">IFERROR(__xludf.DUMMYFUNCTION("""COMPUTED_VALUE"""),45383.7601740162)</f>
        <v>45383.760174016199</v>
      </c>
      <c r="B156" s="23" t="str">
        <f ca="1">IFERROR(__xludf.DUMMYFUNCTION("""COMPUTED_VALUE"""),"")</f>
        <v/>
      </c>
      <c r="C156" s="23" t="str">
        <f ca="1">IFERROR(__xludf.DUMMYFUNCTION("""COMPUTED_VALUE"""),"Trần Đức Thắng")</f>
        <v>Trần Đức Thắng</v>
      </c>
      <c r="D156" s="23" t="str">
        <f ca="1">IFERROR(__xludf.DUMMYFUNCTION("""COMPUTED_VALUE"""),"K29")</f>
        <v>K29</v>
      </c>
      <c r="E156" s="23" t="str">
        <f ca="1">IFERROR(__xludf.DUMMYFUNCTION("""COMPUTED_VALUE"""),"CMU - TPM")</f>
        <v>CMU - TPM</v>
      </c>
      <c r="F156" s="9" t="str">
        <f ca="1">IFERROR(__xludf.DUMMYFUNCTION("""COMPUTED_VALUE"""),"Trả lời câu hỏi giải đáp nhanh")</f>
        <v>Trả lời câu hỏi giải đáp nhanh</v>
      </c>
      <c r="G156" s="9">
        <f ca="1">IFERROR(__xludf.DUMMYFUNCTION("""COMPUTED_VALUE"""),5)</f>
        <v>5</v>
      </c>
      <c r="H156" s="9" t="str">
        <f ca="1">IFERROR(__xludf.DUMMYFUNCTION("""COMPUTED_VALUE"""),"Cách chuyển ngành sau 2 kì
Thời gian chuyển ngành
Học kì hè tối đa đăng ký bao nhiêu tín chỉ
")</f>
        <v xml:space="preserve">Cách chuyển ngành sau 2 kì
Thời gian chuyển ngành
Học kì hè tối đa đăng ký bao nhiêu tín chỉ
</v>
      </c>
    </row>
    <row r="157" spans="1:8" ht="14.4">
      <c r="A157" s="22">
        <f ca="1">IFERROR(__xludf.DUMMYFUNCTION("""COMPUTED_VALUE"""),45383.760212824)</f>
        <v>45383.760212824003</v>
      </c>
      <c r="B157" s="23" t="str">
        <f ca="1">IFERROR(__xludf.DUMMYFUNCTION("""COMPUTED_VALUE"""),"")</f>
        <v/>
      </c>
      <c r="C157" s="23" t="str">
        <f ca="1">IFERROR(__xludf.DUMMYFUNCTION("""COMPUTED_VALUE"""),"Phan Anh Thư")</f>
        <v>Phan Anh Thư</v>
      </c>
      <c r="D157" s="23" t="str">
        <f ca="1">IFERROR(__xludf.DUMMYFUNCTION("""COMPUTED_VALUE"""),"K29")</f>
        <v>K29</v>
      </c>
      <c r="E157" s="23" t="str">
        <f ca="1">IFERROR(__xludf.DUMMYFUNCTION("""COMPUTED_VALUE"""),"CMU - TPM")</f>
        <v>CMU - TPM</v>
      </c>
      <c r="F157" s="9" t="str">
        <f ca="1">IFERROR(__xludf.DUMMYFUNCTION("""COMPUTED_VALUE"""),"e ko có ạ")</f>
        <v>e ko có ạ</v>
      </c>
      <c r="G157" s="9">
        <f ca="1">IFERROR(__xludf.DUMMYFUNCTION("""COMPUTED_VALUE"""),3)</f>
        <v>3</v>
      </c>
      <c r="H157" s="9" t="str">
        <f ca="1">IFERROR(__xludf.DUMMYFUNCTION("""COMPUTED_VALUE"""),"tất cả vấn để về chuyển ngành ")</f>
        <v xml:space="preserve">tất cả vấn để về chuyển ngành </v>
      </c>
    </row>
    <row r="158" spans="1:8" ht="14.4">
      <c r="A158" s="22">
        <f ca="1">IFERROR(__xludf.DUMMYFUNCTION("""COMPUTED_VALUE"""),45383.760232905)</f>
        <v>45383.760232904999</v>
      </c>
      <c r="B158" s="23" t="str">
        <f ca="1">IFERROR(__xludf.DUMMYFUNCTION("""COMPUTED_VALUE"""),"")</f>
        <v/>
      </c>
      <c r="C158" s="23" t="str">
        <f ca="1">IFERROR(__xludf.DUMMYFUNCTION("""COMPUTED_VALUE"""),"Sử Minh Ngọc")</f>
        <v>Sử Minh Ngọc</v>
      </c>
      <c r="D158" s="23" t="str">
        <f ca="1">IFERROR(__xludf.DUMMYFUNCTION("""COMPUTED_VALUE"""),"K29")</f>
        <v>K29</v>
      </c>
      <c r="E158" s="23" t="str">
        <f ca="1">IFERROR(__xludf.DUMMYFUNCTION("""COMPUTED_VALUE"""),"CMU - TPM")</f>
        <v>CMU - TPM</v>
      </c>
      <c r="F158" s="9" t="str">
        <f ca="1">IFERROR(__xludf.DUMMYFUNCTION("""COMPUTED_VALUE"""),"Thêm tính năng tính toán điểm xét rớt hay đậu")</f>
        <v>Thêm tính năng tính toán điểm xét rớt hay đậu</v>
      </c>
      <c r="G158" s="9">
        <f ca="1">IFERROR(__xludf.DUMMYFUNCTION("""COMPUTED_VALUE"""),5)</f>
        <v>5</v>
      </c>
      <c r="H158" s="9" t="str">
        <f ca="1">IFERROR(__xludf.DUMMYFUNCTION("""COMPUTED_VALUE"""),"Cách đăng kí tín chỉ ?")</f>
        <v>Cách đăng kí tín chỉ ?</v>
      </c>
    </row>
    <row r="159" spans="1:8" ht="14.4">
      <c r="A159" s="22">
        <f ca="1">IFERROR(__xludf.DUMMYFUNCTION("""COMPUTED_VALUE"""),45383.7605322685)</f>
        <v>45383.760532268498</v>
      </c>
      <c r="B159" s="23" t="str">
        <f ca="1">IFERROR(__xludf.DUMMYFUNCTION("""COMPUTED_VALUE"""),"")</f>
        <v/>
      </c>
      <c r="C159" s="23" t="str">
        <f ca="1">IFERROR(__xludf.DUMMYFUNCTION("""COMPUTED_VALUE"""),"Mai Phúc Hậu ")</f>
        <v xml:space="preserve">Mai Phúc Hậu </v>
      </c>
      <c r="D159" s="23" t="str">
        <f ca="1">IFERROR(__xludf.DUMMYFUNCTION("""COMPUTED_VALUE"""),"K29")</f>
        <v>K29</v>
      </c>
      <c r="E159" s="23" t="str">
        <f ca="1">IFERROR(__xludf.DUMMYFUNCTION("""COMPUTED_VALUE"""),"CMU - TPM")</f>
        <v>CMU - TPM</v>
      </c>
      <c r="F159" s="9" t="str">
        <f ca="1">IFERROR(__xludf.DUMMYFUNCTION("""COMPUTED_VALUE"""),"Biểu quyết")</f>
        <v>Biểu quyết</v>
      </c>
      <c r="G159" s="9">
        <f ca="1">IFERROR(__xludf.DUMMYFUNCTION("""COMPUTED_VALUE"""),5)</f>
        <v>5</v>
      </c>
      <c r="H159" s="9" t="str">
        <f ca="1">IFERROR(__xludf.DUMMYFUNCTION("""COMPUTED_VALUE"""),"Cách đăng ký thêm và bớt tín chỉ
Cách đăng ký thêm ngành hai
")</f>
        <v xml:space="preserve">Cách đăng ký thêm và bớt tín chỉ
Cách đăng ký thêm ngành hai
</v>
      </c>
    </row>
    <row r="160" spans="1:8" ht="14.4">
      <c r="A160" s="22">
        <f ca="1">IFERROR(__xludf.DUMMYFUNCTION("""COMPUTED_VALUE"""),45383.7606300694)</f>
        <v>45383.760630069402</v>
      </c>
      <c r="B160" s="23" t="str">
        <f ca="1">IFERROR(__xludf.DUMMYFUNCTION("""COMPUTED_VALUE"""),"")</f>
        <v/>
      </c>
      <c r="C160" s="23" t="str">
        <f ca="1">IFERROR(__xludf.DUMMYFUNCTION("""COMPUTED_VALUE"""),"Nguyễn Ngọc Anh Tài ")</f>
        <v xml:space="preserve">Nguyễn Ngọc Anh Tài </v>
      </c>
      <c r="D160" s="23" t="str">
        <f ca="1">IFERROR(__xludf.DUMMYFUNCTION("""COMPUTED_VALUE"""),"K29")</f>
        <v>K29</v>
      </c>
      <c r="E160" s="23" t="str">
        <f ca="1">IFERROR(__xludf.DUMMYFUNCTION("""COMPUTED_VALUE"""),"CMU - TPM")</f>
        <v>CMU - TPM</v>
      </c>
      <c r="F160" s="9" t="str">
        <f ca="1">IFERROR(__xludf.DUMMYFUNCTION("""COMPUTED_VALUE"""),"Nhanh đơn giản")</f>
        <v>Nhanh đơn giản</v>
      </c>
      <c r="G160" s="9">
        <f ca="1">IFERROR(__xludf.DUMMYFUNCTION("""COMPUTED_VALUE"""),5)</f>
        <v>5</v>
      </c>
      <c r="H160" s="9" t="str">
        <f ca="1">IFERROR(__xludf.DUMMYFUNCTION("""COMPUTED_VALUE"""),"Cách chuyển ngành đơn giải")</f>
        <v>Cách chuyển ngành đơn giải</v>
      </c>
    </row>
    <row r="161" spans="1:8" ht="14.4">
      <c r="A161" s="22">
        <f ca="1">IFERROR(__xludf.DUMMYFUNCTION("""COMPUTED_VALUE"""),45383.7607699884)</f>
        <v>45383.760769988403</v>
      </c>
      <c r="B161" s="23" t="str">
        <f ca="1">IFERROR(__xludf.DUMMYFUNCTION("""COMPUTED_VALUE"""),"")</f>
        <v/>
      </c>
      <c r="C161" s="23" t="str">
        <f ca="1">IFERROR(__xludf.DUMMYFUNCTION("""COMPUTED_VALUE"""),"Ngô Đức Minh Quân")</f>
        <v>Ngô Đức Minh Quân</v>
      </c>
      <c r="D161" s="23" t="str">
        <f ca="1">IFERROR(__xludf.DUMMYFUNCTION("""COMPUTED_VALUE"""),"K29")</f>
        <v>K29</v>
      </c>
      <c r="E161" s="23" t="str">
        <f ca="1">IFERROR(__xludf.DUMMYFUNCTION("""COMPUTED_VALUE"""),"CMU - TPM")</f>
        <v>CMU - TPM</v>
      </c>
      <c r="F161" s="9" t="str">
        <f ca="1">IFERROR(__xludf.DUMMYFUNCTION("""COMPUTED_VALUE"""),"Tự động thông báo điểm ")</f>
        <v xml:space="preserve">Tự động thông báo điểm </v>
      </c>
      <c r="G161" s="9">
        <f ca="1">IFERROR(__xludf.DUMMYFUNCTION("""COMPUTED_VALUE"""),5)</f>
        <v>5</v>
      </c>
      <c r="H161" s="9" t="str">
        <f ca="1">IFERROR(__xludf.DUMMYFUNCTION("""COMPUTED_VALUE"""),"Cách để làm bài tập code và học code hiệu quả(Trả lời : mỗi ngày dành ít nhất 2 3 tiếng để code / cố gắng suy nghĩ làm bài 1 đến 2 tiếng sau đó rồi hẳn tham khảo nơi khác )
Cách sài MyDTU để nộp học phí 
Cách kiếm tiền dựa vào code wed  
")</f>
        <v xml:space="preserve">Cách để làm bài tập code và học code hiệu quả(Trả lời : mỗi ngày dành ít nhất 2 3 tiếng để code / cố gắng suy nghĩ làm bài 1 đến 2 tiếng sau đó rồi hẳn tham khảo nơi khác )
Cách sài MyDTU để nộp học phí 
Cách kiếm tiền dựa vào code wed  
</v>
      </c>
    </row>
    <row r="162" spans="1:8" ht="14.4">
      <c r="A162" s="22">
        <f ca="1">IFERROR(__xludf.DUMMYFUNCTION("""COMPUTED_VALUE"""),45383.7610150925)</f>
        <v>45383.761015092503</v>
      </c>
      <c r="B162" s="23" t="str">
        <f ca="1">IFERROR(__xludf.DUMMYFUNCTION("""COMPUTED_VALUE"""),"")</f>
        <v/>
      </c>
      <c r="C162" s="23" t="str">
        <f ca="1">IFERROR(__xludf.DUMMYFUNCTION("""COMPUTED_VALUE"""),"Trần Văn Long")</f>
        <v>Trần Văn Long</v>
      </c>
      <c r="D162" s="23" t="str">
        <f ca="1">IFERROR(__xludf.DUMMYFUNCTION("""COMPUTED_VALUE"""),"K29")</f>
        <v>K29</v>
      </c>
      <c r="E162" s="23" t="str">
        <f ca="1">IFERROR(__xludf.DUMMYFUNCTION("""COMPUTED_VALUE"""),"CMU - TPM")</f>
        <v>CMU - TPM</v>
      </c>
      <c r="F162" s="9" t="str">
        <f ca="1">IFERROR(__xludf.DUMMYFUNCTION("""COMPUTED_VALUE"""),"Dạ có ")</f>
        <v xml:space="preserve">Dạ có </v>
      </c>
      <c r="G162" s="9">
        <f ca="1">IFERROR(__xludf.DUMMYFUNCTION("""COMPUTED_VALUE"""),5)</f>
        <v>5</v>
      </c>
      <c r="H162" s="9" t="str">
        <f ca="1">IFERROR(__xludf.DUMMYFUNCTION("""COMPUTED_VALUE"""),"1. làm nào cách nào để đi làm thêm về nghành đang học trong khi mới vào năm 2 ?")</f>
        <v>1. làm nào cách nào để đi làm thêm về nghành đang học trong khi mới vào năm 2 ?</v>
      </c>
    </row>
    <row r="163" spans="1:8" ht="14.4">
      <c r="A163" s="22">
        <f ca="1">IFERROR(__xludf.DUMMYFUNCTION("""COMPUTED_VALUE"""),45383.7616131134)</f>
        <v>45383.761613113398</v>
      </c>
      <c r="B163" s="23" t="str">
        <f ca="1">IFERROR(__xludf.DUMMYFUNCTION("""COMPUTED_VALUE"""),"")</f>
        <v/>
      </c>
      <c r="C163" s="23" t="str">
        <f ca="1">IFERROR(__xludf.DUMMYFUNCTION("""COMPUTED_VALUE"""),"Dương Thị Thu Thảo")</f>
        <v>Dương Thị Thu Thảo</v>
      </c>
      <c r="D163" s="23" t="str">
        <f ca="1">IFERROR(__xludf.DUMMYFUNCTION("""COMPUTED_VALUE"""),"K29")</f>
        <v>K29</v>
      </c>
      <c r="E163" s="23" t="str">
        <f ca="1">IFERROR(__xludf.DUMMYFUNCTION("""COMPUTED_VALUE"""),"CMU - TPM")</f>
        <v>CMU - TPM</v>
      </c>
      <c r="F163" s="9" t="str">
        <f ca="1">IFERROR(__xludf.DUMMYFUNCTION("""COMPUTED_VALUE"""),"Em chưa biết nữa")</f>
        <v>Em chưa biết nữa</v>
      </c>
      <c r="G163" s="9">
        <f ca="1">IFERROR(__xludf.DUMMYFUNCTION("""COMPUTED_VALUE"""),5)</f>
        <v>5</v>
      </c>
      <c r="H163" s="9" t="str">
        <f ca="1">IFERROR(__xludf.DUMMYFUNCTION("""COMPUTED_VALUE"""),"Cách đăng ký tín chỉ 
Cách cải thiện kĩ năng lập trình 
Lập kế hoạch và định hướng nghề
")</f>
        <v xml:space="preserve">Cách đăng ký tín chỉ 
Cách cải thiện kĩ năng lập trình 
Lập kế hoạch và định hướng nghề
</v>
      </c>
    </row>
    <row r="164" spans="1:8" ht="14.4">
      <c r="A164" s="22">
        <f ca="1">IFERROR(__xludf.DUMMYFUNCTION("""COMPUTED_VALUE"""),45383.7616294097)</f>
        <v>45383.761629409702</v>
      </c>
      <c r="B164" s="23" t="str">
        <f ca="1">IFERROR(__xludf.DUMMYFUNCTION("""COMPUTED_VALUE"""),"")</f>
        <v/>
      </c>
      <c r="C164" s="23" t="str">
        <f ca="1">IFERROR(__xludf.DUMMYFUNCTION("""COMPUTED_VALUE"""),"Đỗ Tân Hoàng Khang")</f>
        <v>Đỗ Tân Hoàng Khang</v>
      </c>
      <c r="D164" s="23" t="str">
        <f ca="1">IFERROR(__xludf.DUMMYFUNCTION("""COMPUTED_VALUE"""),"K29")</f>
        <v>K29</v>
      </c>
      <c r="E164" s="23" t="str">
        <f ca="1">IFERROR(__xludf.DUMMYFUNCTION("""COMPUTED_VALUE"""),"CMU - TPM")</f>
        <v>CMU - TPM</v>
      </c>
      <c r="F164" s="9" t="str">
        <f ca="1">IFERROR(__xludf.DUMMYFUNCTION("""COMPUTED_VALUE"""),"Tính năng đưa ra cách giải quyết tốt nhất ")</f>
        <v xml:space="preserve">Tính năng đưa ra cách giải quyết tốt nhất </v>
      </c>
      <c r="G164" s="9">
        <f ca="1">IFERROR(__xludf.DUMMYFUNCTION("""COMPUTED_VALUE"""),4)</f>
        <v>4</v>
      </c>
      <c r="H164" s="9" t="str">
        <f ca="1">IFERROR(__xludf.DUMMYFUNCTION("""COMPUTED_VALUE"""),"Cách đăng kí tín chỉ")</f>
        <v>Cách đăng kí tín chỉ</v>
      </c>
    </row>
    <row r="165" spans="1:8" ht="14.4">
      <c r="A165" s="22">
        <f ca="1">IFERROR(__xludf.DUMMYFUNCTION("""COMPUTED_VALUE"""),45383.7620662384)</f>
        <v>45383.7620662384</v>
      </c>
      <c r="B165" s="23" t="str">
        <f ca="1">IFERROR(__xludf.DUMMYFUNCTION("""COMPUTED_VALUE"""),"")</f>
        <v/>
      </c>
      <c r="C165" s="23" t="str">
        <f ca="1">IFERROR(__xludf.DUMMYFUNCTION("""COMPUTED_VALUE"""),"Lê Phạm Hữu Phước ")</f>
        <v xml:space="preserve">Lê Phạm Hữu Phước </v>
      </c>
      <c r="D165" s="23" t="str">
        <f ca="1">IFERROR(__xludf.DUMMYFUNCTION("""COMPUTED_VALUE"""),"K29")</f>
        <v>K29</v>
      </c>
      <c r="E165" s="23" t="str">
        <f ca="1">IFERROR(__xludf.DUMMYFUNCTION("""COMPUTED_VALUE"""),"CMU - TPM")</f>
        <v>CMU - TPM</v>
      </c>
      <c r="F165" s="9" t="str">
        <f ca="1">IFERROR(__xludf.DUMMYFUNCTION("""COMPUTED_VALUE"""),"Chat GPT")</f>
        <v>Chat GPT</v>
      </c>
      <c r="G165" s="9">
        <f ca="1">IFERROR(__xludf.DUMMYFUNCTION("""COMPUTED_VALUE"""),3)</f>
        <v>3</v>
      </c>
      <c r="H165" s="9" t="str">
        <f ca="1">IFERROR(__xludf.DUMMYFUNCTION("""COMPUTED_VALUE"""),"•Không học kì hè có ra trường trong trong 4 năm không ?
•Có bao nhiêu môn đại cương ?
Thời gian sinh hoạt ngoại khoá môn hướng nghiệp?
")</f>
        <v xml:space="preserve">•Không học kì hè có ra trường trong trong 4 năm không ?
•Có bao nhiêu môn đại cương ?
Thời gian sinh hoạt ngoại khoá môn hướng nghiệp?
</v>
      </c>
    </row>
    <row r="166" spans="1:8" ht="14.4">
      <c r="A166" s="22">
        <f ca="1">IFERROR(__xludf.DUMMYFUNCTION("""COMPUTED_VALUE"""),45383.7625014236)</f>
        <v>45383.762501423596</v>
      </c>
      <c r="B166" s="23" t="str">
        <f ca="1">IFERROR(__xludf.DUMMYFUNCTION("""COMPUTED_VALUE"""),"")</f>
        <v/>
      </c>
      <c r="C166" s="23" t="str">
        <f ca="1">IFERROR(__xludf.DUMMYFUNCTION("""COMPUTED_VALUE"""),"Nguyễn Trúc Quỳnh ")</f>
        <v xml:space="preserve">Nguyễn Trúc Quỳnh </v>
      </c>
      <c r="D166" s="23" t="str">
        <f ca="1">IFERROR(__xludf.DUMMYFUNCTION("""COMPUTED_VALUE"""),"K29")</f>
        <v>K29</v>
      </c>
      <c r="E166" s="23" t="str">
        <f ca="1">IFERROR(__xludf.DUMMYFUNCTION("""COMPUTED_VALUE"""),"CMU - TPM")</f>
        <v>CMU - TPM</v>
      </c>
      <c r="F166" s="9" t="str">
        <f ca="1">IFERROR(__xludf.DUMMYFUNCTION("""COMPUTED_VALUE"""),"Em chưa biết ạ")</f>
        <v>Em chưa biết ạ</v>
      </c>
      <c r="G166" s="9">
        <f ca="1">IFERROR(__xludf.DUMMYFUNCTION("""COMPUTED_VALUE"""),5)</f>
        <v>5</v>
      </c>
      <c r="H166" s="9" t="str">
        <f ca="1">IFERROR(__xludf.DUMMYFUNCTION("""COMPUTED_VALUE"""),"Lập kế hoạch và định hướng nghề
Cách cải thiện kĩ năng lập trình
")</f>
        <v xml:space="preserve">Lập kế hoạch và định hướng nghề
Cách cải thiện kĩ năng lập trình
</v>
      </c>
    </row>
    <row r="167" spans="1:8" ht="14.4">
      <c r="A167" s="22">
        <f ca="1">IFERROR(__xludf.DUMMYFUNCTION("""COMPUTED_VALUE"""),45383.7634718402)</f>
        <v>45383.763471840197</v>
      </c>
      <c r="B167" s="23" t="str">
        <f ca="1">IFERROR(__xludf.DUMMYFUNCTION("""COMPUTED_VALUE"""),"")</f>
        <v/>
      </c>
      <c r="C167" s="23" t="str">
        <f ca="1">IFERROR(__xludf.DUMMYFUNCTION("""COMPUTED_VALUE"""),"Nguyễn Minh Tú")</f>
        <v>Nguyễn Minh Tú</v>
      </c>
      <c r="D167" s="23" t="str">
        <f ca="1">IFERROR(__xludf.DUMMYFUNCTION("""COMPUTED_VALUE"""),"K26")</f>
        <v>K26</v>
      </c>
      <c r="E167" s="23" t="str">
        <f ca="1">IFERROR(__xludf.DUMMYFUNCTION("""COMPUTED_VALUE"""),"CMU - TPM")</f>
        <v>CMU - TPM</v>
      </c>
      <c r="F167" s="9" t="str">
        <f ca="1">IFERROR(__xludf.DUMMYFUNCTION("""COMPUTED_VALUE"""),"Tích hợp thêm tính năng tìm kiếm và truy xuất đề cương và tài liệu môn học")</f>
        <v>Tích hợp thêm tính năng tìm kiếm và truy xuất đề cương và tài liệu môn học</v>
      </c>
      <c r="G167" s="9">
        <f ca="1">IFERROR(__xludf.DUMMYFUNCTION("""COMPUTED_VALUE"""),5)</f>
        <v>5</v>
      </c>
      <c r="H167" s="9" t="str">
        <f ca="1">IFERROR(__xludf.DUMMYFUNCTION("""COMPUTED_VALUE"""),"Cách làm đơn nghĩa vụ quân sự ?
Cách nộp tiền bảo hiểm nhanh nhất ?
Trường mình có hỗ trợ tìm kiếm việc làm cho sinh viên không ?
Cách nộp tiền giữ xe vào thẻ sinh viên ?
Cách làm đơn huỷ môn ?")</f>
        <v>Cách làm đơn nghĩa vụ quân sự ?
Cách nộp tiền bảo hiểm nhanh nhất ?
Trường mình có hỗ trợ tìm kiếm việc làm cho sinh viên không ?
Cách nộp tiền giữ xe vào thẻ sinh viên ?
Cách làm đơn huỷ môn ?</v>
      </c>
    </row>
    <row r="168" spans="1:8" ht="14.4">
      <c r="A168" s="22">
        <f ca="1">IFERROR(__xludf.DUMMYFUNCTION("""COMPUTED_VALUE"""),45383.7635440162)</f>
        <v>45383.763544016198</v>
      </c>
      <c r="B168" s="23" t="str">
        <f ca="1">IFERROR(__xludf.DUMMYFUNCTION("""COMPUTED_VALUE"""),"")</f>
        <v/>
      </c>
      <c r="C168" s="23" t="str">
        <f ca="1">IFERROR(__xludf.DUMMYFUNCTION("""COMPUTED_VALUE"""),"Lê Khôi")</f>
        <v>Lê Khôi</v>
      </c>
      <c r="D168" s="23" t="str">
        <f ca="1">IFERROR(__xludf.DUMMYFUNCTION("""COMPUTED_VALUE"""),"K27")</f>
        <v>K27</v>
      </c>
      <c r="E168" s="23" t="str">
        <f ca="1">IFERROR(__xludf.DUMMYFUNCTION("""COMPUTED_VALUE"""),"CMU - TPM")</f>
        <v>CMU - TPM</v>
      </c>
      <c r="F168" s="9" t="str">
        <f ca="1">IFERROR(__xludf.DUMMYFUNCTION("""COMPUTED_VALUE"""),"lộ trình học tập trong 4 năm")</f>
        <v>lộ trình học tập trong 4 năm</v>
      </c>
      <c r="G168" s="9">
        <f ca="1">IFERROR(__xludf.DUMMYFUNCTION("""COMPUTED_VALUE"""),4)</f>
        <v>4</v>
      </c>
      <c r="H168" s="9" t="str">
        <f ca="1">IFERROR(__xludf.DUMMYFUNCTION("""COMPUTED_VALUE"""),"cách nộp học phí
cách làm đơn học vượt
cách xin thực tập
cách đăng kí tín chỉ
cách học tiếng anh")</f>
        <v>cách nộp học phí
cách làm đơn học vượt
cách xin thực tập
cách đăng kí tín chỉ
cách học tiếng anh</v>
      </c>
    </row>
    <row r="169" spans="1:8" ht="14.4">
      <c r="A169" s="22">
        <f ca="1">IFERROR(__xludf.DUMMYFUNCTION("""COMPUTED_VALUE"""),45384.3953404282)</f>
        <v>45384.3953404282</v>
      </c>
      <c r="B169" s="23" t="str">
        <f ca="1">IFERROR(__xludf.DUMMYFUNCTION("""COMPUTED_VALUE"""),"")</f>
        <v/>
      </c>
      <c r="C169" s="23" t="str">
        <f ca="1">IFERROR(__xludf.DUMMYFUNCTION("""COMPUTED_VALUE"""),"Lê Văn Tri")</f>
        <v>Lê Văn Tri</v>
      </c>
      <c r="D169" s="23" t="str">
        <f ca="1">IFERROR(__xludf.DUMMYFUNCTION("""COMPUTED_VALUE"""),"K27")</f>
        <v>K27</v>
      </c>
      <c r="E169" s="23" t="str">
        <f ca="1">IFERROR(__xludf.DUMMYFUNCTION("""COMPUTED_VALUE"""),"CMU - TPM")</f>
        <v>CMU - TPM</v>
      </c>
      <c r="F169" s="9" t="str">
        <f ca="1">IFERROR(__xludf.DUMMYFUNCTION("""COMPUTED_VALUE"""),"Đánh giá rèn luyện")</f>
        <v>Đánh giá rèn luyện</v>
      </c>
      <c r="G169" s="9">
        <f ca="1">IFERROR(__xludf.DUMMYFUNCTION("""COMPUTED_VALUE"""),1)</f>
        <v>1</v>
      </c>
      <c r="H169" s="9" t="str">
        <f ca="1">IFERROR(__xludf.DUMMYFUNCTION("""COMPUTED_VALUE"""),"Cách tính điểm rèn luyện")</f>
        <v>Cách tính điểm rèn luyện</v>
      </c>
    </row>
    <row r="170" spans="1:8" ht="14.4">
      <c r="A170" s="22">
        <f ca="1">IFERROR(__xludf.DUMMYFUNCTION("""COMPUTED_VALUE"""),45384.3956461689)</f>
        <v>45384.395646168901</v>
      </c>
      <c r="B170" s="23" t="str">
        <f ca="1">IFERROR(__xludf.DUMMYFUNCTION("""COMPUTED_VALUE"""),"")</f>
        <v/>
      </c>
      <c r="C170" s="23" t="str">
        <f ca="1">IFERROR(__xludf.DUMMYFUNCTION("""COMPUTED_VALUE"""),"Lê Tấn Danh")</f>
        <v>Lê Tấn Danh</v>
      </c>
      <c r="D170" s="23" t="str">
        <f ca="1">IFERROR(__xludf.DUMMYFUNCTION("""COMPUTED_VALUE"""),"K27")</f>
        <v>K27</v>
      </c>
      <c r="E170" s="23" t="str">
        <f ca="1">IFERROR(__xludf.DUMMYFUNCTION("""COMPUTED_VALUE"""),"CMU - TPM")</f>
        <v>CMU - TPM</v>
      </c>
      <c r="F170" s="9"/>
      <c r="G170" s="9">
        <f ca="1">IFERROR(__xludf.DUMMYFUNCTION("""COMPUTED_VALUE"""),3)</f>
        <v>3</v>
      </c>
      <c r="H170" s="9" t="str">
        <f ca="1">IFERROR(__xludf.DUMMYFUNCTION("""COMPUTED_VALUE"""),"Cách kiếm điểm rèn luyện")</f>
        <v>Cách kiếm điểm rèn luyện</v>
      </c>
    </row>
    <row r="171" spans="1:8" ht="14.4">
      <c r="A171" s="22">
        <f ca="1">IFERROR(__xludf.DUMMYFUNCTION("""COMPUTED_VALUE"""),45384.3962259722)</f>
        <v>45384.396225972203</v>
      </c>
      <c r="B171" s="23" t="str">
        <f ca="1">IFERROR(__xludf.DUMMYFUNCTION("""COMPUTED_VALUE"""),"")</f>
        <v/>
      </c>
      <c r="C171" s="23" t="str">
        <f ca="1">IFERROR(__xludf.DUMMYFUNCTION("""COMPUTED_VALUE"""),"võ lê hữu thắng")</f>
        <v>võ lê hữu thắng</v>
      </c>
      <c r="D171" s="23" t="str">
        <f ca="1">IFERROR(__xludf.DUMMYFUNCTION("""COMPUTED_VALUE"""),"K27")</f>
        <v>K27</v>
      </c>
      <c r="E171" s="23" t="str">
        <f ca="1">IFERROR(__xludf.DUMMYFUNCTION("""COMPUTED_VALUE"""),"CMU - TPM")</f>
        <v>CMU - TPM</v>
      </c>
      <c r="F171" s="9" t="str">
        <f ca="1">IFERROR(__xludf.DUMMYFUNCTION("""COMPUTED_VALUE"""),"không có")</f>
        <v>không có</v>
      </c>
      <c r="G171" s="9">
        <f ca="1">IFERROR(__xludf.DUMMYFUNCTION("""COMPUTED_VALUE"""),4)</f>
        <v>4</v>
      </c>
      <c r="H171" s="9" t="str">
        <f ca="1">IFERROR(__xludf.DUMMYFUNCTION("""COMPUTED_VALUE"""),"không có")</f>
        <v>không có</v>
      </c>
    </row>
    <row r="172" spans="1:8" ht="14.4">
      <c r="A172" s="22">
        <f ca="1">IFERROR(__xludf.DUMMYFUNCTION("""COMPUTED_VALUE"""),45384.3971845138)</f>
        <v>45384.3971845138</v>
      </c>
      <c r="B172" s="23" t="str">
        <f ca="1">IFERROR(__xludf.DUMMYFUNCTION("""COMPUTED_VALUE"""),"")</f>
        <v/>
      </c>
      <c r="C172" s="23" t="str">
        <f ca="1">IFERROR(__xludf.DUMMYFUNCTION("""COMPUTED_VALUE"""),"Nguyễn Thành Nhân")</f>
        <v>Nguyễn Thành Nhân</v>
      </c>
      <c r="D172" s="23" t="str">
        <f ca="1">IFERROR(__xludf.DUMMYFUNCTION("""COMPUTED_VALUE"""),"K27")</f>
        <v>K27</v>
      </c>
      <c r="E172" s="23" t="str">
        <f ca="1">IFERROR(__xludf.DUMMYFUNCTION("""COMPUTED_VALUE"""),"CMU - TPM")</f>
        <v>CMU - TPM</v>
      </c>
      <c r="F172" s="9"/>
      <c r="G172" s="9">
        <f ca="1">IFERROR(__xludf.DUMMYFUNCTION("""COMPUTED_VALUE"""),2)</f>
        <v>2</v>
      </c>
      <c r="H172" s="9" t="str">
        <f ca="1">IFERROR(__xludf.DUMMYFUNCTION("""COMPUTED_VALUE"""),"Lúc nào thì trường mình áp dụng thẻ từ vào việc giữ xe ?
Có cách nào để khắc phục tình trạng kẹt xe ở cơ sở Hoà Khánh ?")</f>
        <v>Lúc nào thì trường mình áp dụng thẻ từ vào việc giữ xe ?
Có cách nào để khắc phục tình trạng kẹt xe ở cơ sở Hoà Khánh ?</v>
      </c>
    </row>
    <row r="173" spans="1:8" ht="14.4">
      <c r="A173" s="22">
        <f ca="1">IFERROR(__xludf.DUMMYFUNCTION("""COMPUTED_VALUE"""),45384.3976756365)</f>
        <v>45384.397675636501</v>
      </c>
      <c r="B173" s="23" t="str">
        <f ca="1">IFERROR(__xludf.DUMMYFUNCTION("""COMPUTED_VALUE"""),"")</f>
        <v/>
      </c>
      <c r="C173" s="23" t="str">
        <f ca="1">IFERROR(__xludf.DUMMYFUNCTION("""COMPUTED_VALUE"""),"Lê Văn Tri")</f>
        <v>Lê Văn Tri</v>
      </c>
      <c r="D173" s="23" t="str">
        <f ca="1">IFERROR(__xludf.DUMMYFUNCTION("""COMPUTED_VALUE"""),"K27")</f>
        <v>K27</v>
      </c>
      <c r="E173" s="23" t="str">
        <f ca="1">IFERROR(__xludf.DUMMYFUNCTION("""COMPUTED_VALUE"""),"CMU - TPM")</f>
        <v>CMU - TPM</v>
      </c>
      <c r="F173" s="9" t="str">
        <f ca="1">IFERROR(__xludf.DUMMYFUNCTION("""COMPUTED_VALUE"""),"Đánh giá rèn luyện")</f>
        <v>Đánh giá rèn luyện</v>
      </c>
      <c r="G173" s="9">
        <f ca="1">IFERROR(__xludf.DUMMYFUNCTION("""COMPUTED_VALUE"""),3)</f>
        <v>3</v>
      </c>
      <c r="H173" s="9" t="str">
        <f ca="1">IFERROR(__xludf.DUMMYFUNCTION("""COMPUTED_VALUE"""),"Cách làm đơn đăng ký tín chỉ ?")</f>
        <v>Cách làm đơn đăng ký tín chỉ ?</v>
      </c>
    </row>
    <row r="174" spans="1:8" ht="14.4">
      <c r="A174" s="22">
        <f ca="1">IFERROR(__xludf.DUMMYFUNCTION("""COMPUTED_VALUE"""),45384.3977462731)</f>
        <v>45384.397746273098</v>
      </c>
      <c r="B174" s="23" t="str">
        <f ca="1">IFERROR(__xludf.DUMMYFUNCTION("""COMPUTED_VALUE"""),"")</f>
        <v/>
      </c>
      <c r="C174" s="23" t="str">
        <f ca="1">IFERROR(__xludf.DUMMYFUNCTION("""COMPUTED_VALUE"""),"Lưu Văn Trường")</f>
        <v>Lưu Văn Trường</v>
      </c>
      <c r="D174" s="23" t="str">
        <f ca="1">IFERROR(__xludf.DUMMYFUNCTION("""COMPUTED_VALUE"""),"K27")</f>
        <v>K27</v>
      </c>
      <c r="E174" s="23" t="str">
        <f ca="1">IFERROR(__xludf.DUMMYFUNCTION("""COMPUTED_VALUE"""),"CMU - TPM")</f>
        <v>CMU - TPM</v>
      </c>
      <c r="F174" s="9"/>
      <c r="G174" s="9">
        <f ca="1">IFERROR(__xludf.DUMMYFUNCTION("""COMPUTED_VALUE"""),3)</f>
        <v>3</v>
      </c>
      <c r="H174" s="9" t="str">
        <f ca="1">IFERROR(__xludf.DUMMYFUNCTION("""COMPUTED_VALUE"""),"Những điều kiện để đủ tốt nghiệp ra trường")</f>
        <v>Những điều kiện để đủ tốt nghiệp ra trường</v>
      </c>
    </row>
    <row r="175" spans="1:8" ht="14.4">
      <c r="A175" s="22">
        <f ca="1">IFERROR(__xludf.DUMMYFUNCTION("""COMPUTED_VALUE"""),45384.3979818865)</f>
        <v>45384.397981886497</v>
      </c>
      <c r="B175" s="23" t="str">
        <f ca="1">IFERROR(__xludf.DUMMYFUNCTION("""COMPUTED_VALUE"""),"")</f>
        <v/>
      </c>
      <c r="C175" s="23" t="str">
        <f ca="1">IFERROR(__xludf.DUMMYFUNCTION("""COMPUTED_VALUE"""),"Lê Văn Phước Thịnh")</f>
        <v>Lê Văn Phước Thịnh</v>
      </c>
      <c r="D175" s="23" t="str">
        <f ca="1">IFERROR(__xludf.DUMMYFUNCTION("""COMPUTED_VALUE"""),"K27")</f>
        <v>K27</v>
      </c>
      <c r="E175" s="23" t="str">
        <f ca="1">IFERROR(__xludf.DUMMYFUNCTION("""COMPUTED_VALUE"""),"CMU - TPM")</f>
        <v>CMU - TPM</v>
      </c>
      <c r="F175" s="9" t="str">
        <f ca="1">IFERROR(__xludf.DUMMYFUNCTION("""COMPUTED_VALUE"""),"Tư vấn ngoài những lỗi trên trường có thể về học tập và tài liệu ")</f>
        <v xml:space="preserve">Tư vấn ngoài những lỗi trên trường có thể về học tập và tài liệu </v>
      </c>
      <c r="G175" s="9">
        <f ca="1">IFERROR(__xludf.DUMMYFUNCTION("""COMPUTED_VALUE"""),5)</f>
        <v>5</v>
      </c>
      <c r="H175" s="9" t="str">
        <f ca="1">IFERROR(__xludf.DUMMYFUNCTION("""COMPUTED_VALUE"""),"Học Phí , Tín chỉ và học vượt")</f>
        <v>Học Phí , Tín chỉ và học vượt</v>
      </c>
    </row>
    <row r="176" spans="1:8" ht="14.4">
      <c r="A176" s="22">
        <f ca="1">IFERROR(__xludf.DUMMYFUNCTION("""COMPUTED_VALUE"""),45384.3985164814)</f>
        <v>45384.3985164814</v>
      </c>
      <c r="B176" s="23" t="str">
        <f ca="1">IFERROR(__xludf.DUMMYFUNCTION("""COMPUTED_VALUE"""),"")</f>
        <v/>
      </c>
      <c r="C176" s="23" t="str">
        <f ca="1">IFERROR(__xludf.DUMMYFUNCTION("""COMPUTED_VALUE"""),"Hồ Phúc Hiếu ")</f>
        <v xml:space="preserve">Hồ Phúc Hiếu </v>
      </c>
      <c r="D176" s="23" t="str">
        <f ca="1">IFERROR(__xludf.DUMMYFUNCTION("""COMPUTED_VALUE"""),"K27")</f>
        <v>K27</v>
      </c>
      <c r="E176" s="23" t="str">
        <f ca="1">IFERROR(__xludf.DUMMYFUNCTION("""COMPUTED_VALUE"""),"CMU - TPM")</f>
        <v>CMU - TPM</v>
      </c>
      <c r="F176" s="9" t="str">
        <f ca="1">IFERROR(__xludf.DUMMYFUNCTION("""COMPUTED_VALUE"""),"Hỏi về hệ thống mydtu ")</f>
        <v xml:space="preserve">Hỏi về hệ thống mydtu </v>
      </c>
      <c r="G176" s="9">
        <f ca="1">IFERROR(__xludf.DUMMYFUNCTION("""COMPUTED_VALUE"""),5)</f>
        <v>5</v>
      </c>
      <c r="H176" s="9" t="str">
        <f ca="1">IFERROR(__xludf.DUMMYFUNCTION("""COMPUTED_VALUE"""),"Em muốn hỏi về phần đánh giá rèn luyện của năm 2021-2022 của năm 1 hiện tại không hiện thị trên hệ thống")</f>
        <v>Em muốn hỏi về phần đánh giá rèn luyện của năm 2021-2022 của năm 1 hiện tại không hiện thị trên hệ thống</v>
      </c>
    </row>
    <row r="177" spans="1:8" ht="14.4">
      <c r="A177" s="22">
        <f ca="1">IFERROR(__xludf.DUMMYFUNCTION("""COMPUTED_VALUE"""),45384.3986084722)</f>
        <v>45384.398608472198</v>
      </c>
      <c r="B177" s="23" t="str">
        <f ca="1">IFERROR(__xludf.DUMMYFUNCTION("""COMPUTED_VALUE"""),"")</f>
        <v/>
      </c>
      <c r="C177" s="23" t="str">
        <f ca="1">IFERROR(__xludf.DUMMYFUNCTION("""COMPUTED_VALUE"""),"Nguyễn Tấn Dũng")</f>
        <v>Nguyễn Tấn Dũng</v>
      </c>
      <c r="D177" s="23" t="str">
        <f ca="1">IFERROR(__xludf.DUMMYFUNCTION("""COMPUTED_VALUE"""),"K27")</f>
        <v>K27</v>
      </c>
      <c r="E177" s="23" t="str">
        <f ca="1">IFERROR(__xludf.DUMMYFUNCTION("""COMPUTED_VALUE"""),"CMU - TPM")</f>
        <v>CMU - TPM</v>
      </c>
      <c r="F177" s="9"/>
      <c r="G177" s="9">
        <f ca="1">IFERROR(__xludf.DUMMYFUNCTION("""COMPUTED_VALUE"""),5)</f>
        <v>5</v>
      </c>
      <c r="H177" s="9" t="str">
        <f ca="1">IFERROR(__xludf.DUMMYFUNCTION("""COMPUTED_VALUE"""),"- Cách để biết điểm ngoại khoá, và bao nhiêu điểm ngoại khoá là đủ yêu cầu.
")</f>
        <v xml:space="preserve">- Cách để biết điểm ngoại khoá, và bao nhiêu điểm ngoại khoá là đủ yêu cầu.
</v>
      </c>
    </row>
    <row r="178" spans="1:8" ht="14.4">
      <c r="A178" s="22">
        <f ca="1">IFERROR(__xludf.DUMMYFUNCTION("""COMPUTED_VALUE"""),45384.3986429745)</f>
        <v>45384.398642974498</v>
      </c>
      <c r="B178" s="23" t="str">
        <f ca="1">IFERROR(__xludf.DUMMYFUNCTION("""COMPUTED_VALUE"""),"")</f>
        <v/>
      </c>
      <c r="C178" s="23" t="str">
        <f ca="1">IFERROR(__xludf.DUMMYFUNCTION("""COMPUTED_VALUE"""),"Trần Quốc Thái")</f>
        <v>Trần Quốc Thái</v>
      </c>
      <c r="D178" s="23" t="str">
        <f ca="1">IFERROR(__xludf.DUMMYFUNCTION("""COMPUTED_VALUE"""),"K27")</f>
        <v>K27</v>
      </c>
      <c r="E178" s="23" t="str">
        <f ca="1">IFERROR(__xludf.DUMMYFUNCTION("""COMPUTED_VALUE"""),"CMU - TPM")</f>
        <v>CMU - TPM</v>
      </c>
      <c r="F178" s="9" t="str">
        <f ca="1">IFERROR(__xludf.DUMMYFUNCTION("""COMPUTED_VALUE"""),"Phổ biến về một số tính năng trong mydtu, giải đáp khúc mắc về giấy tờ")</f>
        <v>Phổ biến về một số tính năng trong mydtu, giải đáp khúc mắc về giấy tờ</v>
      </c>
      <c r="G178" s="9">
        <f ca="1">IFERROR(__xludf.DUMMYFUNCTION("""COMPUTED_VALUE"""),4)</f>
        <v>4</v>
      </c>
      <c r="H178" s="9" t="str">
        <f ca="1">IFERROR(__xludf.DUMMYFUNCTION("""COMPUTED_VALUE"""),"Cách đánh giá giảng viên?
Cách kiểm tra ví điện tử?")</f>
        <v>Cách đánh giá giảng viên?
Cách kiểm tra ví điện tử?</v>
      </c>
    </row>
    <row r="179" spans="1:8" ht="14.4">
      <c r="A179" s="22">
        <f ca="1">IFERROR(__xludf.DUMMYFUNCTION("""COMPUTED_VALUE"""),45384.3988470601)</f>
        <v>45384.398847060103</v>
      </c>
      <c r="B179" s="23" t="str">
        <f ca="1">IFERROR(__xludf.DUMMYFUNCTION("""COMPUTED_VALUE"""),"")</f>
        <v/>
      </c>
      <c r="C179" s="23" t="str">
        <f ca="1">IFERROR(__xludf.DUMMYFUNCTION("""COMPUTED_VALUE"""),"Đặng Văn Thời Đại")</f>
        <v>Đặng Văn Thời Đại</v>
      </c>
      <c r="D179" s="23" t="str">
        <f ca="1">IFERROR(__xludf.DUMMYFUNCTION("""COMPUTED_VALUE"""),"K27")</f>
        <v>K27</v>
      </c>
      <c r="E179" s="23" t="str">
        <f ca="1">IFERROR(__xludf.DUMMYFUNCTION("""COMPUTED_VALUE"""),"CMU - TPM")</f>
        <v>CMU - TPM</v>
      </c>
      <c r="F179" s="9" t="str">
        <f ca="1">IFERROR(__xludf.DUMMYFUNCTION("""COMPUTED_VALUE"""),"Các tính năng liên quan đến qua trình học")</f>
        <v>Các tính năng liên quan đến qua trình học</v>
      </c>
      <c r="G179" s="9">
        <f ca="1">IFERROR(__xludf.DUMMYFUNCTION("""COMPUTED_VALUE"""),5)</f>
        <v>5</v>
      </c>
      <c r="H179" s="9" t="str">
        <f ca="1">IFERROR(__xludf.DUMMYFUNCTION("""COMPUTED_VALUE"""),"Cách học vượt tiến độ")</f>
        <v>Cách học vượt tiến độ</v>
      </c>
    </row>
    <row r="180" spans="1:8" ht="14.4">
      <c r="A180" s="22">
        <f ca="1">IFERROR(__xludf.DUMMYFUNCTION("""COMPUTED_VALUE"""),45384.3988753009)</f>
        <v>45384.398875300903</v>
      </c>
      <c r="B180" s="23" t="str">
        <f ca="1">IFERROR(__xludf.DUMMYFUNCTION("""COMPUTED_VALUE"""),"")</f>
        <v/>
      </c>
      <c r="C180" s="23" t="str">
        <f ca="1">IFERROR(__xludf.DUMMYFUNCTION("""COMPUTED_VALUE"""),"Phan Công Khải")</f>
        <v>Phan Công Khải</v>
      </c>
      <c r="D180" s="23" t="str">
        <f ca="1">IFERROR(__xludf.DUMMYFUNCTION("""COMPUTED_VALUE"""),"K27")</f>
        <v>K27</v>
      </c>
      <c r="E180" s="23" t="str">
        <f ca="1">IFERROR(__xludf.DUMMYFUNCTION("""COMPUTED_VALUE"""),"CMU - TPM")</f>
        <v>CMU - TPM</v>
      </c>
      <c r="F180" s="9" t="str">
        <f ca="1">IFERROR(__xludf.DUMMYFUNCTION("""COMPUTED_VALUE"""),"Call video tới người tư vấn để gặp mặt trao đổi nhanh hơn")</f>
        <v>Call video tới người tư vấn để gặp mặt trao đổi nhanh hơn</v>
      </c>
      <c r="G180" s="9">
        <f ca="1">IFERROR(__xludf.DUMMYFUNCTION("""COMPUTED_VALUE"""),5)</f>
        <v>5</v>
      </c>
      <c r="H180" s="9" t="str">
        <f ca="1">IFERROR(__xludf.DUMMYFUNCTION("""COMPUTED_VALUE"""),"Khi nào bắt đầu thực tập được ?
Thực tập có cần phải nghỉ một thời gian tại lớp không ?
Thực tập ở một nơi khác được không ?
Thực tập sẽ ảnh hưởng tới quá trình học như thế nào ?
Thực tập trong khoảng thời gian bao lâu là được ?")</f>
        <v>Khi nào bắt đầu thực tập được ?
Thực tập có cần phải nghỉ một thời gian tại lớp không ?
Thực tập ở một nơi khác được không ?
Thực tập sẽ ảnh hưởng tới quá trình học như thế nào ?
Thực tập trong khoảng thời gian bao lâu là được ?</v>
      </c>
    </row>
    <row r="181" spans="1:8" ht="14.4">
      <c r="A181" s="22">
        <f ca="1">IFERROR(__xludf.DUMMYFUNCTION("""COMPUTED_VALUE"""),45384.3989732986)</f>
        <v>45384.398973298601</v>
      </c>
      <c r="B181" s="23" t="str">
        <f ca="1">IFERROR(__xludf.DUMMYFUNCTION("""COMPUTED_VALUE"""),"")</f>
        <v/>
      </c>
      <c r="C181" s="23" t="str">
        <f ca="1">IFERROR(__xludf.DUMMYFUNCTION("""COMPUTED_VALUE"""),"Nguyễn Đình Toàn")</f>
        <v>Nguyễn Đình Toàn</v>
      </c>
      <c r="D181" s="23" t="str">
        <f ca="1">IFERROR(__xludf.DUMMYFUNCTION("""COMPUTED_VALUE"""),"K27")</f>
        <v>K27</v>
      </c>
      <c r="E181" s="23" t="str">
        <f ca="1">IFERROR(__xludf.DUMMYFUNCTION("""COMPUTED_VALUE"""),"CMU - TPM")</f>
        <v>CMU - TPM</v>
      </c>
      <c r="F181" s="9"/>
      <c r="G181" s="9">
        <f ca="1">IFERROR(__xludf.DUMMYFUNCTION("""COMPUTED_VALUE"""),5)</f>
        <v>5</v>
      </c>
      <c r="H181" s="9" t="str">
        <f ca="1">IFERROR(__xludf.DUMMYFUNCTION("""COMPUTED_VALUE"""),"Cách tính điểm rèn luyện
Cách rút học bạ
Điểm rèn luyện cod tác dụng gì
Cách bảo lưu")</f>
        <v>Cách tính điểm rèn luyện
Cách rút học bạ
Điểm rèn luyện cod tác dụng gì
Cách bảo lưu</v>
      </c>
    </row>
    <row r="182" spans="1:8" ht="14.4">
      <c r="A182" s="22">
        <f ca="1">IFERROR(__xludf.DUMMYFUNCTION("""COMPUTED_VALUE"""),45384.3995842361)</f>
        <v>45384.399584236096</v>
      </c>
      <c r="B182" s="23" t="str">
        <f ca="1">IFERROR(__xludf.DUMMYFUNCTION("""COMPUTED_VALUE"""),"")</f>
        <v/>
      </c>
      <c r="C182" s="23" t="str">
        <f ca="1">IFERROR(__xludf.DUMMYFUNCTION("""COMPUTED_VALUE"""),"Nguyễn Thiện Lê Vũ")</f>
        <v>Nguyễn Thiện Lê Vũ</v>
      </c>
      <c r="D182" s="23" t="str">
        <f ca="1">IFERROR(__xludf.DUMMYFUNCTION("""COMPUTED_VALUE"""),"K27")</f>
        <v>K27</v>
      </c>
      <c r="E182" s="23" t="str">
        <f ca="1">IFERROR(__xludf.DUMMYFUNCTION("""COMPUTED_VALUE"""),"CMU - TPM")</f>
        <v>CMU - TPM</v>
      </c>
      <c r="F182" s="9" t="str">
        <f ca="1">IFERROR(__xludf.DUMMYFUNCTION("""COMPUTED_VALUE"""),"Tư vấn chọn ngành, hỗ trợ lập kế hoạch học tập cho sinh viên mới vào trường, hỗ trợ tìm kiếm việc làm hay thực tập cho sinh viên")</f>
        <v>Tư vấn chọn ngành, hỗ trợ lập kế hoạch học tập cho sinh viên mới vào trường, hỗ trợ tìm kiếm việc làm hay thực tập cho sinh viên</v>
      </c>
      <c r="G182" s="9">
        <f ca="1">IFERROR(__xludf.DUMMYFUNCTION("""COMPUTED_VALUE"""),4)</f>
        <v>4</v>
      </c>
      <c r="H182" s="9" t="str">
        <f ca="1">IFERROR(__xludf.DUMMYFUNCTION("""COMPUTED_VALUE"""),"Cách làm giấy tờ chuyển ngành ?
Cách làm giấy phúc khảo bài kiểm tra ?
Cách đăng kí học lại ?")</f>
        <v>Cách làm giấy tờ chuyển ngành ?
Cách làm giấy phúc khảo bài kiểm tra ?
Cách đăng kí học lại ?</v>
      </c>
    </row>
    <row r="183" spans="1:8" ht="14.4">
      <c r="A183" s="22">
        <f ca="1">IFERROR(__xludf.DUMMYFUNCTION("""COMPUTED_VALUE"""),45384.3996409374)</f>
        <v>45384.399640937401</v>
      </c>
      <c r="B183" s="23" t="str">
        <f ca="1">IFERROR(__xludf.DUMMYFUNCTION("""COMPUTED_VALUE"""),"")</f>
        <v/>
      </c>
      <c r="C183" s="23" t="str">
        <f ca="1">IFERROR(__xludf.DUMMYFUNCTION("""COMPUTED_VALUE"""),"Đặng Ngọc Hải")</f>
        <v>Đặng Ngọc Hải</v>
      </c>
      <c r="D183" s="23" t="str">
        <f ca="1">IFERROR(__xludf.DUMMYFUNCTION("""COMPUTED_VALUE"""),"K27")</f>
        <v>K27</v>
      </c>
      <c r="E183" s="23" t="str">
        <f ca="1">IFERROR(__xludf.DUMMYFUNCTION("""COMPUTED_VALUE"""),"CMU - TPM")</f>
        <v>CMU - TPM</v>
      </c>
      <c r="F183" s="9" t="str">
        <f ca="1">IFERROR(__xludf.DUMMYFUNCTION("""COMPUTED_VALUE"""),"tra cứu điểm đánh giá rèn luyện của sinh viên")</f>
        <v>tra cứu điểm đánh giá rèn luyện của sinh viên</v>
      </c>
      <c r="G183" s="9">
        <f ca="1">IFERROR(__xludf.DUMMYFUNCTION("""COMPUTED_VALUE"""),5)</f>
        <v>5</v>
      </c>
      <c r="H183" s="9" t="str">
        <f ca="1">IFERROR(__xludf.DUMMYFUNCTION("""COMPUTED_VALUE"""),"Cách tính điểm đánh giá rèn luyện?
Điểm rèn luyện có tác dụng gì?
Cách làm giấy bảo lưu?
Có cách nào làm tăng điểm rèn luyện?
")</f>
        <v xml:space="preserve">Cách tính điểm đánh giá rèn luyện?
Điểm rèn luyện có tác dụng gì?
Cách làm giấy bảo lưu?
Có cách nào làm tăng điểm rèn luyện?
</v>
      </c>
    </row>
    <row r="184" spans="1:8" ht="14.4" hidden="1">
      <c r="A184" s="22">
        <f ca="1">IFERROR(__xludf.DUMMYFUNCTION("""COMPUTED_VALUE"""),45384.3996801967)</f>
        <v>45384.399680196701</v>
      </c>
      <c r="B184" s="23" t="str">
        <f ca="1">IFERROR(__xludf.DUMMYFUNCTION("""COMPUTED_VALUE"""),"")</f>
        <v/>
      </c>
      <c r="C184" s="23" t="str">
        <f ca="1">IFERROR(__xludf.DUMMYFUNCTION("""COMPUTED_VALUE"""),"Nguyễn Nhật Thảo")</f>
        <v>Nguyễn Nhật Thảo</v>
      </c>
      <c r="D184" s="23" t="str">
        <f ca="1">IFERROR(__xludf.DUMMYFUNCTION("""COMPUTED_VALUE"""),"K27")</f>
        <v>K27</v>
      </c>
      <c r="E184" s="23" t="str">
        <f ca="1">IFERROR(__xludf.DUMMYFUNCTION("""COMPUTED_VALUE"""),"CMU - TPM")</f>
        <v>CMU - TPM</v>
      </c>
      <c r="F184" s="9"/>
      <c r="G184" s="9">
        <f ca="1">IFERROR(__xludf.DUMMYFUNCTION("""COMPUTED_VALUE"""),3)</f>
        <v>3</v>
      </c>
      <c r="H184" s="9" t="str">
        <f ca="1">IFERROR(__xludf.DUMMYFUNCTION("""COMPUTED_VALUE"""),"Cách nộp học phí, cách làm đơn đăng kí tín chỉ, cách bảo lưu điểm, cách làm đơn xin nộp học phí muộn, làm sao khi tài khoản mydtu bị khoá")</f>
        <v>Cách nộp học phí, cách làm đơn đăng kí tín chỉ, cách bảo lưu điểm, cách làm đơn xin nộp học phí muộn, làm sao khi tài khoản mydtu bị khoá</v>
      </c>
    </row>
    <row r="185" spans="1:8" ht="14.4">
      <c r="A185" s="22">
        <f ca="1">IFERROR(__xludf.DUMMYFUNCTION("""COMPUTED_VALUE"""),45384.3999752199)</f>
        <v>45384.399975219902</v>
      </c>
      <c r="B185" s="23" t="str">
        <f ca="1">IFERROR(__xludf.DUMMYFUNCTION("""COMPUTED_VALUE"""),"")</f>
        <v/>
      </c>
      <c r="C185" s="23" t="str">
        <f ca="1">IFERROR(__xludf.DUMMYFUNCTION("""COMPUTED_VALUE"""),"Huỳnh Khánh Dương")</f>
        <v>Huỳnh Khánh Dương</v>
      </c>
      <c r="D185" s="23" t="str">
        <f ca="1">IFERROR(__xludf.DUMMYFUNCTION("""COMPUTED_VALUE"""),"K27")</f>
        <v>K27</v>
      </c>
      <c r="E185" s="23" t="str">
        <f ca="1">IFERROR(__xludf.DUMMYFUNCTION("""COMPUTED_VALUE"""),"CMU - TPM")</f>
        <v>CMU - TPM</v>
      </c>
      <c r="F185" s="9"/>
      <c r="G185" s="9">
        <f ca="1">IFERROR(__xludf.DUMMYFUNCTION("""COMPUTED_VALUE"""),5)</f>
        <v>5</v>
      </c>
      <c r="H185" s="9" t="str">
        <f ca="1">IFERROR(__xludf.DUMMYFUNCTION("""COMPUTED_VALUE"""),"Cách đăng ký tín chỉ
Cách đánh giá rèn luyện
Cách nộp học phí
Cách qua môn
Cách học tập hiệu quả")</f>
        <v>Cách đăng ký tín chỉ
Cách đánh giá rèn luyện
Cách nộp học phí
Cách qua môn
Cách học tập hiệu quả</v>
      </c>
    </row>
    <row r="186" spans="1:8" ht="14.4">
      <c r="A186" s="22">
        <f ca="1">IFERROR(__xludf.DUMMYFUNCTION("""COMPUTED_VALUE"""),45384.4003115046)</f>
        <v>45384.4003115046</v>
      </c>
      <c r="B186" s="23" t="str">
        <f ca="1">IFERROR(__xludf.DUMMYFUNCTION("""COMPUTED_VALUE"""),"")</f>
        <v/>
      </c>
      <c r="C186" s="23" t="str">
        <f ca="1">IFERROR(__xludf.DUMMYFUNCTION("""COMPUTED_VALUE"""),"Trương Công Hữu")</f>
        <v>Trương Công Hữu</v>
      </c>
      <c r="D186" s="23" t="str">
        <f ca="1">IFERROR(__xludf.DUMMYFUNCTION("""COMPUTED_VALUE"""),"K27")</f>
        <v>K27</v>
      </c>
      <c r="E186" s="23" t="str">
        <f ca="1">IFERROR(__xludf.DUMMYFUNCTION("""COMPUTED_VALUE"""),"CMU - TPM")</f>
        <v>CMU - TPM</v>
      </c>
      <c r="F186" s="9" t="str">
        <f ca="1">IFERROR(__xludf.DUMMYFUNCTION("""COMPUTED_VALUE"""),"Gợi ý về phương pháp học tập, và các khóa học để bổ khuyết cho kiến thức sinh viên")</f>
        <v>Gợi ý về phương pháp học tập, và các khóa học để bổ khuyết cho kiến thức sinh viên</v>
      </c>
      <c r="G186" s="9">
        <f ca="1">IFERROR(__xludf.DUMMYFUNCTION("""COMPUTED_VALUE"""),4)</f>
        <v>4</v>
      </c>
      <c r="H186" s="9" t="str">
        <f ca="1">IFERROR(__xludf.DUMMYFUNCTION("""COMPUTED_VALUE"""),"- Cách đăng ký vượt tín chỉ?
- Nộp phí BHYT như thế nào?
- Nhà trường có giới thiệu nơi thực tập cho sinh viên hay không?
- Khi nào có thể tham gia khải sát tiếng anh đầu ra?
- Một nhóm capstone cần bao nhiêu thành viên?")</f>
        <v>- Cách đăng ký vượt tín chỉ?
- Nộp phí BHYT như thế nào?
- Nhà trường có giới thiệu nơi thực tập cho sinh viên hay không?
- Khi nào có thể tham gia khải sát tiếng anh đầu ra?
- Một nhóm capstone cần bao nhiêu thành viên?</v>
      </c>
    </row>
    <row r="187" spans="1:8" ht="14.4">
      <c r="A187" s="22">
        <f ca="1">IFERROR(__xludf.DUMMYFUNCTION("""COMPUTED_VALUE"""),45384.401138831)</f>
        <v>45384.401138831003</v>
      </c>
      <c r="B187" s="23" t="str">
        <f ca="1">IFERROR(__xludf.DUMMYFUNCTION("""COMPUTED_VALUE"""),"")</f>
        <v/>
      </c>
      <c r="C187" s="23" t="str">
        <f ca="1">IFERROR(__xludf.DUMMYFUNCTION("""COMPUTED_VALUE"""),"Nguyễn Văn Thiều")</f>
        <v>Nguyễn Văn Thiều</v>
      </c>
      <c r="D187" s="23" t="str">
        <f ca="1">IFERROR(__xludf.DUMMYFUNCTION("""COMPUTED_VALUE"""),"K27")</f>
        <v>K27</v>
      </c>
      <c r="E187" s="23" t="str">
        <f ca="1">IFERROR(__xludf.DUMMYFUNCTION("""COMPUTED_VALUE"""),"CMU - TPM")</f>
        <v>CMU - TPM</v>
      </c>
      <c r="F187" s="9" t="str">
        <f ca="1">IFERROR(__xludf.DUMMYFUNCTION("""COMPUTED_VALUE"""),"Cho phép và gợi ý những thông tin về cố vấn mà tôi muốn hỏi như gmail,sdt...")</f>
        <v>Cho phép và gợi ý những thông tin về cố vấn mà tôi muốn hỏi như gmail,sdt...</v>
      </c>
      <c r="G187" s="9">
        <f ca="1">IFERROR(__xludf.DUMMYFUNCTION("""COMPUTED_VALUE"""),5)</f>
        <v>5</v>
      </c>
      <c r="H187" s="9" t="str">
        <f ca="1">IFERROR(__xludf.DUMMYFUNCTION("""COMPUTED_VALUE"""),"Cách thức đánh giá điểm")</f>
        <v>Cách thức đánh giá điểm</v>
      </c>
    </row>
    <row r="188" spans="1:8" ht="14.4">
      <c r="A188" s="22">
        <f ca="1">IFERROR(__xludf.DUMMYFUNCTION("""COMPUTED_VALUE"""),45384.4016324189)</f>
        <v>45384.4016324189</v>
      </c>
      <c r="B188" s="23" t="str">
        <f ca="1">IFERROR(__xludf.DUMMYFUNCTION("""COMPUTED_VALUE"""),"")</f>
        <v/>
      </c>
      <c r="C188" s="23" t="str">
        <f ca="1">IFERROR(__xludf.DUMMYFUNCTION("""COMPUTED_VALUE"""),"Đặng Văn Nhớ")</f>
        <v>Đặng Văn Nhớ</v>
      </c>
      <c r="D188" s="23" t="str">
        <f ca="1">IFERROR(__xludf.DUMMYFUNCTION("""COMPUTED_VALUE"""),"K27")</f>
        <v>K27</v>
      </c>
      <c r="E188" s="23" t="str">
        <f ca="1">IFERROR(__xludf.DUMMYFUNCTION("""COMPUTED_VALUE"""),"CMU - TPM")</f>
        <v>CMU - TPM</v>
      </c>
      <c r="F188" s="9"/>
      <c r="G188" s="9">
        <f ca="1">IFERROR(__xludf.DUMMYFUNCTION("""COMPUTED_VALUE"""),2)</f>
        <v>2</v>
      </c>
      <c r="H188" s="9" t="str">
        <f ca="1">IFERROR(__xludf.DUMMYFUNCTION("""COMPUTED_VALUE"""),"Cách đăng kí tín chỉ ?
Cách nộp học phí online ? 
Cách làm việc nhóm như thế nào cho hiệu quả ? 
Cách học tập như thế nào cho hiệu quả ? 
Cách viết CV như thế nào là phù hợp để xin việc làm ?
")</f>
        <v xml:space="preserve">Cách đăng kí tín chỉ ?
Cách nộp học phí online ? 
Cách làm việc nhóm như thế nào cho hiệu quả ? 
Cách học tập như thế nào cho hiệu quả ? 
Cách viết CV như thế nào là phù hợp để xin việc làm ?
</v>
      </c>
    </row>
    <row r="189" spans="1:8" ht="14.4">
      <c r="A189" s="22">
        <f ca="1">IFERROR(__xludf.DUMMYFUNCTION("""COMPUTED_VALUE"""),45384.4022937962)</f>
        <v>45384.4022937962</v>
      </c>
      <c r="B189" s="23" t="str">
        <f ca="1">IFERROR(__xludf.DUMMYFUNCTION("""COMPUTED_VALUE"""),"")</f>
        <v/>
      </c>
      <c r="C189" s="23" t="str">
        <f ca="1">IFERROR(__xludf.DUMMYFUNCTION("""COMPUTED_VALUE"""),"Đặng Xuân Đông")</f>
        <v>Đặng Xuân Đông</v>
      </c>
      <c r="D189" s="23" t="str">
        <f ca="1">IFERROR(__xludf.DUMMYFUNCTION("""COMPUTED_VALUE"""),"K27")</f>
        <v>K27</v>
      </c>
      <c r="E189" s="23" t="str">
        <f ca="1">IFERROR(__xludf.DUMMYFUNCTION("""COMPUTED_VALUE"""),"CMU - TPM")</f>
        <v>CMU - TPM</v>
      </c>
      <c r="F189" s="9" t="str">
        <f ca="1">IFERROR(__xludf.DUMMYFUNCTION("""COMPUTED_VALUE"""),"Trả lời tự động, thường xuyên thông báo các việc quan trọng")</f>
        <v>Trả lời tự động, thường xuyên thông báo các việc quan trọng</v>
      </c>
      <c r="G189" s="9">
        <f ca="1">IFERROR(__xludf.DUMMYFUNCTION("""COMPUTED_VALUE"""),5)</f>
        <v>5</v>
      </c>
      <c r="H189" s="9" t="str">
        <f ca="1">IFERROR(__xludf.DUMMYFUNCTION("""COMPUTED_VALUE"""),"Cách làm đơn xin nộp học phí muộn?
Cách làm đơn vay tiền sinh viên?
Cách làm đơn học cải thiện?
Cách làm đơn đăng kí lại tín chỉ?
Cách đánh giá rèn luyện lại")</f>
        <v>Cách làm đơn xin nộp học phí muộn?
Cách làm đơn vay tiền sinh viên?
Cách làm đơn học cải thiện?
Cách làm đơn đăng kí lại tín chỉ?
Cách đánh giá rèn luyện lại</v>
      </c>
    </row>
    <row r="190" spans="1:8" ht="14.4">
      <c r="A190" s="22">
        <f ca="1">IFERROR(__xludf.DUMMYFUNCTION("""COMPUTED_VALUE"""),45384.4025620023)</f>
        <v>45384.402562002302</v>
      </c>
      <c r="B190" s="23" t="str">
        <f ca="1">IFERROR(__xludf.DUMMYFUNCTION("""COMPUTED_VALUE"""),"")</f>
        <v/>
      </c>
      <c r="C190" s="23" t="str">
        <f ca="1">IFERROR(__xludf.DUMMYFUNCTION("""COMPUTED_VALUE"""),"Trịnh Quý Thiện")</f>
        <v>Trịnh Quý Thiện</v>
      </c>
      <c r="D190" s="23" t="str">
        <f ca="1">IFERROR(__xludf.DUMMYFUNCTION("""COMPUTED_VALUE"""),"K27")</f>
        <v>K27</v>
      </c>
      <c r="E190" s="23" t="str">
        <f ca="1">IFERROR(__xludf.DUMMYFUNCTION("""COMPUTED_VALUE"""),"CMU - TPM")</f>
        <v>CMU - TPM</v>
      </c>
      <c r="F190" s="9"/>
      <c r="G190" s="9">
        <f ca="1">IFERROR(__xludf.DUMMYFUNCTION("""COMPUTED_VALUE"""),3)</f>
        <v>3</v>
      </c>
      <c r="H190" s="9" t="str">
        <f ca="1">IFERROR(__xludf.DUMMYFUNCTION("""COMPUTED_VALUE"""),"Cách làm đơn đăng ký học vượt?
Cách làm đơn xin trễ học phí? 
Cách làm lại thẻ sinh viên?
Điều kiện nhận học bổng?
Cách nộp học phí?")</f>
        <v>Cách làm đơn đăng ký học vượt?
Cách làm đơn xin trễ học phí? 
Cách làm lại thẻ sinh viên?
Điều kiện nhận học bổng?
Cách nộp học phí?</v>
      </c>
    </row>
    <row r="191" spans="1:8" ht="14.4">
      <c r="A191" s="22">
        <f ca="1">IFERROR(__xludf.DUMMYFUNCTION("""COMPUTED_VALUE"""),45384.4038331018)</f>
        <v>45384.403833101802</v>
      </c>
      <c r="B191" s="23" t="str">
        <f ca="1">IFERROR(__xludf.DUMMYFUNCTION("""COMPUTED_VALUE"""),"")</f>
        <v/>
      </c>
      <c r="C191" s="23" t="str">
        <f ca="1">IFERROR(__xludf.DUMMYFUNCTION("""COMPUTED_VALUE"""),"Trần Viết Thịnh")</f>
        <v>Trần Viết Thịnh</v>
      </c>
      <c r="D191" s="23" t="str">
        <f ca="1">IFERROR(__xludf.DUMMYFUNCTION("""COMPUTED_VALUE"""),"K27")</f>
        <v>K27</v>
      </c>
      <c r="E191" s="23" t="str">
        <f ca="1">IFERROR(__xludf.DUMMYFUNCTION("""COMPUTED_VALUE"""),"CMU - TPM")</f>
        <v>CMU - TPM</v>
      </c>
      <c r="F191" s="9" t="str">
        <f ca="1">IFERROR(__xludf.DUMMYFUNCTION("""COMPUTED_VALUE"""),"Học tập, nghiên cứu khoa học, lịch học")</f>
        <v>Học tập, nghiên cứu khoa học, lịch học</v>
      </c>
      <c r="G191" s="9">
        <f ca="1">IFERROR(__xludf.DUMMYFUNCTION("""COMPUTED_VALUE"""),5)</f>
        <v>5</v>
      </c>
      <c r="H191" s="9" t="str">
        <f ca="1">IFERROR(__xludf.DUMMYFUNCTION("""COMPUTED_VALUE"""),"Các chương trình nghiên cứu khoa học sắp tới?
Cách xin đơn nộp học phí muộn?
Những hoạt động thực tế trong khoa của mình?
Đầu ra khảo sát tiếng anh CMU?
Lợi ích khi tham gia nghiên cứu khoa học")</f>
        <v>Các chương trình nghiên cứu khoa học sắp tới?
Cách xin đơn nộp học phí muộn?
Những hoạt động thực tế trong khoa của mình?
Đầu ra khảo sát tiếng anh CMU?
Lợi ích khi tham gia nghiên cứu khoa học</v>
      </c>
    </row>
    <row r="192" spans="1:8" ht="14.4">
      <c r="A192" s="22">
        <f ca="1">IFERROR(__xludf.DUMMYFUNCTION("""COMPUTED_VALUE"""),45384.4061206597)</f>
        <v>45384.406120659703</v>
      </c>
      <c r="B192" s="23" t="str">
        <f ca="1">IFERROR(__xludf.DUMMYFUNCTION("""COMPUTED_VALUE"""),"")</f>
        <v/>
      </c>
      <c r="C192" s="23" t="str">
        <f ca="1">IFERROR(__xludf.DUMMYFUNCTION("""COMPUTED_VALUE"""),"nguyendaominhhien")</f>
        <v>nguyendaominhhien</v>
      </c>
      <c r="D192" s="23" t="str">
        <f ca="1">IFERROR(__xludf.DUMMYFUNCTION("""COMPUTED_VALUE"""),"K29")</f>
        <v>K29</v>
      </c>
      <c r="E192" s="23" t="str">
        <f ca="1">IFERROR(__xludf.DUMMYFUNCTION("""COMPUTED_VALUE"""),"CMU - TAM")</f>
        <v>CMU - TAM</v>
      </c>
      <c r="F192" s="9" t="str">
        <f ca="1">IFERROR(__xludf.DUMMYFUNCTION("""COMPUTED_VALUE"""),"Em ko biết nữa")</f>
        <v>Em ko biết nữa</v>
      </c>
      <c r="G192" s="9">
        <f ca="1">IFERROR(__xludf.DUMMYFUNCTION("""COMPUTED_VALUE"""),1)</f>
        <v>1</v>
      </c>
      <c r="H192" s="9" t="str">
        <f ca="1">IFERROR(__xludf.DUMMYFUNCTION("""COMPUTED_VALUE"""),"Em ko có câu hỏi nào cả")</f>
        <v>Em ko có câu hỏi nào cả</v>
      </c>
    </row>
    <row r="193" spans="1:8" ht="14.4">
      <c r="A193" s="22">
        <f ca="1">IFERROR(__xludf.DUMMYFUNCTION("""COMPUTED_VALUE"""),45384.4072954282)</f>
        <v>45384.407295428202</v>
      </c>
      <c r="B193" s="23" t="str">
        <f ca="1">IFERROR(__xludf.DUMMYFUNCTION("""COMPUTED_VALUE"""),"")</f>
        <v/>
      </c>
      <c r="C193" s="23" t="str">
        <f ca="1">IFERROR(__xludf.DUMMYFUNCTION("""COMPUTED_VALUE"""),"Lê Hải Duy")</f>
        <v>Lê Hải Duy</v>
      </c>
      <c r="D193" s="23" t="str">
        <f ca="1">IFERROR(__xludf.DUMMYFUNCTION("""COMPUTED_VALUE"""),"K27")</f>
        <v>K27</v>
      </c>
      <c r="E193" s="23" t="str">
        <f ca="1">IFERROR(__xludf.DUMMYFUNCTION("""COMPUTED_VALUE"""),"CMU - TPM")</f>
        <v>CMU - TPM</v>
      </c>
      <c r="F193" s="9" t="str">
        <f ca="1">IFERROR(__xludf.DUMMYFUNCTION("""COMPUTED_VALUE"""),"Hẹn lịch gặp trực tiếp để kí đơn, Cập nhật danh sách sinh viên lớp sinh hoạt, thông báo sự kiện của trường và khoa qua gmail")</f>
        <v>Hẹn lịch gặp trực tiếp để kí đơn, Cập nhật danh sách sinh viên lớp sinh hoạt, thông báo sự kiện của trường và khoa qua gmail</v>
      </c>
      <c r="G193" s="9">
        <f ca="1">IFERROR(__xludf.DUMMYFUNCTION("""COMPUTED_VALUE"""),5)</f>
        <v>5</v>
      </c>
      <c r="H193" s="9" t="str">
        <f ca="1">IFERROR(__xludf.DUMMYFUNCTION("""COMPUTED_VALUE"""),"Cách nộp BHYT khi quá hạn thông báo?
Cách nhận thẻ BHYT?
Cách đăng ký học vượt?
Cách đăng ký mở lớp của môn học?
Học lực xuất sắc, giỏi, khá, trung bình, kém tương ứng GPA bao nhiêu?
Điều kiện để qua môn học?")</f>
        <v>Cách nộp BHYT khi quá hạn thông báo?
Cách nhận thẻ BHYT?
Cách đăng ký học vượt?
Cách đăng ký mở lớp của môn học?
Học lực xuất sắc, giỏi, khá, trung bình, kém tương ứng GPA bao nhiêu?
Điều kiện để qua môn học?</v>
      </c>
    </row>
    <row r="194" spans="1:8" ht="14.4">
      <c r="A194" s="22">
        <f ca="1">IFERROR(__xludf.DUMMYFUNCTION("""COMPUTED_VALUE"""),45384.4079728125)</f>
        <v>45384.4079728125</v>
      </c>
      <c r="B194" s="23" t="str">
        <f ca="1">IFERROR(__xludf.DUMMYFUNCTION("""COMPUTED_VALUE"""),"")</f>
        <v/>
      </c>
      <c r="C194" s="23" t="str">
        <f ca="1">IFERROR(__xludf.DUMMYFUNCTION("""COMPUTED_VALUE"""),"Võ Duy Hùng")</f>
        <v>Võ Duy Hùng</v>
      </c>
      <c r="D194" s="23" t="str">
        <f ca="1">IFERROR(__xludf.DUMMYFUNCTION("""COMPUTED_VALUE"""),"K27")</f>
        <v>K27</v>
      </c>
      <c r="E194" s="23" t="str">
        <f ca="1">IFERROR(__xludf.DUMMYFUNCTION("""COMPUTED_VALUE"""),"CMU - TPM")</f>
        <v>CMU - TPM</v>
      </c>
      <c r="F194" s="9"/>
      <c r="G194" s="9">
        <f ca="1">IFERROR(__xludf.DUMMYFUNCTION("""COMPUTED_VALUE"""),4)</f>
        <v>4</v>
      </c>
      <c r="H194" s="9" t="str">
        <f ca="1">IFERROR(__xludf.DUMMYFUNCTION("""COMPUTED_VALUE"""),"Đăng ký học vượt
Cách làm đơn đăng ký tín chỉ
Sinh viên tốt nghiệp loại nào thì được lên bục nhận bằng 
Hổ trợ thực tập cho sinh viên CMU
Đầu ra tiếng anh của chuẩn cmu")</f>
        <v>Đăng ký học vượt
Cách làm đơn đăng ký tín chỉ
Sinh viên tốt nghiệp loại nào thì được lên bục nhận bằng 
Hổ trợ thực tập cho sinh viên CMU
Đầu ra tiếng anh của chuẩn cmu</v>
      </c>
    </row>
    <row r="195" spans="1:8" ht="14.4">
      <c r="A195" s="22">
        <f ca="1">IFERROR(__xludf.DUMMYFUNCTION("""COMPUTED_VALUE"""),45384.5521589467)</f>
        <v>45384.552158946703</v>
      </c>
      <c r="B195" s="23" t="str">
        <f ca="1">IFERROR(__xludf.DUMMYFUNCTION("""COMPUTED_VALUE"""),"")</f>
        <v/>
      </c>
      <c r="C195" s="23" t="str">
        <f ca="1">IFERROR(__xludf.DUMMYFUNCTION("""COMPUTED_VALUE"""),"Trần văn gia huy")</f>
        <v>Trần văn gia huy</v>
      </c>
      <c r="D195" s="23" t="str">
        <f ca="1">IFERROR(__xludf.DUMMYFUNCTION("""COMPUTED_VALUE"""),"K29")</f>
        <v>K29</v>
      </c>
      <c r="E195" s="23" t="str">
        <f ca="1">IFERROR(__xludf.DUMMYFUNCTION("""COMPUTED_VALUE"""),"CMU - TAM")</f>
        <v>CMU - TAM</v>
      </c>
      <c r="F195" s="9" t="str">
        <f ca="1">IFERROR(__xludf.DUMMYFUNCTION("""COMPUTED_VALUE"""),"Trả lời câu hỏi trên lớp")</f>
        <v>Trả lời câu hỏi trên lớp</v>
      </c>
      <c r="G195" s="9">
        <f ca="1">IFERROR(__xludf.DUMMYFUNCTION("""COMPUTED_VALUE"""),5)</f>
        <v>5</v>
      </c>
      <c r="H195" s="9" t="str">
        <f ca="1">IFERROR(__xludf.DUMMYFUNCTION("""COMPUTED_VALUE"""),"Cách mua bảo hiểm y tế")</f>
        <v>Cách mua bảo hiểm y tế</v>
      </c>
    </row>
    <row r="196" spans="1:8" ht="14.4">
      <c r="A196" s="22">
        <f ca="1">IFERROR(__xludf.DUMMYFUNCTION("""COMPUTED_VALUE"""),45384.552490787)</f>
        <v>45384.552490786999</v>
      </c>
      <c r="B196" s="23" t="str">
        <f ca="1">IFERROR(__xludf.DUMMYFUNCTION("""COMPUTED_VALUE"""),"")</f>
        <v/>
      </c>
      <c r="C196" s="23" t="str">
        <f ca="1">IFERROR(__xludf.DUMMYFUNCTION("""COMPUTED_VALUE"""),"Trần Đình Tuấn ")</f>
        <v xml:space="preserve">Trần Đình Tuấn </v>
      </c>
      <c r="D196" s="23" t="str">
        <f ca="1">IFERROR(__xludf.DUMMYFUNCTION("""COMPUTED_VALUE"""),"K29")</f>
        <v>K29</v>
      </c>
      <c r="E196" s="23" t="str">
        <f ca="1">IFERROR(__xludf.DUMMYFUNCTION("""COMPUTED_VALUE"""),"CMU - TAM")</f>
        <v>CMU - TAM</v>
      </c>
      <c r="F196" s="9"/>
      <c r="G196" s="9">
        <f ca="1">IFERROR(__xludf.DUMMYFUNCTION("""COMPUTED_VALUE"""),4)</f>
        <v>4</v>
      </c>
      <c r="H196" s="9" t="str">
        <f ca="1">IFERROR(__xludf.DUMMYFUNCTION("""COMPUTED_VALUE"""),"không có")</f>
        <v>không có</v>
      </c>
    </row>
    <row r="197" spans="1:8" ht="14.4">
      <c r="A197" s="22">
        <f ca="1">IFERROR(__xludf.DUMMYFUNCTION("""COMPUTED_VALUE"""),45384.5526833912)</f>
        <v>45384.552683391201</v>
      </c>
      <c r="B197" s="23" t="str">
        <f ca="1">IFERROR(__xludf.DUMMYFUNCTION("""COMPUTED_VALUE"""),"")</f>
        <v/>
      </c>
      <c r="C197" s="23" t="str">
        <f ca="1">IFERROR(__xludf.DUMMYFUNCTION("""COMPUTED_VALUE"""),"Nguyễn Tấn Phát")</f>
        <v>Nguyễn Tấn Phát</v>
      </c>
      <c r="D197" s="23" t="str">
        <f ca="1">IFERROR(__xludf.DUMMYFUNCTION("""COMPUTED_VALUE"""),"K29")</f>
        <v>K29</v>
      </c>
      <c r="E197" s="23" t="str">
        <f ca="1">IFERROR(__xludf.DUMMYFUNCTION("""COMPUTED_VALUE"""),"CMU - TAM")</f>
        <v>CMU - TAM</v>
      </c>
      <c r="F197" s="9"/>
      <c r="G197" s="9">
        <f ca="1">IFERROR(__xludf.DUMMYFUNCTION("""COMPUTED_VALUE"""),3)</f>
        <v>3</v>
      </c>
      <c r="H197" s="9" t="str">
        <f ca="1">IFERROR(__xludf.DUMMYFUNCTION("""COMPUTED_VALUE"""),"cách làm thẻ xe
")</f>
        <v xml:space="preserve">cách làm thẻ xe
</v>
      </c>
    </row>
    <row r="198" spans="1:8" ht="14.4">
      <c r="A198" s="22">
        <f ca="1">IFERROR(__xludf.DUMMYFUNCTION("""COMPUTED_VALUE"""),45384.552726574)</f>
        <v>45384.552726574002</v>
      </c>
      <c r="B198" s="23" t="str">
        <f ca="1">IFERROR(__xludf.DUMMYFUNCTION("""COMPUTED_VALUE"""),"")</f>
        <v/>
      </c>
      <c r="C198" s="23" t="str">
        <f ca="1">IFERROR(__xludf.DUMMYFUNCTION("""COMPUTED_VALUE"""),"Trần Minh Bảo Trường")</f>
        <v>Trần Minh Bảo Trường</v>
      </c>
      <c r="D198" s="23" t="str">
        <f ca="1">IFERROR(__xludf.DUMMYFUNCTION("""COMPUTED_VALUE"""),"K29")</f>
        <v>K29</v>
      </c>
      <c r="E198" s="23" t="str">
        <f ca="1">IFERROR(__xludf.DUMMYFUNCTION("""COMPUTED_VALUE"""),"CMU - TAM")</f>
        <v>CMU - TAM</v>
      </c>
      <c r="F198" s="9" t="str">
        <f ca="1">IFERROR(__xludf.DUMMYFUNCTION("""COMPUTED_VALUE"""),"hỏi 24/7")</f>
        <v>hỏi 24/7</v>
      </c>
      <c r="G198" s="9">
        <f ca="1">IFERROR(__xludf.DUMMYFUNCTION("""COMPUTED_VALUE"""),5)</f>
        <v>5</v>
      </c>
      <c r="H198" s="9" t="str">
        <f ca="1">IFERROR(__xludf.DUMMYFUNCTION("""COMPUTED_VALUE"""),"cách tự học để học tốt các môn học")</f>
        <v>cách tự học để học tốt các môn học</v>
      </c>
    </row>
    <row r="199" spans="1:8" ht="14.4">
      <c r="A199" s="22">
        <f ca="1">IFERROR(__xludf.DUMMYFUNCTION("""COMPUTED_VALUE"""),45384.5527875578)</f>
        <v>45384.552787557797</v>
      </c>
      <c r="B199" s="23" t="str">
        <f ca="1">IFERROR(__xludf.DUMMYFUNCTION("""COMPUTED_VALUE"""),"")</f>
        <v/>
      </c>
      <c r="C199" s="23" t="str">
        <f ca="1">IFERROR(__xludf.DUMMYFUNCTION("""COMPUTED_VALUE"""),"Đoàn Đình Vân")</f>
        <v>Đoàn Đình Vân</v>
      </c>
      <c r="D199" s="23" t="str">
        <f ca="1">IFERROR(__xludf.DUMMYFUNCTION("""COMPUTED_VALUE"""),"K29")</f>
        <v>K29</v>
      </c>
      <c r="E199" s="23" t="str">
        <f ca="1">IFERROR(__xludf.DUMMYFUNCTION("""COMPUTED_VALUE"""),"CMU - TAM")</f>
        <v>CMU - TAM</v>
      </c>
      <c r="F199" s="9" t="str">
        <f ca="1">IFERROR(__xludf.DUMMYFUNCTION("""COMPUTED_VALUE"""),"Không có")</f>
        <v>Không có</v>
      </c>
      <c r="G199" s="9">
        <f ca="1">IFERROR(__xludf.DUMMYFUNCTION("""COMPUTED_VALUE"""),5)</f>
        <v>5</v>
      </c>
      <c r="H199" s="9" t="str">
        <f ca="1">IFERROR(__xludf.DUMMYFUNCTION("""COMPUTED_VALUE"""),"Không có")</f>
        <v>Không có</v>
      </c>
    </row>
    <row r="200" spans="1:8" ht="14.4">
      <c r="A200" s="22">
        <f ca="1">IFERROR(__xludf.DUMMYFUNCTION("""COMPUTED_VALUE"""),45384.5528113194)</f>
        <v>45384.552811319401</v>
      </c>
      <c r="B200" s="23" t="str">
        <f ca="1">IFERROR(__xludf.DUMMYFUNCTION("""COMPUTED_VALUE"""),"")</f>
        <v/>
      </c>
      <c r="C200" s="23" t="str">
        <f ca="1">IFERROR(__xludf.DUMMYFUNCTION("""COMPUTED_VALUE"""),"Lê Thái Dương ")</f>
        <v xml:space="preserve">Lê Thái Dương </v>
      </c>
      <c r="D200" s="23" t="str">
        <f ca="1">IFERROR(__xludf.DUMMYFUNCTION("""COMPUTED_VALUE"""),"K29")</f>
        <v>K29</v>
      </c>
      <c r="E200" s="23" t="str">
        <f ca="1">IFERROR(__xludf.DUMMYFUNCTION("""COMPUTED_VALUE"""),"CMU - TAM")</f>
        <v>CMU - TAM</v>
      </c>
      <c r="F200" s="9" t="str">
        <f ca="1">IFERROR(__xludf.DUMMYFUNCTION("""COMPUTED_VALUE"""),"Tự động trả lời")</f>
        <v>Tự động trả lời</v>
      </c>
      <c r="G200" s="9">
        <f ca="1">IFERROR(__xludf.DUMMYFUNCTION("""COMPUTED_VALUE"""),5)</f>
        <v>5</v>
      </c>
      <c r="H200" s="9" t="str">
        <f ca="1">IFERROR(__xludf.DUMMYFUNCTION("""COMPUTED_VALUE"""),"Cách đăng kí tín chỉ")</f>
        <v>Cách đăng kí tín chỉ</v>
      </c>
    </row>
    <row r="201" spans="1:8" ht="14.4">
      <c r="A201" s="22">
        <f ca="1">IFERROR(__xludf.DUMMYFUNCTION("""COMPUTED_VALUE"""),45384.552818912)</f>
        <v>45384.552818912001</v>
      </c>
      <c r="B201" s="23" t="str">
        <f ca="1">IFERROR(__xludf.DUMMYFUNCTION("""COMPUTED_VALUE"""),"")</f>
        <v/>
      </c>
      <c r="C201" s="23" t="str">
        <f ca="1">IFERROR(__xludf.DUMMYFUNCTION("""COMPUTED_VALUE"""),"Mlô Tây Nguyên")</f>
        <v>Mlô Tây Nguyên</v>
      </c>
      <c r="D201" s="23" t="str">
        <f ca="1">IFERROR(__xludf.DUMMYFUNCTION("""COMPUTED_VALUE"""),"K29")</f>
        <v>K29</v>
      </c>
      <c r="E201" s="23" t="str">
        <f ca="1">IFERROR(__xludf.DUMMYFUNCTION("""COMPUTED_VALUE"""),"CMU - TAM")</f>
        <v>CMU - TAM</v>
      </c>
      <c r="F201" s="9"/>
      <c r="G201" s="9">
        <f ca="1">IFERROR(__xludf.DUMMYFUNCTION("""COMPUTED_VALUE"""),5)</f>
        <v>5</v>
      </c>
      <c r="H201" s="9" t="str">
        <f ca="1">IFERROR(__xludf.DUMMYFUNCTION("""COMPUTED_VALUE"""),"Cách đăng kí tín chỉ, khoa quốc tế có tự xếp học phí cho học sinh không ?")</f>
        <v>Cách đăng kí tín chỉ, khoa quốc tế có tự xếp học phí cho học sinh không ?</v>
      </c>
    </row>
    <row r="202" spans="1:8" ht="14.4">
      <c r="A202" s="22">
        <f ca="1">IFERROR(__xludf.DUMMYFUNCTION("""COMPUTED_VALUE"""),45384.5528260532)</f>
        <v>45384.552826053201</v>
      </c>
      <c r="B202" s="23" t="str">
        <f ca="1">IFERROR(__xludf.DUMMYFUNCTION("""COMPUTED_VALUE"""),"")</f>
        <v/>
      </c>
      <c r="C202" s="23" t="str">
        <f ca="1">IFERROR(__xludf.DUMMYFUNCTION("""COMPUTED_VALUE"""),"Trương đức Quảng ")</f>
        <v xml:space="preserve">Trương đức Quảng </v>
      </c>
      <c r="D202" s="23" t="str">
        <f ca="1">IFERROR(__xludf.DUMMYFUNCTION("""COMPUTED_VALUE"""),"K29")</f>
        <v>K29</v>
      </c>
      <c r="E202" s="23" t="str">
        <f ca="1">IFERROR(__xludf.DUMMYFUNCTION("""COMPUTED_VALUE"""),"CMU - TAM")</f>
        <v>CMU - TAM</v>
      </c>
      <c r="F202" s="9" t="str">
        <f ca="1">IFERROR(__xludf.DUMMYFUNCTION("""COMPUTED_VALUE"""),"Hazza")</f>
        <v>Hazza</v>
      </c>
      <c r="G202" s="9">
        <f ca="1">IFERROR(__xludf.DUMMYFUNCTION("""COMPUTED_VALUE"""),5)</f>
        <v>5</v>
      </c>
      <c r="H202" s="9" t="str">
        <f ca="1">IFERROR(__xludf.DUMMYFUNCTION("""COMPUTED_VALUE"""),"Why")</f>
        <v>Why</v>
      </c>
    </row>
    <row r="203" spans="1:8" ht="14.4">
      <c r="A203" s="22">
        <f ca="1">IFERROR(__xludf.DUMMYFUNCTION("""COMPUTED_VALUE"""),45384.5529146064)</f>
        <v>45384.5529146064</v>
      </c>
      <c r="B203" s="23" t="str">
        <f ca="1">IFERROR(__xludf.DUMMYFUNCTION("""COMPUTED_VALUE"""),"")</f>
        <v/>
      </c>
      <c r="C203" s="23" t="str">
        <f ca="1">IFERROR(__xludf.DUMMYFUNCTION("""COMPUTED_VALUE"""),"Hà Phước Thành Đạt")</f>
        <v>Hà Phước Thành Đạt</v>
      </c>
      <c r="D203" s="23" t="str">
        <f ca="1">IFERROR(__xludf.DUMMYFUNCTION("""COMPUTED_VALUE"""),"K29")</f>
        <v>K29</v>
      </c>
      <c r="E203" s="23" t="str">
        <f ca="1">IFERROR(__xludf.DUMMYFUNCTION("""COMPUTED_VALUE"""),"CMU - TAM")</f>
        <v>CMU - TAM</v>
      </c>
      <c r="F203" s="9"/>
      <c r="G203" s="9">
        <f ca="1">IFERROR(__xludf.DUMMYFUNCTION("""COMPUTED_VALUE"""),5)</f>
        <v>5</v>
      </c>
      <c r="H203" s="9" t="str">
        <f ca="1">IFERROR(__xludf.DUMMYFUNCTION("""COMPUTED_VALUE"""),"Thầy bao nhiêu tuổi
Thầy làm nghề được mấy năm
Đánh giá rèn luyện thế nào
")</f>
        <v xml:space="preserve">Thầy bao nhiêu tuổi
Thầy làm nghề được mấy năm
Đánh giá rèn luyện thế nào
</v>
      </c>
    </row>
    <row r="204" spans="1:8" ht="14.4">
      <c r="A204" s="22">
        <f ca="1">IFERROR(__xludf.DUMMYFUNCTION("""COMPUTED_VALUE"""),45384.5532547569)</f>
        <v>45384.553254756902</v>
      </c>
      <c r="B204" s="23" t="str">
        <f ca="1">IFERROR(__xludf.DUMMYFUNCTION("""COMPUTED_VALUE"""),"")</f>
        <v/>
      </c>
      <c r="C204" s="23" t="str">
        <f ca="1">IFERROR(__xludf.DUMMYFUNCTION("""COMPUTED_VALUE"""),"Nguyễn Văn Bảo Khánh ")</f>
        <v xml:space="preserve">Nguyễn Văn Bảo Khánh </v>
      </c>
      <c r="D204" s="23" t="str">
        <f ca="1">IFERROR(__xludf.DUMMYFUNCTION("""COMPUTED_VALUE"""),"K29")</f>
        <v>K29</v>
      </c>
      <c r="E204" s="23" t="str">
        <f ca="1">IFERROR(__xludf.DUMMYFUNCTION("""COMPUTED_VALUE"""),"CMU - TAM")</f>
        <v>CMU - TAM</v>
      </c>
      <c r="F204" s="9" t="str">
        <f ca="1">IFERROR(__xludf.DUMMYFUNCTION("""COMPUTED_VALUE"""),"Ko")</f>
        <v>Ko</v>
      </c>
      <c r="G204" s="9">
        <f ca="1">IFERROR(__xludf.DUMMYFUNCTION("""COMPUTED_VALUE"""),5)</f>
        <v>5</v>
      </c>
      <c r="H204" s="9" t="str">
        <f ca="1">IFERROR(__xludf.DUMMYFUNCTION("""COMPUTED_VALUE"""),"Ko")</f>
        <v>Ko</v>
      </c>
    </row>
    <row r="205" spans="1:8" ht="14.4">
      <c r="A205" s="22">
        <f ca="1">IFERROR(__xludf.DUMMYFUNCTION("""COMPUTED_VALUE"""),45384.5533124884)</f>
        <v>45384.553312488402</v>
      </c>
      <c r="B205" s="23" t="str">
        <f ca="1">IFERROR(__xludf.DUMMYFUNCTION("""COMPUTED_VALUE"""),"")</f>
        <v/>
      </c>
      <c r="C205" s="23" t="str">
        <f ca="1">IFERROR(__xludf.DUMMYFUNCTION("""COMPUTED_VALUE"""),"Chu Thế Anh")</f>
        <v>Chu Thế Anh</v>
      </c>
      <c r="D205" s="23" t="str">
        <f ca="1">IFERROR(__xludf.DUMMYFUNCTION("""COMPUTED_VALUE"""),"K29")</f>
        <v>K29</v>
      </c>
      <c r="E205" s="23" t="str">
        <f ca="1">IFERROR(__xludf.DUMMYFUNCTION("""COMPUTED_VALUE"""),"CMU - TAM")</f>
        <v>CMU - TAM</v>
      </c>
      <c r="F205" s="9" t="str">
        <f ca="1">IFERROR(__xludf.DUMMYFUNCTION("""COMPUTED_VALUE"""),"Tra cứu thông tin và cung cấp thông tin chi tiết")</f>
        <v>Tra cứu thông tin và cung cấp thông tin chi tiết</v>
      </c>
      <c r="G205" s="9">
        <f ca="1">IFERROR(__xludf.DUMMYFUNCTION("""COMPUTED_VALUE"""),3)</f>
        <v>3</v>
      </c>
      <c r="H205" s="9" t="str">
        <f ca="1">IFERROR(__xludf.DUMMYFUNCTION("""COMPUTED_VALUE"""),"1.Cách đăng ký tín chỉ?")</f>
        <v>1.Cách đăng ký tín chỉ?</v>
      </c>
    </row>
    <row r="206" spans="1:8" ht="14.4">
      <c r="A206" s="22">
        <f ca="1">IFERROR(__xludf.DUMMYFUNCTION("""COMPUTED_VALUE"""),45384.5533517476)</f>
        <v>45384.5533517476</v>
      </c>
      <c r="B206" s="23" t="str">
        <f ca="1">IFERROR(__xludf.DUMMYFUNCTION("""COMPUTED_VALUE"""),"")</f>
        <v/>
      </c>
      <c r="C206" s="23" t="str">
        <f ca="1">IFERROR(__xludf.DUMMYFUNCTION("""COMPUTED_VALUE"""),"Võ Văn Anh Kiệt")</f>
        <v>Võ Văn Anh Kiệt</v>
      </c>
      <c r="D206" s="23" t="str">
        <f ca="1">IFERROR(__xludf.DUMMYFUNCTION("""COMPUTED_VALUE"""),"K29")</f>
        <v>K29</v>
      </c>
      <c r="E206" s="23" t="str">
        <f ca="1">IFERROR(__xludf.DUMMYFUNCTION("""COMPUTED_VALUE"""),"CMU - TAM")</f>
        <v>CMU - TAM</v>
      </c>
      <c r="F206" s="9" t="str">
        <f ca="1">IFERROR(__xludf.DUMMYFUNCTION("""COMPUTED_VALUE"""),"Không có câu hỏi")</f>
        <v>Không có câu hỏi</v>
      </c>
      <c r="G206" s="9">
        <f ca="1">IFERROR(__xludf.DUMMYFUNCTION("""COMPUTED_VALUE"""),5)</f>
        <v>5</v>
      </c>
      <c r="H206" s="9" t="str">
        <f ca="1">IFERROR(__xludf.DUMMYFUNCTION("""COMPUTED_VALUE"""),"Không có câu hỏi")</f>
        <v>Không có câu hỏi</v>
      </c>
    </row>
    <row r="207" spans="1:8" ht="14.4">
      <c r="A207" s="22">
        <f ca="1">IFERROR(__xludf.DUMMYFUNCTION("""COMPUTED_VALUE"""),45384.5534124421)</f>
        <v>45384.553412442103</v>
      </c>
      <c r="B207" s="23" t="str">
        <f ca="1">IFERROR(__xludf.DUMMYFUNCTION("""COMPUTED_VALUE"""),"")</f>
        <v/>
      </c>
      <c r="C207" s="23" t="str">
        <f ca="1">IFERROR(__xludf.DUMMYFUNCTION("""COMPUTED_VALUE"""),"Lê Xuân Hưng")</f>
        <v>Lê Xuân Hưng</v>
      </c>
      <c r="D207" s="23" t="str">
        <f ca="1">IFERROR(__xludf.DUMMYFUNCTION("""COMPUTED_VALUE"""),"K29")</f>
        <v>K29</v>
      </c>
      <c r="E207" s="23" t="str">
        <f ca="1">IFERROR(__xludf.DUMMYFUNCTION("""COMPUTED_VALUE"""),"CMU - TAM")</f>
        <v>CMU - TAM</v>
      </c>
      <c r="F207" s="9"/>
      <c r="G207" s="9">
        <f ca="1">IFERROR(__xludf.DUMMYFUNCTION("""COMPUTED_VALUE"""),5)</f>
        <v>5</v>
      </c>
      <c r="H207" s="9" t="str">
        <f ca="1">IFERROR(__xludf.DUMMYFUNCTION("""COMPUTED_VALUE"""),"không có")</f>
        <v>không có</v>
      </c>
    </row>
    <row r="208" spans="1:8" ht="14.4">
      <c r="A208" s="22">
        <f ca="1">IFERROR(__xludf.DUMMYFUNCTION("""COMPUTED_VALUE"""),45384.5535125462)</f>
        <v>45384.553512546197</v>
      </c>
      <c r="B208" s="23" t="str">
        <f ca="1">IFERROR(__xludf.DUMMYFUNCTION("""COMPUTED_VALUE"""),"")</f>
        <v/>
      </c>
      <c r="C208" s="23" t="str">
        <f ca="1">IFERROR(__xludf.DUMMYFUNCTION("""COMPUTED_VALUE"""),"Thái Thành Đạt ")</f>
        <v xml:space="preserve">Thái Thành Đạt </v>
      </c>
      <c r="D208" s="23" t="str">
        <f ca="1">IFERROR(__xludf.DUMMYFUNCTION("""COMPUTED_VALUE"""),"K29")</f>
        <v>K29</v>
      </c>
      <c r="E208" s="23" t="str">
        <f ca="1">IFERROR(__xludf.DUMMYFUNCTION("""COMPUTED_VALUE"""),"CMU - TAM")</f>
        <v>CMU - TAM</v>
      </c>
      <c r="F208" s="9" t="str">
        <f ca="1">IFERROR(__xludf.DUMMYFUNCTION("""COMPUTED_VALUE"""),"Ko")</f>
        <v>Ko</v>
      </c>
      <c r="G208" s="9">
        <f ca="1">IFERROR(__xludf.DUMMYFUNCTION("""COMPUTED_VALUE"""),5)</f>
        <v>5</v>
      </c>
      <c r="H208" s="9" t="str">
        <f ca="1">IFERROR(__xludf.DUMMYFUNCTION("""COMPUTED_VALUE"""),"Cách làm đơn đăng ký tín chỉ?
")</f>
        <v xml:space="preserve">Cách làm đơn đăng ký tín chỉ?
</v>
      </c>
    </row>
    <row r="209" spans="1:8" ht="14.4">
      <c r="A209" s="22">
        <f ca="1">IFERROR(__xludf.DUMMYFUNCTION("""COMPUTED_VALUE"""),45384.5535159027)</f>
        <v>45384.553515902699</v>
      </c>
      <c r="B209" s="23" t="str">
        <f ca="1">IFERROR(__xludf.DUMMYFUNCTION("""COMPUTED_VALUE"""),"")</f>
        <v/>
      </c>
      <c r="C209" s="23" t="str">
        <f ca="1">IFERROR(__xludf.DUMMYFUNCTION("""COMPUTED_VALUE"""),"Nguyễn trương mạnh khanh ")</f>
        <v xml:space="preserve">Nguyễn trương mạnh khanh </v>
      </c>
      <c r="D209" s="23" t="str">
        <f ca="1">IFERROR(__xludf.DUMMYFUNCTION("""COMPUTED_VALUE"""),"K29")</f>
        <v>K29</v>
      </c>
      <c r="E209" s="23" t="str">
        <f ca="1">IFERROR(__xludf.DUMMYFUNCTION("""COMPUTED_VALUE"""),"CMU - TAM")</f>
        <v>CMU - TAM</v>
      </c>
      <c r="F209" s="9"/>
      <c r="G209" s="9">
        <f ca="1">IFERROR(__xludf.DUMMYFUNCTION("""COMPUTED_VALUE"""),3)</f>
        <v>3</v>
      </c>
      <c r="H209" s="9" t="str">
        <f ca="1">IFERROR(__xludf.DUMMYFUNCTION("""COMPUTED_VALUE"""),"Không có câu hỏi")</f>
        <v>Không có câu hỏi</v>
      </c>
    </row>
    <row r="210" spans="1:8" ht="14.4">
      <c r="A210" s="22">
        <f ca="1">IFERROR(__xludf.DUMMYFUNCTION("""COMPUTED_VALUE"""),45384.5538830439)</f>
        <v>45384.553883043904</v>
      </c>
      <c r="B210" s="23" t="str">
        <f ca="1">IFERROR(__xludf.DUMMYFUNCTION("""COMPUTED_VALUE"""),"")</f>
        <v/>
      </c>
      <c r="C210" s="23" t="str">
        <f ca="1">IFERROR(__xludf.DUMMYFUNCTION("""COMPUTED_VALUE"""),"Nguyễn Thành Lưu")</f>
        <v>Nguyễn Thành Lưu</v>
      </c>
      <c r="D210" s="23" t="str">
        <f ca="1">IFERROR(__xludf.DUMMYFUNCTION("""COMPUTED_VALUE"""),"K29")</f>
        <v>K29</v>
      </c>
      <c r="E210" s="23" t="str">
        <f ca="1">IFERROR(__xludf.DUMMYFUNCTION("""COMPUTED_VALUE"""),"CMU - TAM")</f>
        <v>CMU - TAM</v>
      </c>
      <c r="F210" s="9"/>
      <c r="G210" s="9">
        <f ca="1">IFERROR(__xludf.DUMMYFUNCTION("""COMPUTED_VALUE"""),5)</f>
        <v>5</v>
      </c>
      <c r="H210" s="9" t="str">
        <f ca="1">IFERROR(__xludf.DUMMYFUNCTION("""COMPUTED_VALUE"""),"Cách đăng ký tín chỉ học hè")</f>
        <v>Cách đăng ký tín chỉ học hè</v>
      </c>
    </row>
    <row r="211" spans="1:8" ht="14.4">
      <c r="A211" s="22">
        <f ca="1">IFERROR(__xludf.DUMMYFUNCTION("""COMPUTED_VALUE"""),45384.5540526041)</f>
        <v>45384.5540526041</v>
      </c>
      <c r="B211" s="23" t="str">
        <f ca="1">IFERROR(__xludf.DUMMYFUNCTION("""COMPUTED_VALUE"""),"")</f>
        <v/>
      </c>
      <c r="C211" s="23" t="str">
        <f ca="1">IFERROR(__xludf.DUMMYFUNCTION("""COMPUTED_VALUE"""),"Hồ Thị Diễm An ")</f>
        <v xml:space="preserve">Hồ Thị Diễm An </v>
      </c>
      <c r="D211" s="23" t="str">
        <f ca="1">IFERROR(__xludf.DUMMYFUNCTION("""COMPUTED_VALUE"""),"K29")</f>
        <v>K29</v>
      </c>
      <c r="E211" s="23" t="str">
        <f ca="1">IFERROR(__xludf.DUMMYFUNCTION("""COMPUTED_VALUE"""),"CMU - TAM")</f>
        <v>CMU - TAM</v>
      </c>
      <c r="F211" s="9"/>
      <c r="G211" s="9">
        <f ca="1">IFERROR(__xludf.DUMMYFUNCTION("""COMPUTED_VALUE"""),4)</f>
        <v>4</v>
      </c>
      <c r="H211" s="9" t="str">
        <f ca="1">IFERROR(__xludf.DUMMYFUNCTION("""COMPUTED_VALUE"""),"Cách nộp học phí? Cách đăng kí tín chỉ? Cách nạp tiền gửi xe? ...")</f>
        <v>Cách nộp học phí? Cách đăng kí tín chỉ? Cách nạp tiền gửi xe? ...</v>
      </c>
    </row>
    <row r="212" spans="1:8" ht="14.4">
      <c r="A212" s="22">
        <f ca="1">IFERROR(__xludf.DUMMYFUNCTION("""COMPUTED_VALUE"""),45384.5540939351)</f>
        <v>45384.554093935098</v>
      </c>
      <c r="B212" s="23" t="str">
        <f ca="1">IFERROR(__xludf.DUMMYFUNCTION("""COMPUTED_VALUE"""),"")</f>
        <v/>
      </c>
      <c r="C212" s="23" t="str">
        <f ca="1">IFERROR(__xludf.DUMMYFUNCTION("""COMPUTED_VALUE"""),"Lê Công Thái Bảo ")</f>
        <v xml:space="preserve">Lê Công Thái Bảo </v>
      </c>
      <c r="D212" s="23" t="str">
        <f ca="1">IFERROR(__xludf.DUMMYFUNCTION("""COMPUTED_VALUE"""),"K29")</f>
        <v>K29</v>
      </c>
      <c r="E212" s="23" t="str">
        <f ca="1">IFERROR(__xludf.DUMMYFUNCTION("""COMPUTED_VALUE"""),"CMU - TAM")</f>
        <v>CMU - TAM</v>
      </c>
      <c r="F212" s="9" t="str">
        <f ca="1">IFERROR(__xludf.DUMMYFUNCTION("""COMPUTED_VALUE"""),"Trả lời những câu hỏi trên lớp")</f>
        <v>Trả lời những câu hỏi trên lớp</v>
      </c>
      <c r="G212" s="9">
        <f ca="1">IFERROR(__xludf.DUMMYFUNCTION("""COMPUTED_VALUE"""),4)</f>
        <v>4</v>
      </c>
      <c r="H212" s="9" t="str">
        <f ca="1">IFERROR(__xludf.DUMMYFUNCTION("""COMPUTED_VALUE"""),"Cách làm đơn đăng kí tín chỉ?
Học hè thì đăng kí như thế nào?
Học kì hè được phép đăng kí tối đa bao nhiêu tín chỉ?
Sinh viên trường đào tạo quốc tế có được tự mình đăng kí tín chỉ không?")</f>
        <v>Cách làm đơn đăng kí tín chỉ?
Học hè thì đăng kí như thế nào?
Học kì hè được phép đăng kí tối đa bao nhiêu tín chỉ?
Sinh viên trường đào tạo quốc tế có được tự mình đăng kí tín chỉ không?</v>
      </c>
    </row>
    <row r="213" spans="1:8" ht="14.4">
      <c r="A213" s="22">
        <f ca="1">IFERROR(__xludf.DUMMYFUNCTION("""COMPUTED_VALUE"""),45384.5543137615)</f>
        <v>45384.554313761502</v>
      </c>
      <c r="B213" s="23" t="str">
        <f ca="1">IFERROR(__xludf.DUMMYFUNCTION("""COMPUTED_VALUE"""),"")</f>
        <v/>
      </c>
      <c r="C213" s="23" t="str">
        <f ca="1">IFERROR(__xludf.DUMMYFUNCTION("""COMPUTED_VALUE"""),"Nguyễn Hữu Hoàn Phước")</f>
        <v>Nguyễn Hữu Hoàn Phước</v>
      </c>
      <c r="D213" s="23" t="str">
        <f ca="1">IFERROR(__xludf.DUMMYFUNCTION("""COMPUTED_VALUE"""),"K26")</f>
        <v>K26</v>
      </c>
      <c r="E213" s="23" t="str">
        <f ca="1">IFERROR(__xludf.DUMMYFUNCTION("""COMPUTED_VALUE"""),"CMU - TPM")</f>
        <v>CMU - TPM</v>
      </c>
      <c r="F213" s="9" t="str">
        <f ca="1">IFERROR(__xludf.DUMMYFUNCTION("""COMPUTED_VALUE"""),"Giải thích")</f>
        <v>Giải thích</v>
      </c>
      <c r="G213" s="9">
        <f ca="1">IFERROR(__xludf.DUMMYFUNCTION("""COMPUTED_VALUE"""),5)</f>
        <v>5</v>
      </c>
      <c r="H213" s="9" t="str">
        <f ca="1">IFERROR(__xludf.DUMMYFUNCTION("""COMPUTED_VALUE"""),"Khi nào thì trời hết nóng")</f>
        <v>Khi nào thì trời hết nóng</v>
      </c>
    </row>
    <row r="214" spans="1:8" ht="14.4">
      <c r="A214" s="22">
        <f ca="1">IFERROR(__xludf.DUMMYFUNCTION("""COMPUTED_VALUE"""),45384.554377199)</f>
        <v>45384.554377198998</v>
      </c>
      <c r="B214" s="23" t="str">
        <f ca="1">IFERROR(__xludf.DUMMYFUNCTION("""COMPUTED_VALUE"""),"")</f>
        <v/>
      </c>
      <c r="C214" s="23" t="str">
        <f ca="1">IFERROR(__xludf.DUMMYFUNCTION("""COMPUTED_VALUE"""),"Phạm Minh Quân")</f>
        <v>Phạm Minh Quân</v>
      </c>
      <c r="D214" s="23" t="str">
        <f ca="1">IFERROR(__xludf.DUMMYFUNCTION("""COMPUTED_VALUE"""),"K29")</f>
        <v>K29</v>
      </c>
      <c r="E214" s="23" t="str">
        <f ca="1">IFERROR(__xludf.DUMMYFUNCTION("""COMPUTED_VALUE"""),"CMU - TAM")</f>
        <v>CMU - TAM</v>
      </c>
      <c r="F214" s="9" t="str">
        <f ca="1">IFERROR(__xludf.DUMMYFUNCTION("""COMPUTED_VALUE"""),"Trả lời những câu hỏi mà em mong muốn")</f>
        <v>Trả lời những câu hỏi mà em mong muốn</v>
      </c>
      <c r="G214" s="9">
        <f ca="1">IFERROR(__xludf.DUMMYFUNCTION("""COMPUTED_VALUE"""),5)</f>
        <v>5</v>
      </c>
      <c r="H214" s="9" t="str">
        <f ca="1">IFERROR(__xludf.DUMMYFUNCTION("""COMPUTED_VALUE"""),"Có bảo hiểm y tế gia đình có cần mua nữa không ?
Học hè được phép đăng kí bao nhiêu tín chỉ ?
Khi nào mới dùng hệ thống giữ xe bằng thẻ?
")</f>
        <v xml:space="preserve">Có bảo hiểm y tế gia đình có cần mua nữa không ?
Học hè được phép đăng kí bao nhiêu tín chỉ ?
Khi nào mới dùng hệ thống giữ xe bằng thẻ?
</v>
      </c>
    </row>
    <row r="215" spans="1:8" ht="14.4">
      <c r="A215" s="22">
        <f ca="1">IFERROR(__xludf.DUMMYFUNCTION("""COMPUTED_VALUE"""),45384.5546464699)</f>
        <v>45384.5546464699</v>
      </c>
      <c r="B215" s="23" t="str">
        <f ca="1">IFERROR(__xludf.DUMMYFUNCTION("""COMPUTED_VALUE"""),"")</f>
        <v/>
      </c>
      <c r="C215" s="23" t="str">
        <f ca="1">IFERROR(__xludf.DUMMYFUNCTION("""COMPUTED_VALUE"""),"Nguyễn Tiến Dũng ")</f>
        <v xml:space="preserve">Nguyễn Tiến Dũng </v>
      </c>
      <c r="D215" s="23" t="str">
        <f ca="1">IFERROR(__xludf.DUMMYFUNCTION("""COMPUTED_VALUE"""),"K29")</f>
        <v>K29</v>
      </c>
      <c r="E215" s="23" t="str">
        <f ca="1">IFERROR(__xludf.DUMMYFUNCTION("""COMPUTED_VALUE"""),"CMU - TAM")</f>
        <v>CMU - TAM</v>
      </c>
      <c r="F215" s="9" t="str">
        <f ca="1">IFERROR(__xludf.DUMMYFUNCTION("""COMPUTED_VALUE"""),"Như những con chatbot khác")</f>
        <v>Như những con chatbot khác</v>
      </c>
      <c r="G215" s="9">
        <f ca="1">IFERROR(__xludf.DUMMYFUNCTION("""COMPUTED_VALUE"""),3)</f>
        <v>3</v>
      </c>
      <c r="H215" s="9" t="str">
        <f ca="1">IFERROR(__xludf.DUMMYFUNCTION("""COMPUTED_VALUE"""),"Đăng kí tín chỉ trên hệ thống như thế nào?
Học phí có tăng qua từng năm k?
 ")</f>
        <v xml:space="preserve">Đăng kí tín chỉ trên hệ thống như thế nào?
Học phí có tăng qua từng năm k?
 </v>
      </c>
    </row>
    <row r="216" spans="1:8" ht="14.4">
      <c r="A216" s="22">
        <f ca="1">IFERROR(__xludf.DUMMYFUNCTION("""COMPUTED_VALUE"""),45384.5546951388)</f>
        <v>45384.554695138802</v>
      </c>
      <c r="B216" s="23" t="str">
        <f ca="1">IFERROR(__xludf.DUMMYFUNCTION("""COMPUTED_VALUE"""),"")</f>
        <v/>
      </c>
      <c r="C216" s="23" t="str">
        <f ca="1">IFERROR(__xludf.DUMMYFUNCTION("""COMPUTED_VALUE"""),"Phan Văn Bằng")</f>
        <v>Phan Văn Bằng</v>
      </c>
      <c r="D216" s="23" t="str">
        <f ca="1">IFERROR(__xludf.DUMMYFUNCTION("""COMPUTED_VALUE"""),"K27")</f>
        <v>K27</v>
      </c>
      <c r="E216" s="23" t="str">
        <f ca="1">IFERROR(__xludf.DUMMYFUNCTION("""COMPUTED_VALUE"""),"CMU - TTT")</f>
        <v>CMU - TTT</v>
      </c>
      <c r="F216" s="9"/>
      <c r="G216" s="9">
        <f ca="1">IFERROR(__xludf.DUMMYFUNCTION("""COMPUTED_VALUE"""),5)</f>
        <v>5</v>
      </c>
      <c r="H216" s="9" t="str">
        <f ca="1">IFERROR(__xludf.DUMMYFUNCTION("""COMPUTED_VALUE"""),"Em chưa có câu hỏi")</f>
        <v>Em chưa có câu hỏi</v>
      </c>
    </row>
    <row r="217" spans="1:8" ht="14.4">
      <c r="A217" s="22">
        <f ca="1">IFERROR(__xludf.DUMMYFUNCTION("""COMPUTED_VALUE"""),45384.5547428472)</f>
        <v>45384.554742847198</v>
      </c>
      <c r="B217" s="23" t="str">
        <f ca="1">IFERROR(__xludf.DUMMYFUNCTION("""COMPUTED_VALUE"""),"")</f>
        <v/>
      </c>
      <c r="C217" s="23" t="str">
        <f ca="1">IFERROR(__xludf.DUMMYFUNCTION("""COMPUTED_VALUE"""),"Trương Trung Hiếu")</f>
        <v>Trương Trung Hiếu</v>
      </c>
      <c r="D217" s="23" t="str">
        <f ca="1">IFERROR(__xludf.DUMMYFUNCTION("""COMPUTED_VALUE"""),"K29")</f>
        <v>K29</v>
      </c>
      <c r="E217" s="23" t="str">
        <f ca="1">IFERROR(__xludf.DUMMYFUNCTION("""COMPUTED_VALUE"""),"CMU - TAM")</f>
        <v>CMU - TAM</v>
      </c>
      <c r="F217" s="9"/>
      <c r="G217" s="9">
        <f ca="1">IFERROR(__xludf.DUMMYFUNCTION("""COMPUTED_VALUE"""),3)</f>
        <v>3</v>
      </c>
      <c r="H217" s="9" t="str">
        <f ca="1">IFERROR(__xludf.DUMMYFUNCTION("""COMPUTED_VALUE"""),"Thời gian nghỉ hè? Thời gian thi kthp? Thời gian học kì hè? ")</f>
        <v xml:space="preserve">Thời gian nghỉ hè? Thời gian thi kthp? Thời gian học kì hè? </v>
      </c>
    </row>
    <row r="218" spans="1:8" ht="14.4">
      <c r="A218" s="22">
        <f ca="1">IFERROR(__xludf.DUMMYFUNCTION("""COMPUTED_VALUE"""),45384.5548697222)</f>
        <v>45384.554869722197</v>
      </c>
      <c r="B218" s="23" t="str">
        <f ca="1">IFERROR(__xludf.DUMMYFUNCTION("""COMPUTED_VALUE"""),"")</f>
        <v/>
      </c>
      <c r="C218" s="23" t="str">
        <f ca="1">IFERROR(__xludf.DUMMYFUNCTION("""COMPUTED_VALUE"""),"Nguyễn Quốc Đạt")</f>
        <v>Nguyễn Quốc Đạt</v>
      </c>
      <c r="D218" s="23" t="str">
        <f ca="1">IFERROR(__xludf.DUMMYFUNCTION("""COMPUTED_VALUE"""),"K29")</f>
        <v>K29</v>
      </c>
      <c r="E218" s="23" t="str">
        <f ca="1">IFERROR(__xludf.DUMMYFUNCTION("""COMPUTED_VALUE"""),"CMU - TAM")</f>
        <v>CMU - TAM</v>
      </c>
      <c r="F218" s="9" t="str">
        <f ca="1">IFERROR(__xludf.DUMMYFUNCTION("""COMPUTED_VALUE"""),"Gì cũng đc")</f>
        <v>Gì cũng đc</v>
      </c>
      <c r="G218" s="9">
        <f ca="1">IFERROR(__xludf.DUMMYFUNCTION("""COMPUTED_VALUE"""),5)</f>
        <v>5</v>
      </c>
      <c r="H218" s="9" t="str">
        <f ca="1">IFERROR(__xludf.DUMMYFUNCTION("""COMPUTED_VALUE"""),"Nộp học phí ở đâu? Khi nào nộp học phí ? Nộp tiền chẳn hay tiền lẻ ? Nộp nhiều lần đc honggg? Làm đơn đăng kí tín chỉ ở đâu?")</f>
        <v>Nộp học phí ở đâu? Khi nào nộp học phí ? Nộp tiền chẳn hay tiền lẻ ? Nộp nhiều lần đc honggg? Làm đơn đăng kí tín chỉ ở đâu?</v>
      </c>
    </row>
    <row r="219" spans="1:8" ht="14.4">
      <c r="A219" s="22">
        <f ca="1">IFERROR(__xludf.DUMMYFUNCTION("""COMPUTED_VALUE"""),45384.5548748495)</f>
        <v>45384.554874849498</v>
      </c>
      <c r="B219" s="23" t="str">
        <f ca="1">IFERROR(__xludf.DUMMYFUNCTION("""COMPUTED_VALUE"""),"")</f>
        <v/>
      </c>
      <c r="C219" s="23" t="str">
        <f ca="1">IFERROR(__xludf.DUMMYFUNCTION("""COMPUTED_VALUE"""),"Trần Đức Trọng")</f>
        <v>Trần Đức Trọng</v>
      </c>
      <c r="D219" s="23" t="str">
        <f ca="1">IFERROR(__xludf.DUMMYFUNCTION("""COMPUTED_VALUE"""),"K29")</f>
        <v>K29</v>
      </c>
      <c r="E219" s="23" t="str">
        <f ca="1">IFERROR(__xludf.DUMMYFUNCTION("""COMPUTED_VALUE"""),"CMU - TAM")</f>
        <v>CMU - TAM</v>
      </c>
      <c r="F219" s="9" t="str">
        <f ca="1">IFERROR(__xludf.DUMMYFUNCTION("""COMPUTED_VALUE"""),"Gợi ý kỹ năng học tập,  cung cấp tài nguyên, tư vấn lộ trình học")</f>
        <v>Gợi ý kỹ năng học tập,  cung cấp tài nguyên, tư vấn lộ trình học</v>
      </c>
      <c r="G219" s="9">
        <f ca="1">IFERROR(__xludf.DUMMYFUNCTION("""COMPUTED_VALUE"""),5)</f>
        <v>5</v>
      </c>
      <c r="H219" s="9" t="str">
        <f ca="1">IFERROR(__xludf.DUMMYFUNCTION("""COMPUTED_VALUE"""),"Nộp học phí ở đâu?
Khi nào thì nộp học phí?
Nộp nhiều lần có được không?
Làm đơn đăng kí tín chỉ ở đâu?
Cách nộp đơn ở đâu?")</f>
        <v>Nộp học phí ở đâu?
Khi nào thì nộp học phí?
Nộp nhiều lần có được không?
Làm đơn đăng kí tín chỉ ở đâu?
Cách nộp đơn ở đâu?</v>
      </c>
    </row>
    <row r="220" spans="1:8" ht="14.4">
      <c r="A220" s="22">
        <f ca="1">IFERROR(__xludf.DUMMYFUNCTION("""COMPUTED_VALUE"""),45384.554897743)</f>
        <v>45384.554897743001</v>
      </c>
      <c r="B220" s="23" t="str">
        <f ca="1">IFERROR(__xludf.DUMMYFUNCTION("""COMPUTED_VALUE"""),"")</f>
        <v/>
      </c>
      <c r="C220" s="23" t="str">
        <f ca="1">IFERROR(__xludf.DUMMYFUNCTION("""COMPUTED_VALUE"""),"Trần Hoàn")</f>
        <v>Trần Hoàn</v>
      </c>
      <c r="D220" s="23" t="str">
        <f ca="1">IFERROR(__xludf.DUMMYFUNCTION("""COMPUTED_VALUE"""),"K26")</f>
        <v>K26</v>
      </c>
      <c r="E220" s="23" t="str">
        <f ca="1">IFERROR(__xludf.DUMMYFUNCTION("""COMPUTED_VALUE"""),"CMU - TPM")</f>
        <v>CMU - TPM</v>
      </c>
      <c r="F220" s="9"/>
      <c r="G220" s="9">
        <f ca="1">IFERROR(__xludf.DUMMYFUNCTION("""COMPUTED_VALUE"""),5)</f>
        <v>5</v>
      </c>
      <c r="H220" s="9" t="str">
        <f ca="1">IFERROR(__xludf.DUMMYFUNCTION("""COMPUTED_VALUE"""),"Ngày mở đánh giá rèn luyện")</f>
        <v>Ngày mở đánh giá rèn luyện</v>
      </c>
    </row>
    <row r="221" spans="1:8" ht="14.4">
      <c r="A221" s="22">
        <f ca="1">IFERROR(__xludf.DUMMYFUNCTION("""COMPUTED_VALUE"""),45384.5551541087)</f>
        <v>45384.555154108697</v>
      </c>
      <c r="B221" s="23" t="str">
        <f ca="1">IFERROR(__xludf.DUMMYFUNCTION("""COMPUTED_VALUE"""),"")</f>
        <v/>
      </c>
      <c r="C221" s="23" t="str">
        <f ca="1">IFERROR(__xludf.DUMMYFUNCTION("""COMPUTED_VALUE"""),"Hoàng Minh Đăng")</f>
        <v>Hoàng Minh Đăng</v>
      </c>
      <c r="D221" s="23" t="str">
        <f ca="1">IFERROR(__xludf.DUMMYFUNCTION("""COMPUTED_VALUE"""),"K29")</f>
        <v>K29</v>
      </c>
      <c r="E221" s="23" t="str">
        <f ca="1">IFERROR(__xludf.DUMMYFUNCTION("""COMPUTED_VALUE"""),"CMU - TAM")</f>
        <v>CMU - TAM</v>
      </c>
      <c r="F221" s="9" t="str">
        <f ca="1">IFERROR(__xludf.DUMMYFUNCTION("""COMPUTED_VALUE"""),"Có thể trả lời câu hỏi đơn giản, đưa ra đường link có sẵn ( Vd như khi hỏi lịch thi, thì chatbot sẽ cho ra đường link rút gọn dẫn tới trang web của sở về lịch thi)")</f>
        <v>Có thể trả lời câu hỏi đơn giản, đưa ra đường link có sẵn ( Vd như khi hỏi lịch thi, thì chatbot sẽ cho ra đường link rút gọn dẫn tới trang web của sở về lịch thi)</v>
      </c>
      <c r="G221" s="9">
        <f ca="1">IFERROR(__xludf.DUMMYFUNCTION("""COMPUTED_VALUE"""),5)</f>
        <v>5</v>
      </c>
      <c r="H221" s="9" t="str">
        <f ca="1">IFERROR(__xludf.DUMMYFUNCTION("""COMPUTED_VALUE"""),"Cách đăng ký tín chỉ.
Tra cứu học phí.
Tra cứu lịch thi.
P
")</f>
        <v xml:space="preserve">Cách đăng ký tín chỉ.
Tra cứu học phí.
Tra cứu lịch thi.
P
</v>
      </c>
    </row>
    <row r="222" spans="1:8" ht="14.4">
      <c r="A222" s="22">
        <f ca="1">IFERROR(__xludf.DUMMYFUNCTION("""COMPUTED_VALUE"""),45384.5553798263)</f>
        <v>45384.555379826299</v>
      </c>
      <c r="B222" s="23" t="str">
        <f ca="1">IFERROR(__xludf.DUMMYFUNCTION("""COMPUTED_VALUE"""),"")</f>
        <v/>
      </c>
      <c r="C222" s="23" t="str">
        <f ca="1">IFERROR(__xludf.DUMMYFUNCTION("""COMPUTED_VALUE"""),"Nguyễn Ngọc Chỉnh")</f>
        <v>Nguyễn Ngọc Chỉnh</v>
      </c>
      <c r="D222" s="23" t="str">
        <f ca="1">IFERROR(__xludf.DUMMYFUNCTION("""COMPUTED_VALUE"""),"K29")</f>
        <v>K29</v>
      </c>
      <c r="E222" s="23" t="str">
        <f ca="1">IFERROR(__xludf.DUMMYFUNCTION("""COMPUTED_VALUE"""),"CMU - TAM")</f>
        <v>CMU - TAM</v>
      </c>
      <c r="F222" s="9"/>
      <c r="G222" s="9">
        <f ca="1">IFERROR(__xludf.DUMMYFUNCTION("""COMPUTED_VALUE"""),4)</f>
        <v>4</v>
      </c>
      <c r="H222" s="9" t="str">
        <f ca="1">IFERROR(__xludf.DUMMYFUNCTION("""COMPUTED_VALUE"""),"Đăng kí tín chỉ vào mùa hè giới hạn là bao nhiêu ?
Học phí hè đóng theo tín chỉ mà bản thân đăng kí đúng không ?
Khi muốn danh sách thi thì lấy ở đâu?
Học phí sẽ vẫn như thế hay sang năm sau hay năm sau nữa sẽ tăng ?
Đăng kí tín chỉ thế nào ?")</f>
        <v>Đăng kí tín chỉ vào mùa hè giới hạn là bao nhiêu ?
Học phí hè đóng theo tín chỉ mà bản thân đăng kí đúng không ?
Khi muốn danh sách thi thì lấy ở đâu?
Học phí sẽ vẫn như thế hay sang năm sau hay năm sau nữa sẽ tăng ?
Đăng kí tín chỉ thế nào ?</v>
      </c>
    </row>
    <row r="223" spans="1:8" ht="14.4">
      <c r="A223" s="22">
        <f ca="1">IFERROR(__xludf.DUMMYFUNCTION("""COMPUTED_VALUE"""),45384.5554929282)</f>
        <v>45384.555492928201</v>
      </c>
      <c r="B223" s="23" t="str">
        <f ca="1">IFERROR(__xludf.DUMMYFUNCTION("""COMPUTED_VALUE"""),"")</f>
        <v/>
      </c>
      <c r="C223" s="23" t="str">
        <f ca="1">IFERROR(__xludf.DUMMYFUNCTION("""COMPUTED_VALUE"""),"Nguyễn Hữu Thắng")</f>
        <v>Nguyễn Hữu Thắng</v>
      </c>
      <c r="D223" s="23" t="str">
        <f ca="1">IFERROR(__xludf.DUMMYFUNCTION("""COMPUTED_VALUE"""),"K27")</f>
        <v>K27</v>
      </c>
      <c r="E223" s="23" t="str">
        <f ca="1">IFERROR(__xludf.DUMMYFUNCTION("""COMPUTED_VALUE"""),"CMU - TPM")</f>
        <v>CMU - TPM</v>
      </c>
      <c r="F223" s="9" t="str">
        <f ca="1">IFERROR(__xludf.DUMMYFUNCTION("""COMPUTED_VALUE"""),"trả lời nhanh, chính xác vấn đề đang hỏi")</f>
        <v>trả lời nhanh, chính xác vấn đề đang hỏi</v>
      </c>
      <c r="G223" s="9">
        <f ca="1">IFERROR(__xludf.DUMMYFUNCTION("""COMPUTED_VALUE"""),4)</f>
        <v>4</v>
      </c>
      <c r="H223" s="9" t="str">
        <f ca="1">IFERROR(__xludf.DUMMYFUNCTION("""COMPUTED_VALUE"""),"tiền học phí học kì hè tính như thế nào")</f>
        <v>tiền học phí học kì hè tính như thế nào</v>
      </c>
    </row>
    <row r="224" spans="1:8" ht="14.4">
      <c r="A224" s="22">
        <f ca="1">IFERROR(__xludf.DUMMYFUNCTION("""COMPUTED_VALUE"""),45384.5558369328)</f>
        <v>45384.555836932799</v>
      </c>
      <c r="B224" s="23" t="str">
        <f ca="1">IFERROR(__xludf.DUMMYFUNCTION("""COMPUTED_VALUE"""),"")</f>
        <v/>
      </c>
      <c r="C224" s="23" t="str">
        <f ca="1">IFERROR(__xludf.DUMMYFUNCTION("""COMPUTED_VALUE"""),"Nguyễn Xuân Quyền")</f>
        <v>Nguyễn Xuân Quyền</v>
      </c>
      <c r="D224" s="23" t="str">
        <f ca="1">IFERROR(__xludf.DUMMYFUNCTION("""COMPUTED_VALUE"""),"K27")</f>
        <v>K27</v>
      </c>
      <c r="E224" s="23" t="str">
        <f ca="1">IFERROR(__xludf.DUMMYFUNCTION("""COMPUTED_VALUE"""),"CMU - TTT")</f>
        <v>CMU - TTT</v>
      </c>
      <c r="F224" s="9" t="str">
        <f ca="1">IFERROR(__xludf.DUMMYFUNCTION("""COMPUTED_VALUE"""),"Có thể giải bài tập mà giản viên ở trường đưa ra")</f>
        <v>Có thể giải bài tập mà giản viên ở trường đưa ra</v>
      </c>
      <c r="G224" s="9">
        <f ca="1">IFERROR(__xludf.DUMMYFUNCTION("""COMPUTED_VALUE"""),5)</f>
        <v>5</v>
      </c>
      <c r="H224" s="9" t="str">
        <f ca="1">IFERROR(__xludf.DUMMYFUNCTION("""COMPUTED_VALUE"""),"Cách để bảo lưu ?
Cách để bảo lưu ?
Cách để bảo lưu ?
Cách để bảo lưu ?
Cách để bảo lưu ?")</f>
        <v>Cách để bảo lưu ?
Cách để bảo lưu ?
Cách để bảo lưu ?
Cách để bảo lưu ?
Cách để bảo lưu ?</v>
      </c>
    </row>
    <row r="225" spans="1:8" ht="14.4">
      <c r="A225" s="22">
        <f ca="1">IFERROR(__xludf.DUMMYFUNCTION("""COMPUTED_VALUE"""),45384.5559473263)</f>
        <v>45384.555947326298</v>
      </c>
      <c r="B225" s="23" t="str">
        <f ca="1">IFERROR(__xludf.DUMMYFUNCTION("""COMPUTED_VALUE"""),"")</f>
        <v/>
      </c>
      <c r="C225" s="23" t="str">
        <f ca="1">IFERROR(__xludf.DUMMYFUNCTION("""COMPUTED_VALUE"""),"Nguyễn Đức Hậu")</f>
        <v>Nguyễn Đức Hậu</v>
      </c>
      <c r="D225" s="23" t="str">
        <f ca="1">IFERROR(__xludf.DUMMYFUNCTION("""COMPUTED_VALUE"""),"K29")</f>
        <v>K29</v>
      </c>
      <c r="E225" s="23" t="str">
        <f ca="1">IFERROR(__xludf.DUMMYFUNCTION("""COMPUTED_VALUE"""),"CMU - TAM")</f>
        <v>CMU - TAM</v>
      </c>
      <c r="F225" s="9"/>
      <c r="G225" s="9">
        <f ca="1">IFERROR(__xludf.DUMMYFUNCTION("""COMPUTED_VALUE"""),3)</f>
        <v>3</v>
      </c>
      <c r="H225" s="9" t="str">
        <f ca="1">IFERROR(__xludf.DUMMYFUNCTION("""COMPUTED_VALUE"""),"-Cách xin nộp học phí trễ ?
-Đăng kí học hè ra sao ?
-học lại bao nhiêu tín thì hạ 1 bậc loại bằng ?
-Kế hoạch học như thế nào để học tốt hơn ?
-")</f>
        <v>-Cách xin nộp học phí trễ ?
-Đăng kí học hè ra sao ?
-học lại bao nhiêu tín thì hạ 1 bậc loại bằng ?
-Kế hoạch học như thế nào để học tốt hơn ?
-</v>
      </c>
    </row>
    <row r="226" spans="1:8" ht="14.4">
      <c r="A226" s="22">
        <f ca="1">IFERROR(__xludf.DUMMYFUNCTION("""COMPUTED_VALUE"""),45384.5560584953)</f>
        <v>45384.556058495298</v>
      </c>
      <c r="B226" s="23" t="str">
        <f ca="1">IFERROR(__xludf.DUMMYFUNCTION("""COMPUTED_VALUE"""),"")</f>
        <v/>
      </c>
      <c r="C226" s="23" t="str">
        <f ca="1">IFERROR(__xludf.DUMMYFUNCTION("""COMPUTED_VALUE"""),"Phạm Thành Đạt")</f>
        <v>Phạm Thành Đạt</v>
      </c>
      <c r="D226" s="23" t="str">
        <f ca="1">IFERROR(__xludf.DUMMYFUNCTION("""COMPUTED_VALUE"""),"K27")</f>
        <v>K27</v>
      </c>
      <c r="E226" s="23" t="str">
        <f ca="1">IFERROR(__xludf.DUMMYFUNCTION("""COMPUTED_VALUE"""),"CMU - TPM")</f>
        <v>CMU - TPM</v>
      </c>
      <c r="F226" s="9"/>
      <c r="G226" s="9">
        <f ca="1">IFERROR(__xludf.DUMMYFUNCTION("""COMPUTED_VALUE"""),5)</f>
        <v>5</v>
      </c>
      <c r="H226" s="9" t="str">
        <f ca="1">IFERROR(__xludf.DUMMYFUNCTION("""COMPUTED_VALUE"""),"Cách tham gia nghiên cứu khoa học?")</f>
        <v>Cách tham gia nghiên cứu khoa học?</v>
      </c>
    </row>
    <row r="227" spans="1:8" ht="14.4">
      <c r="A227" s="22">
        <f ca="1">IFERROR(__xludf.DUMMYFUNCTION("""COMPUTED_VALUE"""),45384.5562402199)</f>
        <v>45384.556240219899</v>
      </c>
      <c r="B227" s="23" t="str">
        <f ca="1">IFERROR(__xludf.DUMMYFUNCTION("""COMPUTED_VALUE"""),"")</f>
        <v/>
      </c>
      <c r="C227" s="23" t="str">
        <f ca="1">IFERROR(__xludf.DUMMYFUNCTION("""COMPUTED_VALUE"""),"Đỗ Trần Ngọc khoa ")</f>
        <v xml:space="preserve">Đỗ Trần Ngọc khoa </v>
      </c>
      <c r="D227" s="23" t="str">
        <f ca="1">IFERROR(__xludf.DUMMYFUNCTION("""COMPUTED_VALUE"""),"K29")</f>
        <v>K29</v>
      </c>
      <c r="E227" s="23" t="str">
        <f ca="1">IFERROR(__xludf.DUMMYFUNCTION("""COMPUTED_VALUE"""),"CMU - TAM")</f>
        <v>CMU - TAM</v>
      </c>
      <c r="F227" s="9"/>
      <c r="G227" s="9">
        <f ca="1">IFERROR(__xludf.DUMMYFUNCTION("""COMPUTED_VALUE"""),3)</f>
        <v>3</v>
      </c>
      <c r="H227" s="9" t="str">
        <f ca="1">IFERROR(__xludf.DUMMYFUNCTION("""COMPUTED_VALUE"""),"1.Cách để đăng kí tín chỉ
2. Hướng dẫn chuyển lớp
3.Làm thế nào để phúc khảo điểm thi
4.Đầu ra tiếng anh của trường là bao nhiêu
5.Có cần thiết phải làm thẻ giữ xe không")</f>
        <v>1.Cách để đăng kí tín chỉ
2. Hướng dẫn chuyển lớp
3.Làm thế nào để phúc khảo điểm thi
4.Đầu ra tiếng anh của trường là bao nhiêu
5.Có cần thiết phải làm thẻ giữ xe không</v>
      </c>
    </row>
    <row r="228" spans="1:8" ht="14.4">
      <c r="A228" s="22">
        <f ca="1">IFERROR(__xludf.DUMMYFUNCTION("""COMPUTED_VALUE"""),45384.5562909953)</f>
        <v>45384.556290995301</v>
      </c>
      <c r="B228" s="23" t="str">
        <f ca="1">IFERROR(__xludf.DUMMYFUNCTION("""COMPUTED_VALUE"""),"")</f>
        <v/>
      </c>
      <c r="C228" s="23" t="str">
        <f ca="1">IFERROR(__xludf.DUMMYFUNCTION("""COMPUTED_VALUE"""),"Trà Lương Phương Thảo")</f>
        <v>Trà Lương Phương Thảo</v>
      </c>
      <c r="D228" s="23" t="str">
        <f ca="1">IFERROR(__xludf.DUMMYFUNCTION("""COMPUTED_VALUE"""),"K27")</f>
        <v>K27</v>
      </c>
      <c r="E228" s="23" t="str">
        <f ca="1">IFERROR(__xludf.DUMMYFUNCTION("""COMPUTED_VALUE"""),"CMU - TPM")</f>
        <v>CMU - TPM</v>
      </c>
      <c r="F228" s="9"/>
      <c r="G228" s="9">
        <f ca="1">IFERROR(__xludf.DUMMYFUNCTION("""COMPUTED_VALUE"""),3)</f>
        <v>3</v>
      </c>
      <c r="H228" s="9" t="str">
        <f ca="1">IFERROR(__xludf.DUMMYFUNCTION("""COMPUTED_VALUE"""),"Nhận giấy khen tại đâu?
Muốn gặp giảng viên cố vấn tại đâu?
Quên thẻ sinh viên thì làm lại tại đâu?
Phúc khảo bài thì liên hệ những ai?")</f>
        <v>Nhận giấy khen tại đâu?
Muốn gặp giảng viên cố vấn tại đâu?
Quên thẻ sinh viên thì làm lại tại đâu?
Phúc khảo bài thì liên hệ những ai?</v>
      </c>
    </row>
    <row r="229" spans="1:8" ht="14.4">
      <c r="A229" s="22">
        <f ca="1">IFERROR(__xludf.DUMMYFUNCTION("""COMPUTED_VALUE"""),45384.5563046875)</f>
        <v>45384.556304687503</v>
      </c>
      <c r="B229" s="23" t="str">
        <f ca="1">IFERROR(__xludf.DUMMYFUNCTION("""COMPUTED_VALUE"""),"")</f>
        <v/>
      </c>
      <c r="C229" s="23" t="str">
        <f ca="1">IFERROR(__xludf.DUMMYFUNCTION("""COMPUTED_VALUE"""),"Đinh Kim Hoàng")</f>
        <v>Đinh Kim Hoàng</v>
      </c>
      <c r="D229" s="23" t="str">
        <f ca="1">IFERROR(__xludf.DUMMYFUNCTION("""COMPUTED_VALUE"""),"K29")</f>
        <v>K29</v>
      </c>
      <c r="E229" s="23" t="str">
        <f ca="1">IFERROR(__xludf.DUMMYFUNCTION("""COMPUTED_VALUE"""),"CMU - TAM")</f>
        <v>CMU - TAM</v>
      </c>
      <c r="F229" s="9" t="str">
        <f ca="1">IFERROR(__xludf.DUMMYFUNCTION("""COMPUTED_VALUE"""),"Tính năng giải bài tập chính xác")</f>
        <v>Tính năng giải bài tập chính xác</v>
      </c>
      <c r="G229" s="9">
        <f ca="1">IFERROR(__xludf.DUMMYFUNCTION("""COMPUTED_VALUE"""),4)</f>
        <v>4</v>
      </c>
      <c r="H229" s="9" t="str">
        <f ca="1">IFERROR(__xludf.DUMMYFUNCTION("""COMPUTED_VALUE"""),"Cách nộp học phí?
Cách đăng ký tín chỉ?
Cách ra về nhanh?
Cách mượn sách thư viện?")</f>
        <v>Cách nộp học phí?
Cách đăng ký tín chỉ?
Cách ra về nhanh?
Cách mượn sách thư viện?</v>
      </c>
    </row>
    <row r="230" spans="1:8" ht="14.4">
      <c r="A230" s="22">
        <f ca="1">IFERROR(__xludf.DUMMYFUNCTION("""COMPUTED_VALUE"""),45384.556325)</f>
        <v>45384.556324999998</v>
      </c>
      <c r="B230" s="23" t="str">
        <f ca="1">IFERROR(__xludf.DUMMYFUNCTION("""COMPUTED_VALUE"""),"")</f>
        <v/>
      </c>
      <c r="C230" s="23" t="str">
        <f ca="1">IFERROR(__xludf.DUMMYFUNCTION("""COMPUTED_VALUE"""),"Phạm Trung Hiếu ")</f>
        <v xml:space="preserve">Phạm Trung Hiếu </v>
      </c>
      <c r="D230" s="23" t="str">
        <f ca="1">IFERROR(__xludf.DUMMYFUNCTION("""COMPUTED_VALUE"""),"K29")</f>
        <v>K29</v>
      </c>
      <c r="E230" s="23" t="str">
        <f ca="1">IFERROR(__xludf.DUMMYFUNCTION("""COMPUTED_VALUE"""),"CMU - TAM")</f>
        <v>CMU - TAM</v>
      </c>
      <c r="F230" s="9" t="str">
        <f ca="1">IFERROR(__xludf.DUMMYFUNCTION("""COMPUTED_VALUE"""),"Giải thích tường tận câu hỏi")</f>
        <v>Giải thích tường tận câu hỏi</v>
      </c>
      <c r="G230" s="9">
        <f ca="1">IFERROR(__xludf.DUMMYFUNCTION("""COMPUTED_VALUE"""),5)</f>
        <v>5</v>
      </c>
      <c r="H230" s="9" t="str">
        <f ca="1">IFERROR(__xludf.DUMMYFUNCTION("""COMPUTED_VALUE"""),"1. Cách nộp học phí ?
2.Cách làm đơn đăng ký tín chỉ ?
3. Lộ trình học ?
4. Tra cứu lịch thi?
5. Phúc khảo điểm thi?
")</f>
        <v xml:space="preserve">1. Cách nộp học phí ?
2.Cách làm đơn đăng ký tín chỉ ?
3. Lộ trình học ?
4. Tra cứu lịch thi?
5. Phúc khảo điểm thi?
</v>
      </c>
    </row>
    <row r="231" spans="1:8" ht="14.4">
      <c r="A231" s="22">
        <f ca="1">IFERROR(__xludf.DUMMYFUNCTION("""COMPUTED_VALUE"""),45384.5566191319)</f>
        <v>45384.556619131901</v>
      </c>
      <c r="B231" s="23" t="str">
        <f ca="1">IFERROR(__xludf.DUMMYFUNCTION("""COMPUTED_VALUE"""),"")</f>
        <v/>
      </c>
      <c r="C231" s="23" t="str">
        <f ca="1">IFERROR(__xludf.DUMMYFUNCTION("""COMPUTED_VALUE"""),"Lê Công Minh An")</f>
        <v>Lê Công Minh An</v>
      </c>
      <c r="D231" s="23" t="str">
        <f ca="1">IFERROR(__xludf.DUMMYFUNCTION("""COMPUTED_VALUE"""),"K27")</f>
        <v>K27</v>
      </c>
      <c r="E231" s="23" t="str">
        <f ca="1">IFERROR(__xludf.DUMMYFUNCTION("""COMPUTED_VALUE"""),"CMU - TTT")</f>
        <v>CMU - TTT</v>
      </c>
      <c r="F231" s="9" t="str">
        <f ca="1">IFERROR(__xludf.DUMMYFUNCTION("""COMPUTED_VALUE"""),"Thông báo cho sinh viên về thời gian nộp học phí và các hoạt động của trường")</f>
        <v>Thông báo cho sinh viên về thời gian nộp học phí và các hoạt động của trường</v>
      </c>
      <c r="G231" s="9">
        <f ca="1">IFERROR(__xludf.DUMMYFUNCTION("""COMPUTED_VALUE"""),5)</f>
        <v>5</v>
      </c>
      <c r="H231" s="9" t="str">
        <f ca="1">IFERROR(__xludf.DUMMYFUNCTION("""COMPUTED_VALUE"""),"Thời gian đánh giá rèn luyện? 
Thời gian nộp học phí?
Thời gian nộp bảo hiểm y tế? 
Thời gian đăng ký tín chỉ?
Thời gian khai báo ngoại trú?")</f>
        <v>Thời gian đánh giá rèn luyện? 
Thời gian nộp học phí?
Thời gian nộp bảo hiểm y tế? 
Thời gian đăng ký tín chỉ?
Thời gian khai báo ngoại trú?</v>
      </c>
    </row>
    <row r="232" spans="1:8" ht="14.4">
      <c r="A232" s="22">
        <f ca="1">IFERROR(__xludf.DUMMYFUNCTION("""COMPUTED_VALUE"""),45384.5567185879)</f>
        <v>45384.556718587897</v>
      </c>
      <c r="B232" s="23" t="str">
        <f ca="1">IFERROR(__xludf.DUMMYFUNCTION("""COMPUTED_VALUE"""),"")</f>
        <v/>
      </c>
      <c r="C232" s="23" t="str">
        <f ca="1">IFERROR(__xludf.DUMMYFUNCTION("""COMPUTED_VALUE"""),"Trần Trung Thế")</f>
        <v>Trần Trung Thế</v>
      </c>
      <c r="D232" s="23" t="str">
        <f ca="1">IFERROR(__xludf.DUMMYFUNCTION("""COMPUTED_VALUE"""),"K29")</f>
        <v>K29</v>
      </c>
      <c r="E232" s="23" t="str">
        <f ca="1">IFERROR(__xludf.DUMMYFUNCTION("""COMPUTED_VALUE"""),"CMU - TAM")</f>
        <v>CMU - TAM</v>
      </c>
      <c r="F232" s="9" t="str">
        <f ca="1">IFERROR(__xludf.DUMMYFUNCTION("""COMPUTED_VALUE"""),"Đầy đủ các tính năng mà một giảng viên thường có thể cung cấp")</f>
        <v>Đầy đủ các tính năng mà một giảng viên thường có thể cung cấp</v>
      </c>
      <c r="G232" s="9">
        <f ca="1">IFERROR(__xludf.DUMMYFUNCTION("""COMPUTED_VALUE"""),5)</f>
        <v>5</v>
      </c>
      <c r="H232" s="9" t="str">
        <f ca="1">IFERROR(__xludf.DUMMYFUNCTION("""COMPUTED_VALUE"""),"Cách để đăng kí thêm tín chỉ vào các kì học?
Em đang muốn tìm hiểu sâu hơn vào chuyên ngành thì em nên hỏi thêm ở giảng viên nào?
Em muốn học lên cao hơn sau khi tốt nghiệp có được hay không?
Em muốn tìm kiếm các cơ hội thực tập tốt thì nên có điều kiện g"&amp;"ì?
Em muốn phát triển thêm các kĩ năng về ngôn ngữ lập trình thì nên theo giảng viên nào?")</f>
        <v>Cách để đăng kí thêm tín chỉ vào các kì học?
Em đang muốn tìm hiểu sâu hơn vào chuyên ngành thì em nên hỏi thêm ở giảng viên nào?
Em muốn học lên cao hơn sau khi tốt nghiệp có được hay không?
Em muốn tìm kiếm các cơ hội thực tập tốt thì nên có điều kiện gì?
Em muốn phát triển thêm các kĩ năng về ngôn ngữ lập trình thì nên theo giảng viên nào?</v>
      </c>
    </row>
    <row r="233" spans="1:8" ht="14.4">
      <c r="A233" s="22">
        <f ca="1">IFERROR(__xludf.DUMMYFUNCTION("""COMPUTED_VALUE"""),45384.556770787)</f>
        <v>45384.556770787</v>
      </c>
      <c r="B233" s="23" t="str">
        <f ca="1">IFERROR(__xludf.DUMMYFUNCTION("""COMPUTED_VALUE"""),"")</f>
        <v/>
      </c>
      <c r="C233" s="23" t="str">
        <f ca="1">IFERROR(__xludf.DUMMYFUNCTION("""COMPUTED_VALUE"""),"Nguyễn Nữ Hữu Chí")</f>
        <v>Nguyễn Nữ Hữu Chí</v>
      </c>
      <c r="D233" s="23" t="str">
        <f ca="1">IFERROR(__xludf.DUMMYFUNCTION("""COMPUTED_VALUE"""),"K29")</f>
        <v>K29</v>
      </c>
      <c r="E233" s="23" t="str">
        <f ca="1">IFERROR(__xludf.DUMMYFUNCTION("""COMPUTED_VALUE"""),"CMU - TAM")</f>
        <v>CMU - TAM</v>
      </c>
      <c r="F233" s="9" t="str">
        <f ca="1">IFERROR(__xludf.DUMMYFUNCTION("""COMPUTED_VALUE"""),"Hỗ trợ học tập, cung cấp tài liệu học tập")</f>
        <v>Hỗ trợ học tập, cung cấp tài liệu học tập</v>
      </c>
      <c r="G233" s="9">
        <f ca="1">IFERROR(__xludf.DUMMYFUNCTION("""COMPUTED_VALUE"""),5)</f>
        <v>5</v>
      </c>
      <c r="H233" s="9" t="str">
        <f ca="1">IFERROR(__xludf.DUMMYFUNCTION("""COMPUTED_VALUE"""),"Cách đăng kí tín chỉ bổ sung")</f>
        <v>Cách đăng kí tín chỉ bổ sung</v>
      </c>
    </row>
    <row r="234" spans="1:8" ht="14.4">
      <c r="A234" s="22">
        <f ca="1">IFERROR(__xludf.DUMMYFUNCTION("""COMPUTED_VALUE"""),45384.5572537152)</f>
        <v>45384.557253715197</v>
      </c>
      <c r="B234" s="23" t="str">
        <f ca="1">IFERROR(__xludf.DUMMYFUNCTION("""COMPUTED_VALUE"""),"")</f>
        <v/>
      </c>
      <c r="C234" s="23" t="str">
        <f ca="1">IFERROR(__xludf.DUMMYFUNCTION("""COMPUTED_VALUE"""),"Nguyễn Văn Hiếu")</f>
        <v>Nguyễn Văn Hiếu</v>
      </c>
      <c r="D234" s="23" t="str">
        <f ca="1">IFERROR(__xludf.DUMMYFUNCTION("""COMPUTED_VALUE"""),"K27")</f>
        <v>K27</v>
      </c>
      <c r="E234" s="23" t="str">
        <f ca="1">IFERROR(__xludf.DUMMYFUNCTION("""COMPUTED_VALUE"""),"CMU - TPM")</f>
        <v>CMU - TPM</v>
      </c>
      <c r="F234" s="9"/>
      <c r="G234" s="9">
        <f ca="1">IFERROR(__xludf.DUMMYFUNCTION("""COMPUTED_VALUE"""),5)</f>
        <v>5</v>
      </c>
      <c r="H234" s="9" t="str">
        <f ca="1">IFERROR(__xludf.DUMMYFUNCTION("""COMPUTED_VALUE"""),"Cách đánh giá nhận học bổng mỗi kì?
Cách tính điểm rèn luyện
Cách tính điểm phổ cập theo điểm chữ
Gặp trường hợp thi trên sakai bị rớt ra ngoài phải làm thế nào?
Cách đăng kí cấp giấy xác nhận?")</f>
        <v>Cách đánh giá nhận học bổng mỗi kì?
Cách tính điểm rèn luyện
Cách tính điểm phổ cập theo điểm chữ
Gặp trường hợp thi trên sakai bị rớt ra ngoài phải làm thế nào?
Cách đăng kí cấp giấy xác nhận?</v>
      </c>
    </row>
    <row r="235" spans="1:8" ht="14.4">
      <c r="A235" s="22">
        <f ca="1">IFERROR(__xludf.DUMMYFUNCTION("""COMPUTED_VALUE"""),45384.5576338657)</f>
        <v>45384.557633865697</v>
      </c>
      <c r="B235" s="23" t="str">
        <f ca="1">IFERROR(__xludf.DUMMYFUNCTION("""COMPUTED_VALUE"""),"")</f>
        <v/>
      </c>
      <c r="C235" s="23" t="str">
        <f ca="1">IFERROR(__xludf.DUMMYFUNCTION("""COMPUTED_VALUE"""),"Trần Vũ Thanh Lâm")</f>
        <v>Trần Vũ Thanh Lâm</v>
      </c>
      <c r="D235" s="23" t="str">
        <f ca="1">IFERROR(__xludf.DUMMYFUNCTION("""COMPUTED_VALUE"""),"K27")</f>
        <v>K27</v>
      </c>
      <c r="E235" s="23" t="str">
        <f ca="1">IFERROR(__xludf.DUMMYFUNCTION("""COMPUTED_VALUE"""),"CMU - TPM")</f>
        <v>CMU - TPM</v>
      </c>
      <c r="F235" s="9" t="str">
        <f ca="1">IFERROR(__xludf.DUMMYFUNCTION("""COMPUTED_VALUE"""),"Đưa ra thông tin dưới dạng bảng hoặc biểu đồ (trong một vài trường hợp cụ thể khả thi)")</f>
        <v>Đưa ra thông tin dưới dạng bảng hoặc biểu đồ (trong một vài trường hợp cụ thể khả thi)</v>
      </c>
      <c r="G235" s="9">
        <f ca="1">IFERROR(__xludf.DUMMYFUNCTION("""COMPUTED_VALUE"""),5)</f>
        <v>5</v>
      </c>
      <c r="H235" s="9" t="str">
        <f ca="1">IFERROR(__xludf.DUMMYFUNCTION("""COMPUTED_VALUE"""),"Thông tin về bảo hiểm y tế?
Phương pháp học môn ctdl và gt?
Giới thiệu sơ lượt về nội dung và phương pháp học môn học mới?")</f>
        <v>Thông tin về bảo hiểm y tế?
Phương pháp học môn ctdl và gt?
Giới thiệu sơ lượt về nội dung và phương pháp học môn học mới?</v>
      </c>
    </row>
    <row r="236" spans="1:8" ht="14.4">
      <c r="A236" s="22">
        <f ca="1">IFERROR(__xludf.DUMMYFUNCTION("""COMPUTED_VALUE"""),45384.5583109953)</f>
        <v>45384.5583109953</v>
      </c>
      <c r="B236" s="23" t="str">
        <f ca="1">IFERROR(__xludf.DUMMYFUNCTION("""COMPUTED_VALUE"""),"")</f>
        <v/>
      </c>
      <c r="C236" s="23" t="str">
        <f ca="1">IFERROR(__xludf.DUMMYFUNCTION("""COMPUTED_VALUE"""),"Nguyễn Hữu Quang Vinh")</f>
        <v>Nguyễn Hữu Quang Vinh</v>
      </c>
      <c r="D236" s="23" t="str">
        <f ca="1">IFERROR(__xludf.DUMMYFUNCTION("""COMPUTED_VALUE"""),"K27")</f>
        <v>K27</v>
      </c>
      <c r="E236" s="23" t="str">
        <f ca="1">IFERROR(__xludf.DUMMYFUNCTION("""COMPUTED_VALUE"""),"CMU - TTT")</f>
        <v>CMU - TTT</v>
      </c>
      <c r="F236" s="9" t="str">
        <f ca="1">IFERROR(__xludf.DUMMYFUNCTION("""COMPUTED_VALUE"""),"Có thể giúp em trả lời mọi câu hỏi về lập trình")</f>
        <v>Có thể giúp em trả lời mọi câu hỏi về lập trình</v>
      </c>
      <c r="G236" s="9">
        <f ca="1">IFERROR(__xludf.DUMMYFUNCTION("""COMPUTED_VALUE"""),4)</f>
        <v>4</v>
      </c>
      <c r="H236" s="9" t="str">
        <f ca="1">IFERROR(__xludf.DUMMYFUNCTION("""COMPUTED_VALUE"""),"Cách nộp tiền thông qua ví điện tử
Trường mình cho bao nhiêu cơ sở
Thời gian hoạt động của trường từ khi nào đến khi nào
Khi sắp xếp nhóm để bảo vệ đồ án cuối năm thì có thể tự sắp nhóm được không
Cách tính GPA")</f>
        <v>Cách nộp tiền thông qua ví điện tử
Trường mình cho bao nhiêu cơ sở
Thời gian hoạt động của trường từ khi nào đến khi nào
Khi sắp xếp nhóm để bảo vệ đồ án cuối năm thì có thể tự sắp nhóm được không
Cách tính GPA</v>
      </c>
    </row>
    <row r="237" spans="1:8" ht="14.4">
      <c r="A237" s="22">
        <f ca="1">IFERROR(__xludf.DUMMYFUNCTION("""COMPUTED_VALUE"""),45384.5584195949)</f>
        <v>45384.558419594898</v>
      </c>
      <c r="B237" s="23" t="str">
        <f ca="1">IFERROR(__xludf.DUMMYFUNCTION("""COMPUTED_VALUE"""),"")</f>
        <v/>
      </c>
      <c r="C237" s="23" t="str">
        <f ca="1">IFERROR(__xludf.DUMMYFUNCTION("""COMPUTED_VALUE"""),"Phạm Minh Tuấn")</f>
        <v>Phạm Minh Tuấn</v>
      </c>
      <c r="D237" s="23" t="str">
        <f ca="1">IFERROR(__xludf.DUMMYFUNCTION("""COMPUTED_VALUE"""),"K27")</f>
        <v>K27</v>
      </c>
      <c r="E237" s="23" t="str">
        <f ca="1">IFERROR(__xludf.DUMMYFUNCTION("""COMPUTED_VALUE"""),"CMU - TTT")</f>
        <v>CMU - TTT</v>
      </c>
      <c r="F237" s="9"/>
      <c r="G237" s="9">
        <f ca="1">IFERROR(__xludf.DUMMYFUNCTION("""COMPUTED_VALUE"""),4)</f>
        <v>4</v>
      </c>
      <c r="H237" s="9" t="str">
        <f ca="1">IFERROR(__xludf.DUMMYFUNCTION("""COMPUTED_VALUE"""),"Cách xét nhận học bổng ?
Cách làm đơn đăng ký mở lớp ?
Cách nộp bằng giáo dục quốc phòng để được miễn học học phần giáo dục quốc phòng ?
Cách đăng kí làm capstone ?
Trường có tạo điều kiện thực tập ở các công ty không?")</f>
        <v>Cách xét nhận học bổng ?
Cách làm đơn đăng ký mở lớp ?
Cách nộp bằng giáo dục quốc phòng để được miễn học học phần giáo dục quốc phòng ?
Cách đăng kí làm capstone ?
Trường có tạo điều kiện thực tập ở các công ty không?</v>
      </c>
    </row>
    <row r="238" spans="1:8" ht="14.4">
      <c r="A238" s="22">
        <f ca="1">IFERROR(__xludf.DUMMYFUNCTION("""COMPUTED_VALUE"""),45384.5590354282)</f>
        <v>45384.559035428203</v>
      </c>
      <c r="B238" s="23" t="str">
        <f ca="1">IFERROR(__xludf.DUMMYFUNCTION("""COMPUTED_VALUE"""),"")</f>
        <v/>
      </c>
      <c r="C238" s="23" t="str">
        <f ca="1">IFERROR(__xludf.DUMMYFUNCTION("""COMPUTED_VALUE"""),"Đặng Văn Anh")</f>
        <v>Đặng Văn Anh</v>
      </c>
      <c r="D238" s="23" t="str">
        <f ca="1">IFERROR(__xludf.DUMMYFUNCTION("""COMPUTED_VALUE"""),"K29")</f>
        <v>K29</v>
      </c>
      <c r="E238" s="23" t="str">
        <f ca="1">IFERROR(__xludf.DUMMYFUNCTION("""COMPUTED_VALUE"""),"CMU - TAM")</f>
        <v>CMU - TAM</v>
      </c>
      <c r="F238" s="9" t="str">
        <f ca="1">IFERROR(__xludf.DUMMYFUNCTION("""COMPUTED_VALUE"""),"Hỏi đáp")</f>
        <v>Hỏi đáp</v>
      </c>
      <c r="G238" s="9">
        <f ca="1">IFERROR(__xludf.DUMMYFUNCTION("""COMPUTED_VALUE"""),1)</f>
        <v>1</v>
      </c>
      <c r="H238" s="9" t="str">
        <f ca="1">IFERROR(__xludf.DUMMYFUNCTION("""COMPUTED_VALUE"""),"Đăng kí học trong hè ra sao?
Việc tham gia vào dự án thực tế trong ngành có thể giúp sinh viên phát triển kỹ năng nào?
Những cơ hội việc làm của nghành?
Mua đồ thể dục ở đâu?
Nguồn tài liệu của nghành có phong phú không?")</f>
        <v>Đăng kí học trong hè ra sao?
Việc tham gia vào dự án thực tế trong ngành có thể giúp sinh viên phát triển kỹ năng nào?
Những cơ hội việc làm của nghành?
Mua đồ thể dục ở đâu?
Nguồn tài liệu của nghành có phong phú không?</v>
      </c>
    </row>
    <row r="239" spans="1:8" ht="14.4">
      <c r="A239" s="22">
        <f ca="1">IFERROR(__xludf.DUMMYFUNCTION("""COMPUTED_VALUE"""),45384.5591193981)</f>
        <v>45384.559119398102</v>
      </c>
      <c r="B239" s="23" t="str">
        <f ca="1">IFERROR(__xludf.DUMMYFUNCTION("""COMPUTED_VALUE"""),"")</f>
        <v/>
      </c>
      <c r="C239" s="23" t="str">
        <f ca="1">IFERROR(__xludf.DUMMYFUNCTION("""COMPUTED_VALUE"""),"Nguyễn Thục Linh")</f>
        <v>Nguyễn Thục Linh</v>
      </c>
      <c r="D239" s="23" t="str">
        <f ca="1">IFERROR(__xludf.DUMMYFUNCTION("""COMPUTED_VALUE"""),"K27")</f>
        <v>K27</v>
      </c>
      <c r="E239" s="23" t="str">
        <f ca="1">IFERROR(__xludf.DUMMYFUNCTION("""COMPUTED_VALUE"""),"CMU - TTT")</f>
        <v>CMU - TTT</v>
      </c>
      <c r="F239" s="9" t="str">
        <f ca="1">IFERROR(__xludf.DUMMYFUNCTION("""COMPUTED_VALUE"""),"Trả lời câu hỏi dựa vào hình ảnh. Dựa theo yêu cầu tạo hình ảnh ")</f>
        <v xml:space="preserve">Trả lời câu hỏi dựa vào hình ảnh. Dựa theo yêu cầu tạo hình ảnh </v>
      </c>
      <c r="G239" s="9">
        <f ca="1">IFERROR(__xludf.DUMMYFUNCTION("""COMPUTED_VALUE"""),2)</f>
        <v>2</v>
      </c>
      <c r="H239" s="9" t="str">
        <f ca="1">IFERROR(__xludf.DUMMYFUNCTION("""COMPUTED_VALUE"""),"Cách xin chuyển xuất thi do lịch thi trùng. Bao nhiêu phần trăm bị hạ bằng")</f>
        <v>Cách xin chuyển xuất thi do lịch thi trùng. Bao nhiêu phần trăm bị hạ bằng</v>
      </c>
    </row>
    <row r="240" spans="1:8" ht="14.4">
      <c r="A240" s="22">
        <f ca="1">IFERROR(__xludf.DUMMYFUNCTION("""COMPUTED_VALUE"""),45384.5591857407)</f>
        <v>45384.559185740698</v>
      </c>
      <c r="B240" s="23" t="str">
        <f ca="1">IFERROR(__xludf.DUMMYFUNCTION("""COMPUTED_VALUE"""),"")</f>
        <v/>
      </c>
      <c r="C240" s="23" t="str">
        <f ca="1">IFERROR(__xludf.DUMMYFUNCTION("""COMPUTED_VALUE"""),"Cao Văn An")</f>
        <v>Cao Văn An</v>
      </c>
      <c r="D240" s="23" t="str">
        <f ca="1">IFERROR(__xludf.DUMMYFUNCTION("""COMPUTED_VALUE"""),"K27")</f>
        <v>K27</v>
      </c>
      <c r="E240" s="23" t="str">
        <f ca="1">IFERROR(__xludf.DUMMYFUNCTION("""COMPUTED_VALUE"""),"CMU - TPM")</f>
        <v>CMU - TPM</v>
      </c>
      <c r="F240" s="9" t="str">
        <f ca="1">IFERROR(__xludf.DUMMYFUNCTION("""COMPUTED_VALUE"""),"Search,tìm kiếm tài liệu,trợ giúp sinh viên tìm bào giảng ,…")</f>
        <v>Search,tìm kiếm tài liệu,trợ giúp sinh viên tìm bào giảng ,…</v>
      </c>
      <c r="G240" s="9">
        <f ca="1">IFERROR(__xludf.DUMMYFUNCTION("""COMPUTED_VALUE"""),1)</f>
        <v>1</v>
      </c>
      <c r="H240" s="9" t="str">
        <f ca="1">IFERROR(__xludf.DUMMYFUNCTION("""COMPUTED_VALUE"""),"Sinh viên năm 3 có được chuyển ngành không?
Làm sao để nâng cao khả năng tiếp thu kiến thức?
Cách ôn bài hiệu quả ?
Cách làm việc nhóm hiệu quả?
Sinh viên năm 3 không còn đam mê với ngành học thì phải làm sao?")</f>
        <v>Sinh viên năm 3 có được chuyển ngành không?
Làm sao để nâng cao khả năng tiếp thu kiến thức?
Cách ôn bài hiệu quả ?
Cách làm việc nhóm hiệu quả?
Sinh viên năm 3 không còn đam mê với ngành học thì phải làm sao?</v>
      </c>
    </row>
    <row r="241" spans="1:8" ht="14.4">
      <c r="A241" s="22">
        <f ca="1">IFERROR(__xludf.DUMMYFUNCTION("""COMPUTED_VALUE"""),45384.5593374421)</f>
        <v>45384.559337442101</v>
      </c>
      <c r="B241" s="23" t="str">
        <f ca="1">IFERROR(__xludf.DUMMYFUNCTION("""COMPUTED_VALUE"""),"")</f>
        <v/>
      </c>
      <c r="C241" s="23" t="str">
        <f ca="1">IFERROR(__xludf.DUMMYFUNCTION("""COMPUTED_VALUE"""),"Nguyễn Quang Hoàng")</f>
        <v>Nguyễn Quang Hoàng</v>
      </c>
      <c r="D241" s="23" t="str">
        <f ca="1">IFERROR(__xludf.DUMMYFUNCTION("""COMPUTED_VALUE"""),"K27")</f>
        <v>K27</v>
      </c>
      <c r="E241" s="23" t="str">
        <f ca="1">IFERROR(__xludf.DUMMYFUNCTION("""COMPUTED_VALUE"""),"CMU - TPM")</f>
        <v>CMU - TPM</v>
      </c>
      <c r="F241" s="9"/>
      <c r="G241" s="9">
        <f ca="1">IFERROR(__xludf.DUMMYFUNCTION("""COMPUTED_VALUE"""),5)</f>
        <v>5</v>
      </c>
      <c r="H241" s="9" t="str">
        <f ca="1">IFERROR(__xludf.DUMMYFUNCTION("""COMPUTED_VALUE"""),"1.Cách đánh giá rèn luyện lại các kì trước?")</f>
        <v>1.Cách đánh giá rèn luyện lại các kì trước?</v>
      </c>
    </row>
    <row r="242" spans="1:8" ht="14.4">
      <c r="A242" s="22">
        <f ca="1">IFERROR(__xludf.DUMMYFUNCTION("""COMPUTED_VALUE"""),45384.5593539351)</f>
        <v>45384.559353935103</v>
      </c>
      <c r="B242" s="23" t="str">
        <f ca="1">IFERROR(__xludf.DUMMYFUNCTION("""COMPUTED_VALUE"""),"")</f>
        <v/>
      </c>
      <c r="C242" s="23" t="str">
        <f ca="1">IFERROR(__xludf.DUMMYFUNCTION("""COMPUTED_VALUE"""),"Trần Hoàng Phương Anh ")</f>
        <v xml:space="preserve">Trần Hoàng Phương Anh </v>
      </c>
      <c r="D242" s="23" t="str">
        <f ca="1">IFERROR(__xludf.DUMMYFUNCTION("""COMPUTED_VALUE"""),"K27")</f>
        <v>K27</v>
      </c>
      <c r="E242" s="23" t="str">
        <f ca="1">IFERROR(__xludf.DUMMYFUNCTION("""COMPUTED_VALUE"""),"CMU - TTT")</f>
        <v>CMU - TTT</v>
      </c>
      <c r="F242" s="9"/>
      <c r="G242" s="9">
        <f ca="1">IFERROR(__xludf.DUMMYFUNCTION("""COMPUTED_VALUE"""),5)</f>
        <v>5</v>
      </c>
      <c r="H242" s="9" t="str">
        <f ca="1">IFERROR(__xludf.DUMMYFUNCTION("""COMPUTED_VALUE"""),"Cách làm đơn đăng ký mở lớp?
Cách thức chọn nhóm capstone?
Những chương trình học thạc sĩ tại các trường quốc tế và những hỗ trợ của trường? ")</f>
        <v xml:space="preserve">Cách làm đơn đăng ký mở lớp?
Cách thức chọn nhóm capstone?
Những chương trình học thạc sĩ tại các trường quốc tế và những hỗ trợ của trường? </v>
      </c>
    </row>
    <row r="243" spans="1:8" ht="14.4">
      <c r="A243" s="22">
        <f ca="1">IFERROR(__xludf.DUMMYFUNCTION("""COMPUTED_VALUE"""),45384.5595170254)</f>
        <v>45384.559517025402</v>
      </c>
      <c r="B243" s="23" t="str">
        <f ca="1">IFERROR(__xludf.DUMMYFUNCTION("""COMPUTED_VALUE"""),"")</f>
        <v/>
      </c>
      <c r="C243" s="23" t="str">
        <f ca="1">IFERROR(__xludf.DUMMYFUNCTION("""COMPUTED_VALUE"""),"Nguyễn Thị Kim Quỳnh")</f>
        <v>Nguyễn Thị Kim Quỳnh</v>
      </c>
      <c r="D243" s="23" t="str">
        <f ca="1">IFERROR(__xludf.DUMMYFUNCTION("""COMPUTED_VALUE"""),"K27")</f>
        <v>K27</v>
      </c>
      <c r="E243" s="23" t="str">
        <f ca="1">IFERROR(__xludf.DUMMYFUNCTION("""COMPUTED_VALUE"""),"CMU - TTT")</f>
        <v>CMU - TTT</v>
      </c>
      <c r="F243" s="9"/>
      <c r="G243" s="9">
        <f ca="1">IFERROR(__xludf.DUMMYFUNCTION("""COMPUTED_VALUE"""),5)</f>
        <v>5</v>
      </c>
      <c r="H243" s="9" t="str">
        <f ca="1">IFERROR(__xludf.DUMMYFUNCTION("""COMPUTED_VALUE"""),"-Anh văn đầu ra của ngành?
-Ngành hệ thống thông tin cần học Tin học đầu ra không?
-Số tin chỉ được đăng ký tối đa?
-Chương trình học vượt như thế nào? 
-Cách chia nhóm làm đồ án tốt nghiệp? 
-Có được mua BHYT ngoài trường không?
")</f>
        <v xml:space="preserve">-Anh văn đầu ra của ngành?
-Ngành hệ thống thông tin cần học Tin học đầu ra không?
-Số tin chỉ được đăng ký tối đa?
-Chương trình học vượt như thế nào? 
-Cách chia nhóm làm đồ án tốt nghiệp? 
-Có được mua BHYT ngoài trường không?
</v>
      </c>
    </row>
    <row r="244" spans="1:8" ht="14.4">
      <c r="A244" s="22">
        <f ca="1">IFERROR(__xludf.DUMMYFUNCTION("""COMPUTED_VALUE"""),45384.5595479166)</f>
        <v>45384.5595479166</v>
      </c>
      <c r="B244" s="23" t="str">
        <f ca="1">IFERROR(__xludf.DUMMYFUNCTION("""COMPUTED_VALUE"""),"")</f>
        <v/>
      </c>
      <c r="C244" s="23" t="str">
        <f ca="1">IFERROR(__xludf.DUMMYFUNCTION("""COMPUTED_VALUE"""),"Bùi Huỳnh Kim Ánh")</f>
        <v>Bùi Huỳnh Kim Ánh</v>
      </c>
      <c r="D244" s="23" t="str">
        <f ca="1">IFERROR(__xludf.DUMMYFUNCTION("""COMPUTED_VALUE"""),"K27")</f>
        <v>K27</v>
      </c>
      <c r="E244" s="23" t="str">
        <f ca="1">IFERROR(__xludf.DUMMYFUNCTION("""COMPUTED_VALUE"""),"CMU - TTT")</f>
        <v>CMU - TTT</v>
      </c>
      <c r="F244" s="9"/>
      <c r="G244" s="9">
        <f ca="1">IFERROR(__xludf.DUMMYFUNCTION("""COMPUTED_VALUE"""),5)</f>
        <v>5</v>
      </c>
      <c r="H244" s="9" t="str">
        <f ca="1">IFERROR(__xludf.DUMMYFUNCTION("""COMPUTED_VALUE"""),"Số tín chỉ đăng kí là bao nhiêu?
Học bên công nghệ thông tin có học tin học đầu ra không.?
Anh văn đầu ra của ngành?
Cách làm đồ án tốt nghiệp?
Chương trình học vượt như thế nào?
")</f>
        <v xml:space="preserve">Số tín chỉ đăng kí là bao nhiêu?
Học bên công nghệ thông tin có học tin học đầu ra không.?
Anh văn đầu ra của ngành?
Cách làm đồ án tốt nghiệp?
Chương trình học vượt như thế nào?
</v>
      </c>
    </row>
    <row r="245" spans="1:8" ht="14.4">
      <c r="A245" s="22">
        <f ca="1">IFERROR(__xludf.DUMMYFUNCTION("""COMPUTED_VALUE"""),45384.5601342245)</f>
        <v>45384.560134224499</v>
      </c>
      <c r="B245" s="23" t="str">
        <f ca="1">IFERROR(__xludf.DUMMYFUNCTION("""COMPUTED_VALUE"""),"")</f>
        <v/>
      </c>
      <c r="C245" s="23" t="str">
        <f ca="1">IFERROR(__xludf.DUMMYFUNCTION("""COMPUTED_VALUE"""),"Phùng Thị Diệu Ái")</f>
        <v>Phùng Thị Diệu Ái</v>
      </c>
      <c r="D245" s="23" t="str">
        <f ca="1">IFERROR(__xludf.DUMMYFUNCTION("""COMPUTED_VALUE"""),"K27")</f>
        <v>K27</v>
      </c>
      <c r="E245" s="23" t="str">
        <f ca="1">IFERROR(__xludf.DUMMYFUNCTION("""COMPUTED_VALUE"""),"CMU - TTT")</f>
        <v>CMU - TTT</v>
      </c>
      <c r="F245" s="9" t="str">
        <f ca="1">IFERROR(__xludf.DUMMYFUNCTION("""COMPUTED_VALUE"""),"Các tính năng về gợi ý cách kĩ năng trong học tập, tư vấn về sự nghiệp, chia sẽ các nguồn tài liệu học tập,")</f>
        <v>Các tính năng về gợi ý cách kĩ năng trong học tập, tư vấn về sự nghiệp, chia sẽ các nguồn tài liệu học tập,</v>
      </c>
      <c r="G245" s="9">
        <f ca="1">IFERROR(__xludf.DUMMYFUNCTION("""COMPUTED_VALUE"""),5)</f>
        <v>5</v>
      </c>
      <c r="H245" s="9" t="str">
        <f ca="1">IFERROR(__xludf.DUMMYFUNCTION("""COMPUTED_VALUE"""),"Hiện tại bên ngành mình  có nên học chứng chỉ MOS không ạ ?
Làm sao để đăng kí học lấy chứng chỉ công nghệ thông tin FE?
Làm nghiên cứu khoa học thì sẽ được cộng bao nhiêu điểm vào đồ án tốt nghiệp? 
Khi làm đồ án tốt nghiệp thì sẽ được chia theo thang đi"&amp;"ểm hay sẽ được chọn nhóm ? 
Giữa thi tốt nghiệp và làm đồ án tốt nghiệp thì cái nào sẽ ổn hơn")</f>
        <v>Hiện tại bên ngành mình  có nên học chứng chỉ MOS không ạ ?
Làm sao để đăng kí học lấy chứng chỉ công nghệ thông tin FE?
Làm nghiên cứu khoa học thì sẽ được cộng bao nhiêu điểm vào đồ án tốt nghiệp? 
Khi làm đồ án tốt nghiệp thì sẽ được chia theo thang điểm hay sẽ được chọn nhóm ? 
Giữa thi tốt nghiệp và làm đồ án tốt nghiệp thì cái nào sẽ ổn hơn</v>
      </c>
    </row>
    <row r="246" spans="1:8" ht="14.4">
      <c r="A246" s="22">
        <f ca="1">IFERROR(__xludf.DUMMYFUNCTION("""COMPUTED_VALUE"""),45384.5608960416)</f>
        <v>45384.560896041599</v>
      </c>
      <c r="B246" s="23" t="str">
        <f ca="1">IFERROR(__xludf.DUMMYFUNCTION("""COMPUTED_VALUE"""),"")</f>
        <v/>
      </c>
      <c r="C246" s="23" t="str">
        <f ca="1">IFERROR(__xludf.DUMMYFUNCTION("""COMPUTED_VALUE"""),"Nguyễn Thị Hồng Hà")</f>
        <v>Nguyễn Thị Hồng Hà</v>
      </c>
      <c r="D246" s="23" t="str">
        <f ca="1">IFERROR(__xludf.DUMMYFUNCTION("""COMPUTED_VALUE"""),"K27")</f>
        <v>K27</v>
      </c>
      <c r="E246" s="23" t="str">
        <f ca="1">IFERROR(__xludf.DUMMYFUNCTION("""COMPUTED_VALUE"""),"CMU - TTT")</f>
        <v>CMU - TTT</v>
      </c>
      <c r="F246" s="9" t="str">
        <f ca="1">IFERROR(__xludf.DUMMYFUNCTION("""COMPUTED_VALUE"""),"Hình ảnh, vẽ biểu đồ")</f>
        <v>Hình ảnh, vẽ biểu đồ</v>
      </c>
      <c r="G246" s="9">
        <f ca="1">IFERROR(__xludf.DUMMYFUNCTION("""COMPUTED_VALUE"""),5)</f>
        <v>5</v>
      </c>
      <c r="H246" s="9" t="str">
        <f ca="1">IFERROR(__xludf.DUMMYFUNCTION("""COMPUTED_VALUE"""),"Những điều kiện cần thiết để được tốt nghiệp ra trường")</f>
        <v>Những điều kiện cần thiết để được tốt nghiệp ra trường</v>
      </c>
    </row>
    <row r="247" spans="1:8" ht="14.4">
      <c r="A247" s="22">
        <f ca="1">IFERROR(__xludf.DUMMYFUNCTION("""COMPUTED_VALUE"""),45384.560897824)</f>
        <v>45384.560897823998</v>
      </c>
      <c r="B247" s="23" t="str">
        <f ca="1">IFERROR(__xludf.DUMMYFUNCTION("""COMPUTED_VALUE"""),"")</f>
        <v/>
      </c>
      <c r="C247" s="23" t="str">
        <f ca="1">IFERROR(__xludf.DUMMYFUNCTION("""COMPUTED_VALUE"""),"Phan Văn Minh Mạnh")</f>
        <v>Phan Văn Minh Mạnh</v>
      </c>
      <c r="D247" s="23" t="str">
        <f ca="1">IFERROR(__xludf.DUMMYFUNCTION("""COMPUTED_VALUE"""),"K27")</f>
        <v>K27</v>
      </c>
      <c r="E247" s="23" t="str">
        <f ca="1">IFERROR(__xludf.DUMMYFUNCTION("""COMPUTED_VALUE"""),"CMU - TTT")</f>
        <v>CMU - TTT</v>
      </c>
      <c r="F247" s="9" t="str">
        <f ca="1">IFERROR(__xludf.DUMMYFUNCTION("""COMPUTED_VALUE"""),"Các thông báo quan trọng sẽ hiển thị để sinh viên trường biết tránh việc quên sót")</f>
        <v>Các thông báo quan trọng sẽ hiển thị để sinh viên trường biết tránh việc quên sót</v>
      </c>
      <c r="G247" s="9">
        <f ca="1">IFERROR(__xludf.DUMMYFUNCTION("""COMPUTED_VALUE"""),4)</f>
        <v>4</v>
      </c>
      <c r="H247" s="9" t="str">
        <f ca="1">IFERROR(__xludf.DUMMYFUNCTION("""COMPUTED_VALUE"""),"Cách nhận được thông báo dễ dàng mỗi khi có kì đánh giá rèn luyện?
Các thông báo thay đổi của trường mỗi khi có các vấn đề?
Làm sao để thoát khỏi cái nhà gửi xe lúc vào học và lúc ra về nhanh hơn?
")</f>
        <v xml:space="preserve">Cách nhận được thông báo dễ dàng mỗi khi có kì đánh giá rèn luyện?
Các thông báo thay đổi của trường mỗi khi có các vấn đề?
Làm sao để thoát khỏi cái nhà gửi xe lúc vào học và lúc ra về nhanh hơn?
</v>
      </c>
    </row>
    <row r="248" spans="1:8" ht="14.4">
      <c r="A248" s="22">
        <f ca="1">IFERROR(__xludf.DUMMYFUNCTION("""COMPUTED_VALUE"""),45384.5610828009)</f>
        <v>45384.561082800901</v>
      </c>
      <c r="B248" s="23" t="str">
        <f ca="1">IFERROR(__xludf.DUMMYFUNCTION("""COMPUTED_VALUE"""),"")</f>
        <v/>
      </c>
      <c r="C248" s="23" t="str">
        <f ca="1">IFERROR(__xludf.DUMMYFUNCTION("""COMPUTED_VALUE"""),"Trần Văn Hải")</f>
        <v>Trần Văn Hải</v>
      </c>
      <c r="D248" s="23" t="str">
        <f ca="1">IFERROR(__xludf.DUMMYFUNCTION("""COMPUTED_VALUE"""),"K27")</f>
        <v>K27</v>
      </c>
      <c r="E248" s="23" t="str">
        <f ca="1">IFERROR(__xludf.DUMMYFUNCTION("""COMPUTED_VALUE"""),"CMU - TTT")</f>
        <v>CMU - TTT</v>
      </c>
      <c r="F248" s="9"/>
      <c r="G248" s="9">
        <f ca="1">IFERROR(__xludf.DUMMYFUNCTION("""COMPUTED_VALUE"""),4)</f>
        <v>4</v>
      </c>
      <c r="H248" s="9" t="str">
        <f ca="1">IFERROR(__xludf.DUMMYFUNCTION("""COMPUTED_VALUE"""),"-Cách đưa ra cảnh báo khi không đánh giá rèn luyện?
- Xác định được xu hướng nghành nghề hiện tại trên thị trường")</f>
        <v>-Cách đưa ra cảnh báo khi không đánh giá rèn luyện?
- Xác định được xu hướng nghành nghề hiện tại trên thị trường</v>
      </c>
    </row>
    <row r="249" spans="1:8" ht="14.4">
      <c r="A249" s="22">
        <f ca="1">IFERROR(__xludf.DUMMYFUNCTION("""COMPUTED_VALUE"""),45384.5612002893)</f>
        <v>45384.561200289303</v>
      </c>
      <c r="B249" s="23" t="str">
        <f ca="1">IFERROR(__xludf.DUMMYFUNCTION("""COMPUTED_VALUE"""),"")</f>
        <v/>
      </c>
      <c r="C249" s="23" t="str">
        <f ca="1">IFERROR(__xludf.DUMMYFUNCTION("""COMPUTED_VALUE"""),"Phan Thanh Nhàn")</f>
        <v>Phan Thanh Nhàn</v>
      </c>
      <c r="D249" s="23" t="str">
        <f ca="1">IFERROR(__xludf.DUMMYFUNCTION("""COMPUTED_VALUE"""),"K26")</f>
        <v>K26</v>
      </c>
      <c r="E249" s="23" t="str">
        <f ca="1">IFERROR(__xludf.DUMMYFUNCTION("""COMPUTED_VALUE"""),"CMU - TPM")</f>
        <v>CMU - TPM</v>
      </c>
      <c r="F249" s="9"/>
      <c r="G249" s="9">
        <f ca="1">IFERROR(__xludf.DUMMYFUNCTION("""COMPUTED_VALUE"""),5)</f>
        <v>5</v>
      </c>
      <c r="H249" s="9" t="str">
        <f ca="1">IFERROR(__xludf.DUMMYFUNCTION("""COMPUTED_VALUE"""),"Hổ trợ thông tin về đồ án tốt nghiệp?
Cách đăng nhập gmail của trường ( cấp cho sinh viên ) vào tài khoản zoom?
Cách nộp bài trên dopbox?
Tìm kiếm tài liệu học tập ở đâu?
Cách đăng ký mua bảo hiểm y tế?
Địa chỉ các cơ sở của trường?
Cách nộp bài tập về nh"&amp;"à trên assiment?")</f>
        <v>Hổ trợ thông tin về đồ án tốt nghiệp?
Cách đăng nhập gmail của trường ( cấp cho sinh viên ) vào tài khoản zoom?
Cách nộp bài trên dopbox?
Tìm kiếm tài liệu học tập ở đâu?
Cách đăng ký mua bảo hiểm y tế?
Địa chỉ các cơ sở của trường?
Cách nộp bài tập về nhà trên assiment?</v>
      </c>
    </row>
    <row r="250" spans="1:8" ht="14.4">
      <c r="A250" s="22">
        <f ca="1">IFERROR(__xludf.DUMMYFUNCTION("""COMPUTED_VALUE"""),45384.5619139699)</f>
        <v>45384.561913969897</v>
      </c>
      <c r="B250" s="23" t="str">
        <f ca="1">IFERROR(__xludf.DUMMYFUNCTION("""COMPUTED_VALUE"""),"")</f>
        <v/>
      </c>
      <c r="C250" s="23" t="str">
        <f ca="1">IFERROR(__xludf.DUMMYFUNCTION("""COMPUTED_VALUE"""),"nguyễn nhân tính")</f>
        <v>nguyễn nhân tính</v>
      </c>
      <c r="D250" s="23" t="str">
        <f ca="1">IFERROR(__xludf.DUMMYFUNCTION("""COMPUTED_VALUE"""),"K27")</f>
        <v>K27</v>
      </c>
      <c r="E250" s="23" t="str">
        <f ca="1">IFERROR(__xludf.DUMMYFUNCTION("""COMPUTED_VALUE"""),"CMU - TTT")</f>
        <v>CMU - TTT</v>
      </c>
      <c r="F250" s="9" t="str">
        <f ca="1">IFERROR(__xludf.DUMMYFUNCTION("""COMPUTED_VALUE"""),"hỏi trả lời trục tiếp qua âm thanh hong cần gõ văn bản")</f>
        <v>hỏi trả lời trục tiếp qua âm thanh hong cần gõ văn bản</v>
      </c>
      <c r="G250" s="9">
        <f ca="1">IFERROR(__xludf.DUMMYFUNCTION("""COMPUTED_VALUE"""),5)</f>
        <v>5</v>
      </c>
      <c r="H250" s="9" t="str">
        <f ca="1">IFERROR(__xludf.DUMMYFUNCTION("""COMPUTED_VALUE"""),"cách làm đơn đăng kí học cải thiện ")</f>
        <v xml:space="preserve">cách làm đơn đăng kí học cải thiện </v>
      </c>
    </row>
    <row r="251" spans="1:8" ht="14.4">
      <c r="A251" s="22">
        <f ca="1">IFERROR(__xludf.DUMMYFUNCTION("""COMPUTED_VALUE"""),45384.6442233564)</f>
        <v>45384.644223356401</v>
      </c>
      <c r="B251" s="23" t="str">
        <f ca="1">IFERROR(__xludf.DUMMYFUNCTION("""COMPUTED_VALUE"""),"")</f>
        <v/>
      </c>
      <c r="C251" s="23" t="str">
        <f ca="1">IFERROR(__xludf.DUMMYFUNCTION("""COMPUTED_VALUE"""),"Phạm Lê Hữu Hiệu")</f>
        <v>Phạm Lê Hữu Hiệu</v>
      </c>
      <c r="D251" s="23" t="str">
        <f ca="1">IFERROR(__xludf.DUMMYFUNCTION("""COMPUTED_VALUE"""),"K29")</f>
        <v>K29</v>
      </c>
      <c r="E251" s="23" t="str">
        <f ca="1">IFERROR(__xludf.DUMMYFUNCTION("""COMPUTED_VALUE"""),"CMU - TAM")</f>
        <v>CMU - TAM</v>
      </c>
      <c r="F251" s="9" t="str">
        <f ca="1">IFERROR(__xludf.DUMMYFUNCTION("""COMPUTED_VALUE"""),"Định hướng nghề nghiệp")</f>
        <v>Định hướng nghề nghiệp</v>
      </c>
      <c r="G251" s="9">
        <f ca="1">IFERROR(__xludf.DUMMYFUNCTION("""COMPUTED_VALUE"""),5)</f>
        <v>5</v>
      </c>
      <c r="H251" s="9" t="str">
        <f ca="1">IFERROR(__xludf.DUMMYFUNCTION("""COMPUTED_VALUE"""),"Em không có câu hỏi")</f>
        <v>Em không có câu hỏi</v>
      </c>
    </row>
    <row r="252" spans="1:8" ht="14.4">
      <c r="A252" s="22">
        <f ca="1">IFERROR(__xludf.DUMMYFUNCTION("""COMPUTED_VALUE"""),45384.6443957986)</f>
        <v>45384.644395798598</v>
      </c>
      <c r="B252" s="23" t="str">
        <f ca="1">IFERROR(__xludf.DUMMYFUNCTION("""COMPUTED_VALUE"""),"")</f>
        <v/>
      </c>
      <c r="C252" s="23" t="str">
        <f ca="1">IFERROR(__xludf.DUMMYFUNCTION("""COMPUTED_VALUE"""),"Thái Văn Kiệt")</f>
        <v>Thái Văn Kiệt</v>
      </c>
      <c r="D252" s="23" t="str">
        <f ca="1">IFERROR(__xludf.DUMMYFUNCTION("""COMPUTED_VALUE"""),"K29")</f>
        <v>K29</v>
      </c>
      <c r="E252" s="23" t="str">
        <f ca="1">IFERROR(__xludf.DUMMYFUNCTION("""COMPUTED_VALUE"""),"CMU - TAM")</f>
        <v>CMU - TAM</v>
      </c>
      <c r="F252" s="9"/>
      <c r="G252" s="9">
        <f ca="1">IFERROR(__xludf.DUMMYFUNCTION("""COMPUTED_VALUE"""),2)</f>
        <v>2</v>
      </c>
      <c r="H252" s="9" t="str">
        <f ca="1">IFERROR(__xludf.DUMMYFUNCTION("""COMPUTED_VALUE"""),"Cách làm đơn đăng ký tín chỉ")</f>
        <v>Cách làm đơn đăng ký tín chỉ</v>
      </c>
    </row>
    <row r="253" spans="1:8" ht="14.4">
      <c r="A253" s="22">
        <f ca="1">IFERROR(__xludf.DUMMYFUNCTION("""COMPUTED_VALUE"""),45384.6444644907)</f>
        <v>45384.644464490702</v>
      </c>
      <c r="B253" s="23" t="str">
        <f ca="1">IFERROR(__xludf.DUMMYFUNCTION("""COMPUTED_VALUE"""),"")</f>
        <v/>
      </c>
      <c r="C253" s="23" t="str">
        <f ca="1">IFERROR(__xludf.DUMMYFUNCTION("""COMPUTED_VALUE"""),"Phạm Văn Việt ")</f>
        <v xml:space="preserve">Phạm Văn Việt </v>
      </c>
      <c r="D253" s="23" t="str">
        <f ca="1">IFERROR(__xludf.DUMMYFUNCTION("""COMPUTED_VALUE"""),"K29")</f>
        <v>K29</v>
      </c>
      <c r="E253" s="23" t="str">
        <f ca="1">IFERROR(__xludf.DUMMYFUNCTION("""COMPUTED_VALUE"""),"CMU - TAM")</f>
        <v>CMU - TAM</v>
      </c>
      <c r="F253" s="9" t="str">
        <f ca="1">IFERROR(__xludf.DUMMYFUNCTION("""COMPUTED_VALUE"""),"Học tập ")</f>
        <v xml:space="preserve">Học tập </v>
      </c>
      <c r="G253" s="9">
        <f ca="1">IFERROR(__xludf.DUMMYFUNCTION("""COMPUTED_VALUE"""),4)</f>
        <v>4</v>
      </c>
      <c r="H253" s="9" t="str">
        <f ca="1">IFERROR(__xludf.DUMMYFUNCTION("""COMPUTED_VALUE"""),"Cách làm đơn đăng ký tín chỉ")</f>
        <v>Cách làm đơn đăng ký tín chỉ</v>
      </c>
    </row>
    <row r="254" spans="1:8" ht="14.4">
      <c r="A254" s="22">
        <f ca="1">IFERROR(__xludf.DUMMYFUNCTION("""COMPUTED_VALUE"""),45384.6445653819)</f>
        <v>45384.644565381903</v>
      </c>
      <c r="B254" s="23" t="str">
        <f ca="1">IFERROR(__xludf.DUMMYFUNCTION("""COMPUTED_VALUE"""),"")</f>
        <v/>
      </c>
      <c r="C254" s="23" t="str">
        <f ca="1">IFERROR(__xludf.DUMMYFUNCTION("""COMPUTED_VALUE"""),"Trần Nguyên Đại")</f>
        <v>Trần Nguyên Đại</v>
      </c>
      <c r="D254" s="23" t="str">
        <f ca="1">IFERROR(__xludf.DUMMYFUNCTION("""COMPUTED_VALUE"""),"K29")</f>
        <v>K29</v>
      </c>
      <c r="E254" s="23" t="str">
        <f ca="1">IFERROR(__xludf.DUMMYFUNCTION("""COMPUTED_VALUE"""),"CMU - TAM")</f>
        <v>CMU - TAM</v>
      </c>
      <c r="F254" s="9"/>
      <c r="G254" s="9">
        <f ca="1">IFERROR(__xludf.DUMMYFUNCTION("""COMPUTED_VALUE"""),1)</f>
        <v>1</v>
      </c>
      <c r="H254" s="9" t="str">
        <f ca="1">IFERROR(__xludf.DUMMYFUNCTION("""COMPUTED_VALUE"""),"đăng kí tín chỉ")</f>
        <v>đăng kí tín chỉ</v>
      </c>
    </row>
    <row r="255" spans="1:8" ht="14.4">
      <c r="A255" s="22">
        <f ca="1">IFERROR(__xludf.DUMMYFUNCTION("""COMPUTED_VALUE"""),45384.6445886458)</f>
        <v>45384.644588645802</v>
      </c>
      <c r="B255" s="23" t="str">
        <f ca="1">IFERROR(__xludf.DUMMYFUNCTION("""COMPUTED_VALUE"""),"")</f>
        <v/>
      </c>
      <c r="C255" s="23" t="str">
        <f ca="1">IFERROR(__xludf.DUMMYFUNCTION("""COMPUTED_VALUE"""),"Nguyễn Minh Hùng")</f>
        <v>Nguyễn Minh Hùng</v>
      </c>
      <c r="D255" s="23" t="str">
        <f ca="1">IFERROR(__xludf.DUMMYFUNCTION("""COMPUTED_VALUE"""),"K29")</f>
        <v>K29</v>
      </c>
      <c r="E255" s="23" t="str">
        <f ca="1">IFERROR(__xludf.DUMMYFUNCTION("""COMPUTED_VALUE"""),"CMU - TAM")</f>
        <v>CMU - TAM</v>
      </c>
      <c r="F255" s="9"/>
      <c r="G255" s="9">
        <f ca="1">IFERROR(__xludf.DUMMYFUNCTION("""COMPUTED_VALUE"""),3)</f>
        <v>3</v>
      </c>
      <c r="H255" s="9" t="str">
        <f ca="1">IFERROR(__xludf.DUMMYFUNCTION("""COMPUTED_VALUE"""),"Em không có ")</f>
        <v xml:space="preserve">Em không có </v>
      </c>
    </row>
    <row r="256" spans="1:8" ht="14.4">
      <c r="A256" s="22">
        <f ca="1">IFERROR(__xludf.DUMMYFUNCTION("""COMPUTED_VALUE"""),45384.6446064351)</f>
        <v>45384.644606435097</v>
      </c>
      <c r="B256" s="23" t="str">
        <f ca="1">IFERROR(__xludf.DUMMYFUNCTION("""COMPUTED_VALUE"""),"")</f>
        <v/>
      </c>
      <c r="C256" s="23" t="str">
        <f ca="1">IFERROR(__xludf.DUMMYFUNCTION("""COMPUTED_VALUE"""),"Lê Đại Vĩ")</f>
        <v>Lê Đại Vĩ</v>
      </c>
      <c r="D256" s="23" t="str">
        <f ca="1">IFERROR(__xludf.DUMMYFUNCTION("""COMPUTED_VALUE"""),"K29")</f>
        <v>K29</v>
      </c>
      <c r="E256" s="23" t="str">
        <f ca="1">IFERROR(__xludf.DUMMYFUNCTION("""COMPUTED_VALUE"""),"CMU - TAM")</f>
        <v>CMU - TAM</v>
      </c>
      <c r="F256" s="9"/>
      <c r="G256" s="9">
        <f ca="1">IFERROR(__xludf.DUMMYFUNCTION("""COMPUTED_VALUE"""),5)</f>
        <v>5</v>
      </c>
      <c r="H256" s="9" t="str">
        <f ca="1">IFERROR(__xludf.DUMMYFUNCTION("""COMPUTED_VALUE"""),"Cách học c++ tốt")</f>
        <v>Cách học c++ tốt</v>
      </c>
    </row>
    <row r="257" spans="1:8" ht="14.4">
      <c r="A257" s="22">
        <f ca="1">IFERROR(__xludf.DUMMYFUNCTION("""COMPUTED_VALUE"""),45384.644640949)</f>
        <v>45384.644640949002</v>
      </c>
      <c r="B257" s="23" t="str">
        <f ca="1">IFERROR(__xludf.DUMMYFUNCTION("""COMPUTED_VALUE"""),"")</f>
        <v/>
      </c>
      <c r="C257" s="23" t="str">
        <f ca="1">IFERROR(__xludf.DUMMYFUNCTION("""COMPUTED_VALUE"""),"Nguyễn Minh Tuấn")</f>
        <v>Nguyễn Minh Tuấn</v>
      </c>
      <c r="D257" s="23" t="str">
        <f ca="1">IFERROR(__xludf.DUMMYFUNCTION("""COMPUTED_VALUE"""),"K29")</f>
        <v>K29</v>
      </c>
      <c r="E257" s="23" t="str">
        <f ca="1">IFERROR(__xludf.DUMMYFUNCTION("""COMPUTED_VALUE"""),"CMU - TAM")</f>
        <v>CMU - TAM</v>
      </c>
      <c r="F257" s="9" t="str">
        <f ca="1">IFERROR(__xludf.DUMMYFUNCTION("""COMPUTED_VALUE"""),"Oke")</f>
        <v>Oke</v>
      </c>
      <c r="G257" s="9">
        <f ca="1">IFERROR(__xludf.DUMMYFUNCTION("""COMPUTED_VALUE"""),1)</f>
        <v>1</v>
      </c>
      <c r="H257" s="9" t="str">
        <f ca="1">IFERROR(__xludf.DUMMYFUNCTION("""COMPUTED_VALUE"""),"xin đơn chuyển ngành ở đau ")</f>
        <v xml:space="preserve">xin đơn chuyển ngành ở đau </v>
      </c>
    </row>
    <row r="258" spans="1:8" ht="14.4">
      <c r="A258" s="22">
        <f ca="1">IFERROR(__xludf.DUMMYFUNCTION("""COMPUTED_VALUE"""),45384.6446641666)</f>
        <v>45384.644664166597</v>
      </c>
      <c r="B258" s="23" t="str">
        <f ca="1">IFERROR(__xludf.DUMMYFUNCTION("""COMPUTED_VALUE"""),"")</f>
        <v/>
      </c>
      <c r="C258" s="23" t="str">
        <f ca="1">IFERROR(__xludf.DUMMYFUNCTION("""COMPUTED_VALUE"""),"Nguyễn Xuân Hiển")</f>
        <v>Nguyễn Xuân Hiển</v>
      </c>
      <c r="D258" s="23" t="str">
        <f ca="1">IFERROR(__xludf.DUMMYFUNCTION("""COMPUTED_VALUE"""),"K29")</f>
        <v>K29</v>
      </c>
      <c r="E258" s="23" t="str">
        <f ca="1">IFERROR(__xludf.DUMMYFUNCTION("""COMPUTED_VALUE"""),"CMU - TAM")</f>
        <v>CMU - TAM</v>
      </c>
      <c r="F258" s="9"/>
      <c r="G258" s="9">
        <f ca="1">IFERROR(__xludf.DUMMYFUNCTION("""COMPUTED_VALUE"""),5)</f>
        <v>5</v>
      </c>
      <c r="H258" s="9" t="str">
        <f ca="1">IFERROR(__xludf.DUMMYFUNCTION("""COMPUTED_VALUE"""),"Chuyển ngành sẽ nộp đơn ở đâu
Làm sao để xóa tín chỉ mình đăng ký khi đã bị đóng mydtu
")</f>
        <v xml:space="preserve">Chuyển ngành sẽ nộp đơn ở đâu
Làm sao để xóa tín chỉ mình đăng ký khi đã bị đóng mydtu
</v>
      </c>
    </row>
    <row r="259" spans="1:8" ht="14.4">
      <c r="A259" s="22">
        <f ca="1">IFERROR(__xludf.DUMMYFUNCTION("""COMPUTED_VALUE"""),45384.6448112615)</f>
        <v>45384.644811261503</v>
      </c>
      <c r="B259" s="23" t="str">
        <f ca="1">IFERROR(__xludf.DUMMYFUNCTION("""COMPUTED_VALUE"""),"")</f>
        <v/>
      </c>
      <c r="C259" s="23" t="str">
        <f ca="1">IFERROR(__xludf.DUMMYFUNCTION("""COMPUTED_VALUE"""),"Phan Minh Trí")</f>
        <v>Phan Minh Trí</v>
      </c>
      <c r="D259" s="23" t="str">
        <f ca="1">IFERROR(__xludf.DUMMYFUNCTION("""COMPUTED_VALUE"""),"K29")</f>
        <v>K29</v>
      </c>
      <c r="E259" s="23" t="str">
        <f ca="1">IFERROR(__xludf.DUMMYFUNCTION("""COMPUTED_VALUE"""),"CMU - TAM")</f>
        <v>CMU - TAM</v>
      </c>
      <c r="F259" s="9" t="str">
        <f ca="1">IFERROR(__xludf.DUMMYFUNCTION("""COMPUTED_VALUE"""),"Giải thích các vấn đề về việc học")</f>
        <v>Giải thích các vấn đề về việc học</v>
      </c>
      <c r="G259" s="9">
        <f ca="1">IFERROR(__xludf.DUMMYFUNCTION("""COMPUTED_VALUE"""),2)</f>
        <v>2</v>
      </c>
      <c r="H259" s="9" t="str">
        <f ca="1">IFERROR(__xludf.DUMMYFUNCTION("""COMPUTED_VALUE"""),"Cách thay đổi môn học?")</f>
        <v>Cách thay đổi môn học?</v>
      </c>
    </row>
    <row r="260" spans="1:8" ht="14.4">
      <c r="A260" s="22">
        <f ca="1">IFERROR(__xludf.DUMMYFUNCTION("""COMPUTED_VALUE"""),45384.6448602083)</f>
        <v>45384.644860208296</v>
      </c>
      <c r="B260" s="23" t="str">
        <f ca="1">IFERROR(__xludf.DUMMYFUNCTION("""COMPUTED_VALUE"""),"")</f>
        <v/>
      </c>
      <c r="C260" s="23" t="str">
        <f ca="1">IFERROR(__xludf.DUMMYFUNCTION("""COMPUTED_VALUE"""),"Phạm Ngọc Thanh Tuyền")</f>
        <v>Phạm Ngọc Thanh Tuyền</v>
      </c>
      <c r="D260" s="23" t="str">
        <f ca="1">IFERROR(__xludf.DUMMYFUNCTION("""COMPUTED_VALUE"""),"K29")</f>
        <v>K29</v>
      </c>
      <c r="E260" s="23" t="str">
        <f ca="1">IFERROR(__xludf.DUMMYFUNCTION("""COMPUTED_VALUE"""),"CMU - TAM")</f>
        <v>CMU - TAM</v>
      </c>
      <c r="F260" s="9"/>
      <c r="G260" s="9">
        <f ca="1">IFERROR(__xludf.DUMMYFUNCTION("""COMPUTED_VALUE"""),3)</f>
        <v>3</v>
      </c>
      <c r="H260" s="9" t="str">
        <f ca="1">IFERROR(__xludf.DUMMYFUNCTION("""COMPUTED_VALUE"""),"chưa có câu hỏi ")</f>
        <v xml:space="preserve">chưa có câu hỏi </v>
      </c>
    </row>
    <row r="261" spans="1:8" ht="14.4">
      <c r="A261" s="22">
        <f ca="1">IFERROR(__xludf.DUMMYFUNCTION("""COMPUTED_VALUE"""),45384.644895868)</f>
        <v>45384.644895867998</v>
      </c>
      <c r="B261" s="23" t="str">
        <f ca="1">IFERROR(__xludf.DUMMYFUNCTION("""COMPUTED_VALUE"""),"")</f>
        <v/>
      </c>
      <c r="C261" s="23" t="str">
        <f ca="1">IFERROR(__xludf.DUMMYFUNCTION("""COMPUTED_VALUE"""),"Thân Thị Mỹ Hạnh")</f>
        <v>Thân Thị Mỹ Hạnh</v>
      </c>
      <c r="D261" s="23" t="str">
        <f ca="1">IFERROR(__xludf.DUMMYFUNCTION("""COMPUTED_VALUE"""),"K29")</f>
        <v>K29</v>
      </c>
      <c r="E261" s="23" t="str">
        <f ca="1">IFERROR(__xludf.DUMMYFUNCTION("""COMPUTED_VALUE"""),"CMU - TAM")</f>
        <v>CMU - TAM</v>
      </c>
      <c r="F261" s="9" t="str">
        <f ca="1">IFERROR(__xludf.DUMMYFUNCTION("""COMPUTED_VALUE"""),"trả lời tự động nhanh, hỗ trợ 24/24")</f>
        <v>trả lời tự động nhanh, hỗ trợ 24/24</v>
      </c>
      <c r="G261" s="9">
        <f ca="1">IFERROR(__xludf.DUMMYFUNCTION("""COMPUTED_VALUE"""),4)</f>
        <v>4</v>
      </c>
      <c r="H261" s="9" t="str">
        <f ca="1">IFERROR(__xludf.DUMMYFUNCTION("""COMPUTED_VALUE"""),"Cách khai báo ngoại trú
Cách đánh giá điểm rèn luyện")</f>
        <v>Cách khai báo ngoại trú
Cách đánh giá điểm rèn luyện</v>
      </c>
    </row>
    <row r="262" spans="1:8" ht="14.4">
      <c r="A262" s="22">
        <f ca="1">IFERROR(__xludf.DUMMYFUNCTION("""COMPUTED_VALUE"""),45384.6449050694)</f>
        <v>45384.644905069399</v>
      </c>
      <c r="B262" s="23" t="str">
        <f ca="1">IFERROR(__xludf.DUMMYFUNCTION("""COMPUTED_VALUE"""),"")</f>
        <v/>
      </c>
      <c r="C262" s="23" t="str">
        <f ca="1">IFERROR(__xludf.DUMMYFUNCTION("""COMPUTED_VALUE"""),"Phan Văn Duy Toàn")</f>
        <v>Phan Văn Duy Toàn</v>
      </c>
      <c r="D262" s="23" t="str">
        <f ca="1">IFERROR(__xludf.DUMMYFUNCTION("""COMPUTED_VALUE"""),"K29")</f>
        <v>K29</v>
      </c>
      <c r="E262" s="23" t="str">
        <f ca="1">IFERROR(__xludf.DUMMYFUNCTION("""COMPUTED_VALUE"""),"CMU - TAM")</f>
        <v>CMU - TAM</v>
      </c>
      <c r="F262" s="9" t="str">
        <f ca="1">IFERROR(__xludf.DUMMYFUNCTION("""COMPUTED_VALUE"""),"Định hướng nghề nghiệp, học tập")</f>
        <v>Định hướng nghề nghiệp, học tập</v>
      </c>
      <c r="G262" s="9">
        <f ca="1">IFERROR(__xludf.DUMMYFUNCTION("""COMPUTED_VALUE"""),4)</f>
        <v>4</v>
      </c>
      <c r="H262" s="9" t="str">
        <f ca="1">IFERROR(__xludf.DUMMYFUNCTION("""COMPUTED_VALUE"""),"Cách nộp học phí theo cách trực tuyến ?")</f>
        <v>Cách nộp học phí theo cách trực tuyến ?</v>
      </c>
    </row>
    <row r="263" spans="1:8" ht="14.4">
      <c r="A263" s="22">
        <f ca="1">IFERROR(__xludf.DUMMYFUNCTION("""COMPUTED_VALUE"""),45384.6452109259)</f>
        <v>45384.645210925897</v>
      </c>
      <c r="B263" s="23" t="str">
        <f ca="1">IFERROR(__xludf.DUMMYFUNCTION("""COMPUTED_VALUE"""),"")</f>
        <v/>
      </c>
      <c r="C263" s="23" t="str">
        <f ca="1">IFERROR(__xludf.DUMMYFUNCTION("""COMPUTED_VALUE"""),"Huỳnh Ngọc Anh Tuấn")</f>
        <v>Huỳnh Ngọc Anh Tuấn</v>
      </c>
      <c r="D263" s="23" t="str">
        <f ca="1">IFERROR(__xludf.DUMMYFUNCTION("""COMPUTED_VALUE"""),"K29")</f>
        <v>K29</v>
      </c>
      <c r="E263" s="23" t="str">
        <f ca="1">IFERROR(__xludf.DUMMYFUNCTION("""COMPUTED_VALUE"""),"CMU - TAM")</f>
        <v>CMU - TAM</v>
      </c>
      <c r="F263" s="9"/>
      <c r="G263" s="9">
        <f ca="1">IFERROR(__xludf.DUMMYFUNCTION("""COMPUTED_VALUE"""),3)</f>
        <v>3</v>
      </c>
      <c r="H263" s="9" t="str">
        <f ca="1">IFERROR(__xludf.DUMMYFUNCTION("""COMPUTED_VALUE"""),"Chưa có câu hỏi")</f>
        <v>Chưa có câu hỏi</v>
      </c>
    </row>
    <row r="264" spans="1:8" ht="14.4">
      <c r="A264" s="22">
        <f ca="1">IFERROR(__xludf.DUMMYFUNCTION("""COMPUTED_VALUE"""),45384.6452547916)</f>
        <v>45384.645254791598</v>
      </c>
      <c r="B264" s="23" t="str">
        <f ca="1">IFERROR(__xludf.DUMMYFUNCTION("""COMPUTED_VALUE"""),"")</f>
        <v/>
      </c>
      <c r="C264" s="23" t="str">
        <f ca="1">IFERROR(__xludf.DUMMYFUNCTION("""COMPUTED_VALUE"""),"Ngô Anh Thân Thiện")</f>
        <v>Ngô Anh Thân Thiện</v>
      </c>
      <c r="D264" s="23" t="str">
        <f ca="1">IFERROR(__xludf.DUMMYFUNCTION("""COMPUTED_VALUE"""),"K29")</f>
        <v>K29</v>
      </c>
      <c r="E264" s="23" t="str">
        <f ca="1">IFERROR(__xludf.DUMMYFUNCTION("""COMPUTED_VALUE"""),"CMU - TAM")</f>
        <v>CMU - TAM</v>
      </c>
      <c r="F264" s="9" t="str">
        <f ca="1">IFERROR(__xludf.DUMMYFUNCTION("""COMPUTED_VALUE"""),"Thông báo điểm số sớm nhất")</f>
        <v>Thông báo điểm số sớm nhất</v>
      </c>
      <c r="G264" s="9">
        <f ca="1">IFERROR(__xludf.DUMMYFUNCTION("""COMPUTED_VALUE"""),5)</f>
        <v>5</v>
      </c>
      <c r="H264" s="9" t="str">
        <f ca="1">IFERROR(__xludf.DUMMYFUNCTION("""COMPUTED_VALUE"""),"Cách tìm môn mình cần học")</f>
        <v>Cách tìm môn mình cần học</v>
      </c>
    </row>
    <row r="265" spans="1:8" ht="14.4">
      <c r="A265" s="22">
        <f ca="1">IFERROR(__xludf.DUMMYFUNCTION("""COMPUTED_VALUE"""),45384.6452712037)</f>
        <v>45384.645271203699</v>
      </c>
      <c r="B265" s="23" t="str">
        <f ca="1">IFERROR(__xludf.DUMMYFUNCTION("""COMPUTED_VALUE"""),"")</f>
        <v/>
      </c>
      <c r="C265" s="23" t="str">
        <f ca="1">IFERROR(__xludf.DUMMYFUNCTION("""COMPUTED_VALUE"""),"Trương Thị Hoà")</f>
        <v>Trương Thị Hoà</v>
      </c>
      <c r="D265" s="23" t="str">
        <f ca="1">IFERROR(__xludf.DUMMYFUNCTION("""COMPUTED_VALUE"""),"K29")</f>
        <v>K29</v>
      </c>
      <c r="E265" s="23" t="str">
        <f ca="1">IFERROR(__xludf.DUMMYFUNCTION("""COMPUTED_VALUE"""),"CMU - TAM")</f>
        <v>CMU - TAM</v>
      </c>
      <c r="F265" s="9"/>
      <c r="G265" s="9">
        <f ca="1">IFERROR(__xludf.DUMMYFUNCTION("""COMPUTED_VALUE"""),5)</f>
        <v>5</v>
      </c>
      <c r="H265" s="9" t="str">
        <f ca="1">IFERROR(__xludf.DUMMYFUNCTION("""COMPUTED_VALUE"""),"Cách đăng ký tín chỉ 
Nộp học phí qua ngân hàng như thế nào ... ")</f>
        <v xml:space="preserve">Cách đăng ký tín chỉ 
Nộp học phí qua ngân hàng như thế nào ... </v>
      </c>
    </row>
    <row r="266" spans="1:8" ht="14.4">
      <c r="A266" s="22">
        <f ca="1">IFERROR(__xludf.DUMMYFUNCTION("""COMPUTED_VALUE"""),45384.6454398958)</f>
        <v>45384.645439895801</v>
      </c>
      <c r="B266" s="23" t="str">
        <f ca="1">IFERROR(__xludf.DUMMYFUNCTION("""COMPUTED_VALUE"""),"")</f>
        <v/>
      </c>
      <c r="C266" s="23" t="str">
        <f ca="1">IFERROR(__xludf.DUMMYFUNCTION("""COMPUTED_VALUE"""),"Bùi Quang Huy ")</f>
        <v xml:space="preserve">Bùi Quang Huy </v>
      </c>
      <c r="D266" s="23" t="str">
        <f ca="1">IFERROR(__xludf.DUMMYFUNCTION("""COMPUTED_VALUE"""),"K29")</f>
        <v>K29</v>
      </c>
      <c r="E266" s="23" t="str">
        <f ca="1">IFERROR(__xludf.DUMMYFUNCTION("""COMPUTED_VALUE"""),"CMU - TAM")</f>
        <v>CMU - TAM</v>
      </c>
      <c r="F266" s="9" t="str">
        <f ca="1">IFERROR(__xludf.DUMMYFUNCTION("""COMPUTED_VALUE"""),"Học tập ")</f>
        <v xml:space="preserve">Học tập </v>
      </c>
      <c r="G266" s="9">
        <f ca="1">IFERROR(__xludf.DUMMYFUNCTION("""COMPUTED_VALUE"""),4)</f>
        <v>4</v>
      </c>
      <c r="H266" s="9" t="str">
        <f ca="1">IFERROR(__xludf.DUMMYFUNCTION("""COMPUTED_VALUE"""),".")</f>
        <v>.</v>
      </c>
    </row>
    <row r="267" spans="1:8" ht="14.4">
      <c r="A267" s="22">
        <f ca="1">IFERROR(__xludf.DUMMYFUNCTION("""COMPUTED_VALUE"""),45384.645447581)</f>
        <v>45384.645447581002</v>
      </c>
      <c r="B267" s="23" t="str">
        <f ca="1">IFERROR(__xludf.DUMMYFUNCTION("""COMPUTED_VALUE"""),"")</f>
        <v/>
      </c>
      <c r="C267" s="23" t="str">
        <f ca="1">IFERROR(__xludf.DUMMYFUNCTION("""COMPUTED_VALUE"""),"Trần tuấn kiệt")</f>
        <v>Trần tuấn kiệt</v>
      </c>
      <c r="D267" s="23" t="str">
        <f ca="1">IFERROR(__xludf.DUMMYFUNCTION("""COMPUTED_VALUE"""),"K29")</f>
        <v>K29</v>
      </c>
      <c r="E267" s="23" t="str">
        <f ca="1">IFERROR(__xludf.DUMMYFUNCTION("""COMPUTED_VALUE"""),"CMU - TAM")</f>
        <v>CMU - TAM</v>
      </c>
      <c r="F267" s="9" t="str">
        <f ca="1">IFERROR(__xludf.DUMMYFUNCTION("""COMPUTED_VALUE"""),"Ko")</f>
        <v>Ko</v>
      </c>
      <c r="G267" s="9">
        <f ca="1">IFERROR(__xludf.DUMMYFUNCTION("""COMPUTED_VALUE"""),5)</f>
        <v>5</v>
      </c>
      <c r="H267" s="9" t="str">
        <f ca="1">IFERROR(__xludf.DUMMYFUNCTION("""COMPUTED_VALUE"""),"Làm đơn đăng ký tín chỉ?")</f>
        <v>Làm đơn đăng ký tín chỉ?</v>
      </c>
    </row>
    <row r="268" spans="1:8" ht="14.4">
      <c r="A268" s="22">
        <f ca="1">IFERROR(__xludf.DUMMYFUNCTION("""COMPUTED_VALUE"""),45384.6454537384)</f>
        <v>45384.645453738398</v>
      </c>
      <c r="B268" s="23" t="str">
        <f ca="1">IFERROR(__xludf.DUMMYFUNCTION("""COMPUTED_VALUE"""),"")</f>
        <v/>
      </c>
      <c r="C268" s="23" t="str">
        <f ca="1">IFERROR(__xludf.DUMMYFUNCTION("""COMPUTED_VALUE"""),"Lê Phạm Phương Thanh")</f>
        <v>Lê Phạm Phương Thanh</v>
      </c>
      <c r="D268" s="23" t="str">
        <f ca="1">IFERROR(__xludf.DUMMYFUNCTION("""COMPUTED_VALUE"""),"K29")</f>
        <v>K29</v>
      </c>
      <c r="E268" s="23" t="str">
        <f ca="1">IFERROR(__xludf.DUMMYFUNCTION("""COMPUTED_VALUE"""),"CMU - TAM")</f>
        <v>CMU - TAM</v>
      </c>
      <c r="F268" s="9" t="str">
        <f ca="1">IFERROR(__xludf.DUMMYFUNCTION("""COMPUTED_VALUE"""),"hiện ch có mong muốn")</f>
        <v>hiện ch có mong muốn</v>
      </c>
      <c r="G268" s="9">
        <f ca="1">IFERROR(__xludf.DUMMYFUNCTION("""COMPUTED_VALUE"""),4)</f>
        <v>4</v>
      </c>
      <c r="H268" s="9" t="str">
        <f ca="1">IFERROR(__xludf.DUMMYFUNCTION("""COMPUTED_VALUE"""),"ch có câu hỏi")</f>
        <v>ch có câu hỏi</v>
      </c>
    </row>
    <row r="269" spans="1:8" ht="14.4">
      <c r="A269" s="22">
        <f ca="1">IFERROR(__xludf.DUMMYFUNCTION("""COMPUTED_VALUE"""),45384.6458620601)</f>
        <v>45384.645862060097</v>
      </c>
      <c r="B269" s="23" t="str">
        <f ca="1">IFERROR(__xludf.DUMMYFUNCTION("""COMPUTED_VALUE"""),"")</f>
        <v/>
      </c>
      <c r="C269" s="23" t="str">
        <f ca="1">IFERROR(__xludf.DUMMYFUNCTION("""COMPUTED_VALUE"""),"Cao Văn Hoàng Vũ")</f>
        <v>Cao Văn Hoàng Vũ</v>
      </c>
      <c r="D269" s="23" t="str">
        <f ca="1">IFERROR(__xludf.DUMMYFUNCTION("""COMPUTED_VALUE"""),"K29")</f>
        <v>K29</v>
      </c>
      <c r="E269" s="23" t="str">
        <f ca="1">IFERROR(__xludf.DUMMYFUNCTION("""COMPUTED_VALUE"""),"CMU - TAM")</f>
        <v>CMU - TAM</v>
      </c>
      <c r="F269" s="9" t="str">
        <f ca="1">IFERROR(__xludf.DUMMYFUNCTION("""COMPUTED_VALUE"""),"Không")</f>
        <v>Không</v>
      </c>
      <c r="G269" s="9">
        <f ca="1">IFERROR(__xludf.DUMMYFUNCTION("""COMPUTED_VALUE"""),5)</f>
        <v>5</v>
      </c>
      <c r="H269" s="9" t="str">
        <f ca="1">IFERROR(__xludf.DUMMYFUNCTION("""COMPUTED_VALUE"""),"Không có")</f>
        <v>Không có</v>
      </c>
    </row>
    <row r="270" spans="1:8" ht="14.4">
      <c r="A270" s="22">
        <f ca="1">IFERROR(__xludf.DUMMYFUNCTION("""COMPUTED_VALUE"""),45384.6459184375)</f>
        <v>45384.645918437498</v>
      </c>
      <c r="B270" s="23" t="str">
        <f ca="1">IFERROR(__xludf.DUMMYFUNCTION("""COMPUTED_VALUE"""),"")</f>
        <v/>
      </c>
      <c r="C270" s="23" t="str">
        <f ca="1">IFERROR(__xludf.DUMMYFUNCTION("""COMPUTED_VALUE"""),"Trương Quang Minh")</f>
        <v>Trương Quang Minh</v>
      </c>
      <c r="D270" s="23" t="str">
        <f ca="1">IFERROR(__xludf.DUMMYFUNCTION("""COMPUTED_VALUE"""),"K29")</f>
        <v>K29</v>
      </c>
      <c r="E270" s="23" t="str">
        <f ca="1">IFERROR(__xludf.DUMMYFUNCTION("""COMPUTED_VALUE"""),"CMU - TAM")</f>
        <v>CMU - TAM</v>
      </c>
      <c r="F270" s="9" t="str">
        <f ca="1">IFERROR(__xludf.DUMMYFUNCTION("""COMPUTED_VALUE"""),"Có")</f>
        <v>Có</v>
      </c>
      <c r="G270" s="9">
        <f ca="1">IFERROR(__xludf.DUMMYFUNCTION("""COMPUTED_VALUE"""),2)</f>
        <v>2</v>
      </c>
      <c r="H270" s="9" t="str">
        <f ca="1">IFERROR(__xludf.DUMMYFUNCTION("""COMPUTED_VALUE"""),"Cách nộp học phí?  
Cách đăng kí tín chỉ?
")</f>
        <v xml:space="preserve">Cách nộp học phí?  
Cách đăng kí tín chỉ?
</v>
      </c>
    </row>
    <row r="271" spans="1:8" ht="14.4">
      <c r="A271" s="22">
        <f ca="1">IFERROR(__xludf.DUMMYFUNCTION("""COMPUTED_VALUE"""),45384.6461830555)</f>
        <v>45384.646183055498</v>
      </c>
      <c r="B271" s="23" t="str">
        <f ca="1">IFERROR(__xludf.DUMMYFUNCTION("""COMPUTED_VALUE"""),"")</f>
        <v/>
      </c>
      <c r="C271" s="23" t="str">
        <f ca="1">IFERROR(__xludf.DUMMYFUNCTION("""COMPUTED_VALUE"""),"Nguyễn Tấn Thạnh")</f>
        <v>Nguyễn Tấn Thạnh</v>
      </c>
      <c r="D271" s="23" t="str">
        <f ca="1">IFERROR(__xludf.DUMMYFUNCTION("""COMPUTED_VALUE"""),"K29")</f>
        <v>K29</v>
      </c>
      <c r="E271" s="23" t="str">
        <f ca="1">IFERROR(__xludf.DUMMYFUNCTION("""COMPUTED_VALUE"""),"CMU - TAM")</f>
        <v>CMU - TAM</v>
      </c>
      <c r="F271" s="9" t="str">
        <f ca="1">IFERROR(__xludf.DUMMYFUNCTION("""COMPUTED_VALUE"""),"Những tính năng mà chatGPT có.")</f>
        <v>Những tính năng mà chatGPT có.</v>
      </c>
      <c r="G271" s="9">
        <f ca="1">IFERROR(__xludf.DUMMYFUNCTION("""COMPUTED_VALUE"""),5)</f>
        <v>5</v>
      </c>
      <c r="H271" s="9" t="str">
        <f ca="1">IFERROR(__xludf.DUMMYFUNCTION("""COMPUTED_VALUE"""),"Cách đăng kí tín chỉ?
Cách sử tối ưu mydtu?")</f>
        <v>Cách đăng kí tín chỉ?
Cách sử tối ưu mydtu?</v>
      </c>
    </row>
    <row r="272" spans="1:8" ht="14.4">
      <c r="A272" s="22">
        <f ca="1">IFERROR(__xludf.DUMMYFUNCTION("""COMPUTED_VALUE"""),45384.6465210879)</f>
        <v>45384.646521087903</v>
      </c>
      <c r="B272" s="23" t="str">
        <f ca="1">IFERROR(__xludf.DUMMYFUNCTION("""COMPUTED_VALUE"""),"")</f>
        <v/>
      </c>
      <c r="C272" s="23" t="str">
        <f ca="1">IFERROR(__xludf.DUMMYFUNCTION("""COMPUTED_VALUE"""),"Trần Đăng Thành Tâm")</f>
        <v>Trần Đăng Thành Tâm</v>
      </c>
      <c r="D272" s="23" t="str">
        <f ca="1">IFERROR(__xludf.DUMMYFUNCTION("""COMPUTED_VALUE"""),"K29")</f>
        <v>K29</v>
      </c>
      <c r="E272" s="23" t="str">
        <f ca="1">IFERROR(__xludf.DUMMYFUNCTION("""COMPUTED_VALUE"""),"CMU - TAM")</f>
        <v>CMU - TAM</v>
      </c>
      <c r="F272" s="9"/>
      <c r="G272" s="9">
        <f ca="1">IFERROR(__xludf.DUMMYFUNCTION("""COMPUTED_VALUE"""),5)</f>
        <v>5</v>
      </c>
      <c r="H272" s="9" t="str">
        <f ca="1">IFERROR(__xludf.DUMMYFUNCTION("""COMPUTED_VALUE"""),"Cach nop hoc phi")</f>
        <v>Cach nop hoc phi</v>
      </c>
    </row>
    <row r="273" spans="1:8" ht="14.4">
      <c r="A273" s="22">
        <f ca="1">IFERROR(__xludf.DUMMYFUNCTION("""COMPUTED_VALUE"""),45384.6467821759)</f>
        <v>45384.6467821759</v>
      </c>
      <c r="B273" s="23" t="str">
        <f ca="1">IFERROR(__xludf.DUMMYFUNCTION("""COMPUTED_VALUE"""),"")</f>
        <v/>
      </c>
      <c r="C273" s="23" t="str">
        <f ca="1">IFERROR(__xludf.DUMMYFUNCTION("""COMPUTED_VALUE"""),"Nguyễn Thịnh Phát ")</f>
        <v xml:space="preserve">Nguyễn Thịnh Phát </v>
      </c>
      <c r="D273" s="23" t="str">
        <f ca="1">IFERROR(__xludf.DUMMYFUNCTION("""COMPUTED_VALUE"""),"K28")</f>
        <v>K28</v>
      </c>
      <c r="E273" s="23" t="str">
        <f ca="1">IFERROR(__xludf.DUMMYFUNCTION("""COMPUTED_VALUE"""),"PSU")</f>
        <v>PSU</v>
      </c>
      <c r="F273" s="9" t="str">
        <f ca="1">IFERROR(__xludf.DUMMYFUNCTION("""COMPUTED_VALUE"""),"Không biết")</f>
        <v>Không biết</v>
      </c>
      <c r="G273" s="9">
        <f ca="1">IFERROR(__xludf.DUMMYFUNCTION("""COMPUTED_VALUE"""),4)</f>
        <v>4</v>
      </c>
      <c r="H273" s="9" t="str">
        <f ca="1">IFERROR(__xludf.DUMMYFUNCTION("""COMPUTED_VALUE"""),"Cách nào để sinh viên biết được cấu trúc của môn học trước khi đăng kí môn đó")</f>
        <v>Cách nào để sinh viên biết được cấu trúc của môn học trước khi đăng kí môn đó</v>
      </c>
    </row>
    <row r="274" spans="1:8" ht="14.4">
      <c r="A274" s="22">
        <f ca="1">IFERROR(__xludf.DUMMYFUNCTION("""COMPUTED_VALUE"""),45385.3694015972)</f>
        <v>45385.3694015972</v>
      </c>
      <c r="B274" s="23" t="str">
        <f ca="1">IFERROR(__xludf.DUMMYFUNCTION("""COMPUTED_VALUE"""),"")</f>
        <v/>
      </c>
      <c r="C274" s="23" t="str">
        <f ca="1">IFERROR(__xludf.DUMMYFUNCTION("""COMPUTED_VALUE"""),"Lương Trọng Đức")</f>
        <v>Lương Trọng Đức</v>
      </c>
      <c r="D274" s="23" t="str">
        <f ca="1">IFERROR(__xludf.DUMMYFUNCTION("""COMPUTED_VALUE"""),"K29")</f>
        <v>K29</v>
      </c>
      <c r="E274" s="23" t="str">
        <f ca="1">IFERROR(__xludf.DUMMYFUNCTION("""COMPUTED_VALUE"""),"CMU - TTT")</f>
        <v>CMU - TTT</v>
      </c>
      <c r="F274" s="9"/>
      <c r="G274" s="9">
        <f ca="1">IFERROR(__xludf.DUMMYFUNCTION("""COMPUTED_VALUE"""),4)</f>
        <v>4</v>
      </c>
      <c r="H274" s="9" t="str">
        <f ca="1">IFERROR(__xludf.DUMMYFUNCTION("""COMPUTED_VALUE"""),"Cách đăng ký tín chỉ ?")</f>
        <v>Cách đăng ký tín chỉ ?</v>
      </c>
    </row>
    <row r="275" spans="1:8" ht="14.4">
      <c r="A275" s="22">
        <f ca="1">IFERROR(__xludf.DUMMYFUNCTION("""COMPUTED_VALUE"""),45385.371599618)</f>
        <v>45385.371599618004</v>
      </c>
      <c r="B275" s="23" t="str">
        <f ca="1">IFERROR(__xludf.DUMMYFUNCTION("""COMPUTED_VALUE"""),"")</f>
        <v/>
      </c>
      <c r="C275" s="23" t="str">
        <f ca="1">IFERROR(__xludf.DUMMYFUNCTION("""COMPUTED_VALUE"""),"Trần Nhật trinh")</f>
        <v>Trần Nhật trinh</v>
      </c>
      <c r="D275" s="23" t="str">
        <f ca="1">IFERROR(__xludf.DUMMYFUNCTION("""COMPUTED_VALUE"""),"K29")</f>
        <v>K29</v>
      </c>
      <c r="E275" s="23" t="str">
        <f ca="1">IFERROR(__xludf.DUMMYFUNCTION("""COMPUTED_VALUE"""),"CMU - TTT")</f>
        <v>CMU - TTT</v>
      </c>
      <c r="F275" s="9" t="str">
        <f ca="1">IFERROR(__xludf.DUMMYFUNCTION("""COMPUTED_VALUE"""),"Ko có")</f>
        <v>Ko có</v>
      </c>
      <c r="G275" s="9">
        <f ca="1">IFERROR(__xludf.DUMMYFUNCTION("""COMPUTED_VALUE"""),2)</f>
        <v>2</v>
      </c>
      <c r="H275" s="9" t="str">
        <f ca="1">IFERROR(__xludf.DUMMYFUNCTION("""COMPUTED_VALUE"""),"Tìm chuyên ngành thế mạnh
Chuyện cuộc sống 😁")</f>
        <v>Tìm chuyên ngành thế mạnh
Chuyện cuộc sống 😁</v>
      </c>
    </row>
    <row r="276" spans="1:8" ht="14.4">
      <c r="A276" s="22">
        <f ca="1">IFERROR(__xludf.DUMMYFUNCTION("""COMPUTED_VALUE"""),45385.3977267361)</f>
        <v>45385.397726736097</v>
      </c>
      <c r="B276" s="23" t="str">
        <f ca="1">IFERROR(__xludf.DUMMYFUNCTION("""COMPUTED_VALUE"""),"")</f>
        <v/>
      </c>
      <c r="C276" s="23" t="str">
        <f ca="1">IFERROR(__xludf.DUMMYFUNCTION("""COMPUTED_VALUE"""),"Đỗ Ngọc Khánh Huyền ")</f>
        <v xml:space="preserve">Đỗ Ngọc Khánh Huyền </v>
      </c>
      <c r="D276" s="23" t="str">
        <f ca="1">IFERROR(__xludf.DUMMYFUNCTION("""COMPUTED_VALUE"""),"K29")</f>
        <v>K29</v>
      </c>
      <c r="E276" s="23" t="str">
        <f ca="1">IFERROR(__xludf.DUMMYFUNCTION("""COMPUTED_VALUE"""),"CMU - TTT")</f>
        <v>CMU - TTT</v>
      </c>
      <c r="F276" s="9"/>
      <c r="G276" s="9">
        <f ca="1">IFERROR(__xludf.DUMMYFUNCTION("""COMPUTED_VALUE"""),5)</f>
        <v>5</v>
      </c>
      <c r="H276" s="9" t="str">
        <f ca="1">IFERROR(__xludf.DUMMYFUNCTION("""COMPUTED_VALUE"""),"Cách làm đơn đăng kí tín chỉ?")</f>
        <v>Cách làm đơn đăng kí tín chỉ?</v>
      </c>
    </row>
    <row r="277" spans="1:8" ht="14.4">
      <c r="A277" s="22">
        <f ca="1">IFERROR(__xludf.DUMMYFUNCTION("""COMPUTED_VALUE"""),45385.3997927546)</f>
        <v>45385.399792754601</v>
      </c>
      <c r="B277" s="23" t="str">
        <f ca="1">IFERROR(__xludf.DUMMYFUNCTION("""COMPUTED_VALUE"""),"")</f>
        <v/>
      </c>
      <c r="C277" s="23" t="str">
        <f ca="1">IFERROR(__xludf.DUMMYFUNCTION("""COMPUTED_VALUE"""),"Phạm Kim Ngân")</f>
        <v>Phạm Kim Ngân</v>
      </c>
      <c r="D277" s="23" t="str">
        <f ca="1">IFERROR(__xludf.DUMMYFUNCTION("""COMPUTED_VALUE"""),"K27")</f>
        <v>K27</v>
      </c>
      <c r="E277" s="23" t="str">
        <f ca="1">IFERROR(__xludf.DUMMYFUNCTION("""COMPUTED_VALUE"""),"PSU")</f>
        <v>PSU</v>
      </c>
      <c r="F277" s="9"/>
      <c r="G277" s="9">
        <f ca="1">IFERROR(__xludf.DUMMYFUNCTION("""COMPUTED_VALUE"""),5)</f>
        <v>5</v>
      </c>
      <c r="H277" s="9" t="str">
        <f ca="1">IFERROR(__xludf.DUMMYFUNCTION("""COMPUTED_VALUE"""),"Điểm rèn luyện ")</f>
        <v xml:space="preserve">Điểm rèn luyện </v>
      </c>
    </row>
    <row r="278" spans="1:8" ht="14.4">
      <c r="A278" s="22">
        <f ca="1">IFERROR(__xludf.DUMMYFUNCTION("""COMPUTED_VALUE"""),45385.3998040625)</f>
        <v>45385.399804062501</v>
      </c>
      <c r="B278" s="23" t="str">
        <f ca="1">IFERROR(__xludf.DUMMYFUNCTION("""COMPUTED_VALUE"""),"")</f>
        <v/>
      </c>
      <c r="C278" s="23" t="str">
        <f ca="1">IFERROR(__xludf.DUMMYFUNCTION("""COMPUTED_VALUE"""),"Hồ Kim Phụng")</f>
        <v>Hồ Kim Phụng</v>
      </c>
      <c r="D278" s="23" t="str">
        <f ca="1">IFERROR(__xludf.DUMMYFUNCTION("""COMPUTED_VALUE"""),"K27")</f>
        <v>K27</v>
      </c>
      <c r="E278" s="23" t="str">
        <f ca="1">IFERROR(__xludf.DUMMYFUNCTION("""COMPUTED_VALUE"""),"PSU")</f>
        <v>PSU</v>
      </c>
      <c r="F278" s="9"/>
      <c r="G278" s="9">
        <f ca="1">IFERROR(__xludf.DUMMYFUNCTION("""COMPUTED_VALUE"""),4)</f>
        <v>4</v>
      </c>
      <c r="H278" s="9" t="str">
        <f ca="1">IFERROR(__xludf.DUMMYFUNCTION("""COMPUTED_VALUE"""),"Cách làm đơn đăng ký mở lớp?
Cách lấy bhyt?")</f>
        <v>Cách làm đơn đăng ký mở lớp?
Cách lấy bhyt?</v>
      </c>
    </row>
    <row r="279" spans="1:8" ht="14.4">
      <c r="A279" s="22">
        <f ca="1">IFERROR(__xludf.DUMMYFUNCTION("""COMPUTED_VALUE"""),45385.4005773495)</f>
        <v>45385.400577349501</v>
      </c>
      <c r="B279" s="23" t="str">
        <f ca="1">IFERROR(__xludf.DUMMYFUNCTION("""COMPUTED_VALUE"""),"")</f>
        <v/>
      </c>
      <c r="C279" s="23" t="str">
        <f ca="1">IFERROR(__xludf.DUMMYFUNCTION("""COMPUTED_VALUE"""),"Võ Thị Mỹ Quyên")</f>
        <v>Võ Thị Mỹ Quyên</v>
      </c>
      <c r="D279" s="23" t="str">
        <f ca="1">IFERROR(__xludf.DUMMYFUNCTION("""COMPUTED_VALUE"""),"K27")</f>
        <v>K27</v>
      </c>
      <c r="E279" s="23" t="str">
        <f ca="1">IFERROR(__xludf.DUMMYFUNCTION("""COMPUTED_VALUE"""),"PSU")</f>
        <v>PSU</v>
      </c>
      <c r="F279" s="9"/>
      <c r="G279" s="9">
        <f ca="1">IFERROR(__xludf.DUMMYFUNCTION("""COMPUTED_VALUE"""),4)</f>
        <v>4</v>
      </c>
      <c r="H279" s="9" t="str">
        <f ca="1">IFERROR(__xludf.DUMMYFUNCTION("""COMPUTED_VALUE"""),"-Thời gian học quân sự
-Trên thang điểm 4 không đủ 3.2 có được làm khoá luận không
")</f>
        <v xml:space="preserve">-Thời gian học quân sự
-Trên thang điểm 4 không đủ 3.2 có được làm khoá luận không
</v>
      </c>
    </row>
    <row r="280" spans="1:8" ht="14.4">
      <c r="A280" s="22">
        <f ca="1">IFERROR(__xludf.DUMMYFUNCTION("""COMPUTED_VALUE"""),45385.4008179513)</f>
        <v>45385.400817951297</v>
      </c>
      <c r="B280" s="23" t="str">
        <f ca="1">IFERROR(__xludf.DUMMYFUNCTION("""COMPUTED_VALUE"""),"")</f>
        <v/>
      </c>
      <c r="C280" s="23" t="str">
        <f ca="1">IFERROR(__xludf.DUMMYFUNCTION("""COMPUTED_VALUE"""),"Võ Lê Yến Nhu")</f>
        <v>Võ Lê Yến Nhu</v>
      </c>
      <c r="D280" s="23" t="str">
        <f ca="1">IFERROR(__xludf.DUMMYFUNCTION("""COMPUTED_VALUE"""),"K27")</f>
        <v>K27</v>
      </c>
      <c r="E280" s="23" t="str">
        <f ca="1">IFERROR(__xludf.DUMMYFUNCTION("""COMPUTED_VALUE"""),"PSU")</f>
        <v>PSU</v>
      </c>
      <c r="F280" s="9"/>
      <c r="G280" s="9">
        <f ca="1">IFERROR(__xludf.DUMMYFUNCTION("""COMPUTED_VALUE"""),5)</f>
        <v>5</v>
      </c>
      <c r="H280" s="9" t="str">
        <f ca="1">IFERROR(__xludf.DUMMYFUNCTION("""COMPUTED_VALUE"""),"Giải thích về các yêu cầu để có thể tốt nghiệp, ví dụ: đồ án, khoá luận là gì, như thế nào sẽ đủ điều kiện làm, và sẽ làm ra sao?")</f>
        <v>Giải thích về các yêu cầu để có thể tốt nghiệp, ví dụ: đồ án, khoá luận là gì, như thế nào sẽ đủ điều kiện làm, và sẽ làm ra sao?</v>
      </c>
    </row>
    <row r="281" spans="1:8" ht="14.4">
      <c r="A281" s="22">
        <f ca="1">IFERROR(__xludf.DUMMYFUNCTION("""COMPUTED_VALUE"""),45385.4008784027)</f>
        <v>45385.400878402703</v>
      </c>
      <c r="B281" s="23" t="str">
        <f ca="1">IFERROR(__xludf.DUMMYFUNCTION("""COMPUTED_VALUE"""),"")</f>
        <v/>
      </c>
      <c r="C281" s="23" t="str">
        <f ca="1">IFERROR(__xludf.DUMMYFUNCTION("""COMPUTED_VALUE"""),"Trần Hải Ngân")</f>
        <v>Trần Hải Ngân</v>
      </c>
      <c r="D281" s="23" t="str">
        <f ca="1">IFERROR(__xludf.DUMMYFUNCTION("""COMPUTED_VALUE"""),"K27")</f>
        <v>K27</v>
      </c>
      <c r="E281" s="23" t="str">
        <f ca="1">IFERROR(__xludf.DUMMYFUNCTION("""COMPUTED_VALUE"""),"PSU")</f>
        <v>PSU</v>
      </c>
      <c r="F281" s="9"/>
      <c r="G281" s="9">
        <f ca="1">IFERROR(__xludf.DUMMYFUNCTION("""COMPUTED_VALUE"""),5)</f>
        <v>5</v>
      </c>
      <c r="H281" s="9" t="str">
        <f ca="1">IFERROR(__xludf.DUMMYFUNCTION("""COMPUTED_VALUE"""),"Cách nộp học phí")</f>
        <v>Cách nộp học phí</v>
      </c>
    </row>
    <row r="282" spans="1:8" ht="14.4">
      <c r="A282" s="22">
        <f ca="1">IFERROR(__xludf.DUMMYFUNCTION("""COMPUTED_VALUE"""),45385.4015290509)</f>
        <v>45385.401529050898</v>
      </c>
      <c r="B282" s="23" t="str">
        <f ca="1">IFERROR(__xludf.DUMMYFUNCTION("""COMPUTED_VALUE"""),"")</f>
        <v/>
      </c>
      <c r="C282" s="23" t="str">
        <f ca="1">IFERROR(__xludf.DUMMYFUNCTION("""COMPUTED_VALUE"""),"Nguyễn Thị Yến Nhi ")</f>
        <v xml:space="preserve">Nguyễn Thị Yến Nhi </v>
      </c>
      <c r="D282" s="23" t="str">
        <f ca="1">IFERROR(__xludf.DUMMYFUNCTION("""COMPUTED_VALUE"""),"K29")</f>
        <v>K29</v>
      </c>
      <c r="E282" s="23" t="str">
        <f ca="1">IFERROR(__xludf.DUMMYFUNCTION("""COMPUTED_VALUE"""),"CMU - TTT")</f>
        <v>CMU - TTT</v>
      </c>
      <c r="F282" s="9" t="str">
        <f ca="1">IFERROR(__xludf.DUMMYFUNCTION("""COMPUTED_VALUE"""),"tính năng mới ")</f>
        <v xml:space="preserve">tính năng mới </v>
      </c>
      <c r="G282" s="9">
        <f ca="1">IFERROR(__xludf.DUMMYFUNCTION("""COMPUTED_VALUE"""),3)</f>
        <v>3</v>
      </c>
      <c r="H282" s="9" t="str">
        <f ca="1">IFERROR(__xludf.DUMMYFUNCTION("""COMPUTED_VALUE"""),"Cách làm đơn đăng ký tín chỉ ?")</f>
        <v>Cách làm đơn đăng ký tín chỉ ?</v>
      </c>
    </row>
    <row r="283" spans="1:8" ht="14.4">
      <c r="A283" s="22">
        <f ca="1">IFERROR(__xludf.DUMMYFUNCTION("""COMPUTED_VALUE"""),45385.401814699)</f>
        <v>45385.401814698998</v>
      </c>
      <c r="B283" s="23" t="str">
        <f ca="1">IFERROR(__xludf.DUMMYFUNCTION("""COMPUTED_VALUE"""),"")</f>
        <v/>
      </c>
      <c r="C283" s="23" t="str">
        <f ca="1">IFERROR(__xludf.DUMMYFUNCTION("""COMPUTED_VALUE"""),"Lưu Thị Mai")</f>
        <v>Lưu Thị Mai</v>
      </c>
      <c r="D283" s="23" t="str">
        <f ca="1">IFERROR(__xludf.DUMMYFUNCTION("""COMPUTED_VALUE"""),"K27")</f>
        <v>K27</v>
      </c>
      <c r="E283" s="23" t="str">
        <f ca="1">IFERROR(__xludf.DUMMYFUNCTION("""COMPUTED_VALUE"""),"PSU")</f>
        <v>PSU</v>
      </c>
      <c r="F283" s="9"/>
      <c r="G283" s="9">
        <f ca="1">IFERROR(__xludf.DUMMYFUNCTION("""COMPUTED_VALUE"""),3)</f>
        <v>3</v>
      </c>
      <c r="H283" s="9" t="str">
        <f ca="1">IFERROR(__xludf.DUMMYFUNCTION("""COMPUTED_VALUE"""),"Không có câu hỏi")</f>
        <v>Không có câu hỏi</v>
      </c>
    </row>
    <row r="284" spans="1:8" ht="14.4">
      <c r="A284" s="22">
        <f ca="1">IFERROR(__xludf.DUMMYFUNCTION("""COMPUTED_VALUE"""),45385.4018673958)</f>
        <v>45385.401867395798</v>
      </c>
      <c r="B284" s="23" t="str">
        <f ca="1">IFERROR(__xludf.DUMMYFUNCTION("""COMPUTED_VALUE"""),"")</f>
        <v/>
      </c>
      <c r="C284" s="23" t="str">
        <f ca="1">IFERROR(__xludf.DUMMYFUNCTION("""COMPUTED_VALUE"""),"Lê Uyên Phương ")</f>
        <v xml:space="preserve">Lê Uyên Phương </v>
      </c>
      <c r="D284" s="23" t="str">
        <f ca="1">IFERROR(__xludf.DUMMYFUNCTION("""COMPUTED_VALUE"""),"K27")</f>
        <v>K27</v>
      </c>
      <c r="E284" s="23" t="str">
        <f ca="1">IFERROR(__xludf.DUMMYFUNCTION("""COMPUTED_VALUE"""),"PSU")</f>
        <v>PSU</v>
      </c>
      <c r="F284" s="9"/>
      <c r="G284" s="9">
        <f ca="1">IFERROR(__xludf.DUMMYFUNCTION("""COMPUTED_VALUE"""),3)</f>
        <v>3</v>
      </c>
      <c r="H284" s="9" t="str">
        <f ca="1">IFERROR(__xludf.DUMMYFUNCTION("""COMPUTED_VALUE"""),"Cách làm đơn đăng kí tín chỉ ")</f>
        <v xml:space="preserve">Cách làm đơn đăng kí tín chỉ </v>
      </c>
    </row>
    <row r="285" spans="1:8" ht="14.4">
      <c r="A285" s="22">
        <f ca="1">IFERROR(__xludf.DUMMYFUNCTION("""COMPUTED_VALUE"""),45385.4021901736)</f>
        <v>45385.402190173598</v>
      </c>
      <c r="B285" s="23" t="str">
        <f ca="1">IFERROR(__xludf.DUMMYFUNCTION("""COMPUTED_VALUE"""),"")</f>
        <v/>
      </c>
      <c r="C285" s="23" t="str">
        <f ca="1">IFERROR(__xludf.DUMMYFUNCTION("""COMPUTED_VALUE"""),"Lê Thị Quỳnh Như")</f>
        <v>Lê Thị Quỳnh Như</v>
      </c>
      <c r="D285" s="23" t="str">
        <f ca="1">IFERROR(__xludf.DUMMYFUNCTION("""COMPUTED_VALUE"""),"K27")</f>
        <v>K27</v>
      </c>
      <c r="E285" s="23" t="str">
        <f ca="1">IFERROR(__xludf.DUMMYFUNCTION("""COMPUTED_VALUE"""),"PSU")</f>
        <v>PSU</v>
      </c>
      <c r="F285" s="9" t="str">
        <f ca="1">IFERROR(__xludf.DUMMYFUNCTION("""COMPUTED_VALUE"""),"Cô có thể giúp gì cho em")</f>
        <v>Cô có thể giúp gì cho em</v>
      </c>
      <c r="G285" s="9">
        <f ca="1">IFERROR(__xludf.DUMMYFUNCTION("""COMPUTED_VALUE"""),4)</f>
        <v>4</v>
      </c>
      <c r="H285" s="9" t="str">
        <f ca="1">IFERROR(__xludf.DUMMYFUNCTION("""COMPUTED_VALUE"""),"Cách hướng dẫn bảo lưu ")</f>
        <v xml:space="preserve">Cách hướng dẫn bảo lưu </v>
      </c>
    </row>
    <row r="286" spans="1:8" ht="14.4">
      <c r="A286" s="22">
        <f ca="1">IFERROR(__xludf.DUMMYFUNCTION("""COMPUTED_VALUE"""),45385.4023080671)</f>
        <v>45385.402308067103</v>
      </c>
      <c r="B286" s="23" t="str">
        <f ca="1">IFERROR(__xludf.DUMMYFUNCTION("""COMPUTED_VALUE"""),"")</f>
        <v/>
      </c>
      <c r="C286" s="23" t="str">
        <f ca="1">IFERROR(__xludf.DUMMYFUNCTION("""COMPUTED_VALUE"""),"Nguyễn Hoàng Linh Chi ")</f>
        <v xml:space="preserve">Nguyễn Hoàng Linh Chi </v>
      </c>
      <c r="D286" s="23" t="str">
        <f ca="1">IFERROR(__xludf.DUMMYFUNCTION("""COMPUTED_VALUE"""),"K27")</f>
        <v>K27</v>
      </c>
      <c r="E286" s="23" t="str">
        <f ca="1">IFERROR(__xludf.DUMMYFUNCTION("""COMPUTED_VALUE"""),"PSU")</f>
        <v>PSU</v>
      </c>
      <c r="F286" s="9"/>
      <c r="G286" s="9">
        <f ca="1">IFERROR(__xludf.DUMMYFUNCTION("""COMPUTED_VALUE"""),4)</f>
        <v>4</v>
      </c>
      <c r="H286" s="9" t="str">
        <f ca="1">IFERROR(__xludf.DUMMYFUNCTION("""COMPUTED_VALUE"""),".")</f>
        <v>.</v>
      </c>
    </row>
    <row r="287" spans="1:8" ht="14.4">
      <c r="A287" s="22">
        <f ca="1">IFERROR(__xludf.DUMMYFUNCTION("""COMPUTED_VALUE"""),45385.4028496874)</f>
        <v>45385.402849687402</v>
      </c>
      <c r="B287" s="23" t="str">
        <f ca="1">IFERROR(__xludf.DUMMYFUNCTION("""COMPUTED_VALUE"""),"")</f>
        <v/>
      </c>
      <c r="C287" s="23" t="str">
        <f ca="1">IFERROR(__xludf.DUMMYFUNCTION("""COMPUTED_VALUE"""),"Nguyễn Trung Nguyên")</f>
        <v>Nguyễn Trung Nguyên</v>
      </c>
      <c r="D287" s="23" t="str">
        <f ca="1">IFERROR(__xludf.DUMMYFUNCTION("""COMPUTED_VALUE"""),"K27")</f>
        <v>K27</v>
      </c>
      <c r="E287" s="23" t="str">
        <f ca="1">IFERROR(__xludf.DUMMYFUNCTION("""COMPUTED_VALUE"""),"PSU")</f>
        <v>PSU</v>
      </c>
      <c r="F287" s="9" t="str">
        <f ca="1">IFERROR(__xludf.DUMMYFUNCTION("""COMPUTED_VALUE"""),"Tự động kết nối với cố vấn học tập và trả lời câu hỏi ngay lập thức các câu hỏi")</f>
        <v>Tự động kết nối với cố vấn học tập và trả lời câu hỏi ngay lập thức các câu hỏi</v>
      </c>
      <c r="G287" s="9">
        <f ca="1">IFERROR(__xludf.DUMMYFUNCTION("""COMPUTED_VALUE"""),5)</f>
        <v>5</v>
      </c>
      <c r="H287" s="9" t="str">
        <f ca="1">IFERROR(__xludf.DUMMYFUNCTION("""COMPUTED_VALUE"""),"Cách chọn đề tài khoá luận tốt nghiệp,")</f>
        <v>Cách chọn đề tài khoá luận tốt nghiệp,</v>
      </c>
    </row>
    <row r="288" spans="1:8" ht="14.4">
      <c r="A288" s="22">
        <f ca="1">IFERROR(__xludf.DUMMYFUNCTION("""COMPUTED_VALUE"""),45385.4029170717)</f>
        <v>45385.402917071697</v>
      </c>
      <c r="B288" s="23" t="str">
        <f ca="1">IFERROR(__xludf.DUMMYFUNCTION("""COMPUTED_VALUE"""),"")</f>
        <v/>
      </c>
      <c r="C288" s="23" t="str">
        <f ca="1">IFERROR(__xludf.DUMMYFUNCTION("""COMPUTED_VALUE"""),"Mai Thị Quỳnh")</f>
        <v>Mai Thị Quỳnh</v>
      </c>
      <c r="D288" s="23" t="str">
        <f ca="1">IFERROR(__xludf.DUMMYFUNCTION("""COMPUTED_VALUE"""),"K27")</f>
        <v>K27</v>
      </c>
      <c r="E288" s="23" t="str">
        <f ca="1">IFERROR(__xludf.DUMMYFUNCTION("""COMPUTED_VALUE"""),"PSU")</f>
        <v>PSU</v>
      </c>
      <c r="F288" s="9"/>
      <c r="G288" s="9">
        <f ca="1">IFERROR(__xludf.DUMMYFUNCTION("""COMPUTED_VALUE"""),4)</f>
        <v>4</v>
      </c>
      <c r="H288" s="9" t="str">
        <f ca="1">IFERROR(__xludf.DUMMYFUNCTION("""COMPUTED_VALUE"""),"Cách làm đơn học ghép, xin mở thêm lớp?")</f>
        <v>Cách làm đơn học ghép, xin mở thêm lớp?</v>
      </c>
    </row>
    <row r="289" spans="1:8" ht="14.4">
      <c r="A289" s="22">
        <f ca="1">IFERROR(__xludf.DUMMYFUNCTION("""COMPUTED_VALUE"""),45385.4030925347)</f>
        <v>45385.403092534703</v>
      </c>
      <c r="B289" s="23" t="str">
        <f ca="1">IFERROR(__xludf.DUMMYFUNCTION("""COMPUTED_VALUE"""),"")</f>
        <v/>
      </c>
      <c r="C289" s="23" t="str">
        <f ca="1">IFERROR(__xludf.DUMMYFUNCTION("""COMPUTED_VALUE"""),"Ngô Thị Hoài Thương")</f>
        <v>Ngô Thị Hoài Thương</v>
      </c>
      <c r="D289" s="23" t="str">
        <f ca="1">IFERROR(__xludf.DUMMYFUNCTION("""COMPUTED_VALUE"""),"K27")</f>
        <v>K27</v>
      </c>
      <c r="E289" s="23" t="str">
        <f ca="1">IFERROR(__xludf.DUMMYFUNCTION("""COMPUTED_VALUE"""),"PSU")</f>
        <v>PSU</v>
      </c>
      <c r="F289" s="9" t="str">
        <f ca="1">IFERROR(__xludf.DUMMYFUNCTION("""COMPUTED_VALUE"""),"Email")</f>
        <v>Email</v>
      </c>
      <c r="G289" s="9">
        <f ca="1">IFERROR(__xludf.DUMMYFUNCTION("""COMPUTED_VALUE"""),5)</f>
        <v>5</v>
      </c>
      <c r="H289" s="9" t="str">
        <f ca="1">IFERROR(__xludf.DUMMYFUNCTION("""COMPUTED_VALUE"""),"Nộp học phí trễ thì sao?
Quên đánh giá rèn luyện thì như thế nào?
Khi nào trường hết kẹt xe? 
Khi nào có thông báo học quân sự?
")</f>
        <v xml:space="preserve">Nộp học phí trễ thì sao?
Quên đánh giá rèn luyện thì như thế nào?
Khi nào trường hết kẹt xe? 
Khi nào có thông báo học quân sự?
</v>
      </c>
    </row>
    <row r="290" spans="1:8" ht="14.4">
      <c r="A290" s="22">
        <f ca="1">IFERROR(__xludf.DUMMYFUNCTION("""COMPUTED_VALUE"""),45385.4032361689)</f>
        <v>45385.403236168902</v>
      </c>
      <c r="B290" s="23" t="str">
        <f ca="1">IFERROR(__xludf.DUMMYFUNCTION("""COMPUTED_VALUE"""),"")</f>
        <v/>
      </c>
      <c r="C290" s="23" t="str">
        <f ca="1">IFERROR(__xludf.DUMMYFUNCTION("""COMPUTED_VALUE"""),"Nguyễn Linh Khang ")</f>
        <v xml:space="preserve">Nguyễn Linh Khang </v>
      </c>
      <c r="D290" s="23" t="str">
        <f ca="1">IFERROR(__xludf.DUMMYFUNCTION("""COMPUTED_VALUE"""),"K27")</f>
        <v>K27</v>
      </c>
      <c r="E290" s="23" t="str">
        <f ca="1">IFERROR(__xludf.DUMMYFUNCTION("""COMPUTED_VALUE"""),"PSU")</f>
        <v>PSU</v>
      </c>
      <c r="F290" s="9" t="str">
        <f ca="1">IFERROR(__xludf.DUMMYFUNCTION("""COMPUTED_VALUE"""),"Trả lời khi hỏi bài liên quan đến chuyên ngành và môn học.")</f>
        <v>Trả lời khi hỏi bài liên quan đến chuyên ngành và môn học.</v>
      </c>
      <c r="G290" s="9">
        <f ca="1">IFERROR(__xludf.DUMMYFUNCTION("""COMPUTED_VALUE"""),5)</f>
        <v>5</v>
      </c>
      <c r="H290" s="9" t="str">
        <f ca="1">IFERROR(__xludf.DUMMYFUNCTION("""COMPUTED_VALUE"""),"Trễ học phí phải làm sao?
Quên đánh giá rèn luyện phải làm sao?
Quên mua bhyt cuối năm phải làm sao?
Không đăng ký được tín chỉ vì đầy lớp phải làm sao?
Đầu ra tin và tiếng anh của chuyên ngành em đang học là bao nhiu?
Khi nào trường xây xong?
Trường có t"&amp;"ăng học phí không?
")</f>
        <v xml:space="preserve">Trễ học phí phải làm sao?
Quên đánh giá rèn luyện phải làm sao?
Quên mua bhyt cuối năm phải làm sao?
Không đăng ký được tín chỉ vì đầy lớp phải làm sao?
Đầu ra tin và tiếng anh của chuyên ngành em đang học là bao nhiu?
Khi nào trường xây xong?
Trường có tăng học phí không?
</v>
      </c>
    </row>
    <row r="291" spans="1:8" ht="14.4">
      <c r="A291" s="22">
        <f ca="1">IFERROR(__xludf.DUMMYFUNCTION("""COMPUTED_VALUE"""),45385.403515625)</f>
        <v>45385.403515625003</v>
      </c>
      <c r="B291" s="23" t="str">
        <f ca="1">IFERROR(__xludf.DUMMYFUNCTION("""COMPUTED_VALUE"""),"")</f>
        <v/>
      </c>
      <c r="C291" s="23" t="str">
        <f ca="1">IFERROR(__xludf.DUMMYFUNCTION("""COMPUTED_VALUE"""),"Nguyễn Hoài Sơn")</f>
        <v>Nguyễn Hoài Sơn</v>
      </c>
      <c r="D291" s="23" t="str">
        <f ca="1">IFERROR(__xludf.DUMMYFUNCTION("""COMPUTED_VALUE"""),"K27")</f>
        <v>K27</v>
      </c>
      <c r="E291" s="23" t="str">
        <f ca="1">IFERROR(__xludf.DUMMYFUNCTION("""COMPUTED_VALUE"""),"PSU")</f>
        <v>PSU</v>
      </c>
      <c r="F291" s="9" t="str">
        <f ca="1">IFERROR(__xludf.DUMMYFUNCTION("""COMPUTED_VALUE"""),"Tự động kết nối với người trả lời câu hỏi")</f>
        <v>Tự động kết nối với người trả lời câu hỏi</v>
      </c>
      <c r="G291" s="9">
        <f ca="1">IFERROR(__xludf.DUMMYFUNCTION("""COMPUTED_VALUE"""),5)</f>
        <v>5</v>
      </c>
      <c r="H291" s="9" t="str">
        <f ca="1">IFERROR(__xludf.DUMMYFUNCTION("""COMPUTED_VALUE"""),"Cách chọn đề tài khoá luận tốt nghiệp?")</f>
        <v>Cách chọn đề tài khoá luận tốt nghiệp?</v>
      </c>
    </row>
    <row r="292" spans="1:8" ht="14.4">
      <c r="A292" s="22">
        <f ca="1">IFERROR(__xludf.DUMMYFUNCTION("""COMPUTED_VALUE"""),45385.4040454513)</f>
        <v>45385.404045451301</v>
      </c>
      <c r="B292" s="23" t="str">
        <f ca="1">IFERROR(__xludf.DUMMYFUNCTION("""COMPUTED_VALUE"""),"")</f>
        <v/>
      </c>
      <c r="C292" s="23" t="str">
        <f ca="1">IFERROR(__xludf.DUMMYFUNCTION("""COMPUTED_VALUE"""),"Trương thị bảo nguyên ")</f>
        <v xml:space="preserve">Trương thị bảo nguyên </v>
      </c>
      <c r="D292" s="23" t="str">
        <f ca="1">IFERROR(__xludf.DUMMYFUNCTION("""COMPUTED_VALUE"""),"K27")</f>
        <v>K27</v>
      </c>
      <c r="E292" s="23" t="str">
        <f ca="1">IFERROR(__xludf.DUMMYFUNCTION("""COMPUTED_VALUE"""),"PSU")</f>
        <v>PSU</v>
      </c>
      <c r="F292" s="9" t="str">
        <f ca="1">IFERROR(__xludf.DUMMYFUNCTION("""COMPUTED_VALUE"""),"Không")</f>
        <v>Không</v>
      </c>
      <c r="G292" s="9">
        <f ca="1">IFERROR(__xludf.DUMMYFUNCTION("""COMPUTED_VALUE"""),4)</f>
        <v>4</v>
      </c>
      <c r="H292" s="9" t="str">
        <f ca="1">IFERROR(__xludf.DUMMYFUNCTION("""COMPUTED_VALUE"""),"1. Khi nào có thông báo học quân sự?
2. Quên đánh giá rèn luyện thì sao?
3. Đi quân sự có ở lại hay không? 
4. Tại sao trường làm thẻ giữ xe rồi mà vẫn chưa được sử dụng? 
5. Khoá luận của sv PSU làm bằng tiếng anh hay tiếng việt ? ")</f>
        <v xml:space="preserve">1. Khi nào có thông báo học quân sự?
2. Quên đánh giá rèn luyện thì sao?
3. Đi quân sự có ở lại hay không? 
4. Tại sao trường làm thẻ giữ xe rồi mà vẫn chưa được sử dụng? 
5. Khoá luận của sv PSU làm bằng tiếng anh hay tiếng việt ? </v>
      </c>
    </row>
    <row r="293" spans="1:8" ht="14.4">
      <c r="A293" s="22">
        <f ca="1">IFERROR(__xludf.DUMMYFUNCTION("""COMPUTED_VALUE"""),45385.4043034606)</f>
        <v>45385.4043034606</v>
      </c>
      <c r="B293" s="23" t="str">
        <f ca="1">IFERROR(__xludf.DUMMYFUNCTION("""COMPUTED_VALUE"""),"")</f>
        <v/>
      </c>
      <c r="C293" s="23" t="str">
        <f ca="1">IFERROR(__xludf.DUMMYFUNCTION("""COMPUTED_VALUE"""),"Phạm Giáng Tiên")</f>
        <v>Phạm Giáng Tiên</v>
      </c>
      <c r="D293" s="23" t="str">
        <f ca="1">IFERROR(__xludf.DUMMYFUNCTION("""COMPUTED_VALUE"""),"K27")</f>
        <v>K27</v>
      </c>
      <c r="E293" s="23" t="str">
        <f ca="1">IFERROR(__xludf.DUMMYFUNCTION("""COMPUTED_VALUE"""),"PSU")</f>
        <v>PSU</v>
      </c>
      <c r="F293" s="9"/>
      <c r="G293" s="9">
        <f ca="1">IFERROR(__xludf.DUMMYFUNCTION("""COMPUTED_VALUE"""),4)</f>
        <v>4</v>
      </c>
      <c r="H293" s="9" t="str">
        <f ca="1">IFERROR(__xludf.DUMMYFUNCTION("""COMPUTED_VALUE"""),"Tiêu chuẩn đầu ra cho chứng chỉ tin học và bảo lưu là bao nhiêu?
Cách làm thủ tục chuyển ngành?
Nộp học phí trễ thì sẽ như thế nào?
")</f>
        <v xml:space="preserve">Tiêu chuẩn đầu ra cho chứng chỉ tin học và bảo lưu là bao nhiêu?
Cách làm thủ tục chuyển ngành?
Nộp học phí trễ thì sẽ như thế nào?
</v>
      </c>
    </row>
    <row r="294" spans="1:8" ht="14.4">
      <c r="A294" s="22">
        <f ca="1">IFERROR(__xludf.DUMMYFUNCTION("""COMPUTED_VALUE"""),45385.4048502662)</f>
        <v>45385.404850266197</v>
      </c>
      <c r="B294" s="23" t="str">
        <f ca="1">IFERROR(__xludf.DUMMYFUNCTION("""COMPUTED_VALUE"""),"")</f>
        <v/>
      </c>
      <c r="C294" s="23" t="str">
        <f ca="1">IFERROR(__xludf.DUMMYFUNCTION("""COMPUTED_VALUE"""),"Nguyễn Linh Chi")</f>
        <v>Nguyễn Linh Chi</v>
      </c>
      <c r="D294" s="23" t="str">
        <f ca="1">IFERROR(__xludf.DUMMYFUNCTION("""COMPUTED_VALUE"""),"K27")</f>
        <v>K27</v>
      </c>
      <c r="E294" s="23" t="str">
        <f ca="1">IFERROR(__xludf.DUMMYFUNCTION("""COMPUTED_VALUE"""),"PSU")</f>
        <v>PSU</v>
      </c>
      <c r="F294" s="9"/>
      <c r="G294" s="9">
        <f ca="1">IFERROR(__xludf.DUMMYFUNCTION("""COMPUTED_VALUE"""),4)</f>
        <v>4</v>
      </c>
      <c r="H294" s="9" t="str">
        <f ca="1">IFERROR(__xludf.DUMMYFUNCTION("""COMPUTED_VALUE"""),"1. Nếu như sinh viên quên đánh giá rèn luyện thì phải xử lý như thế nào ?
2. Bao giờ trường hoàn thành công trình đang làm dở ?
3. Nếu sinh viên nộp trễ học phí thì phải làm sao ?
4. Cách tìm lớp để đăng kí tín chỉ ?
5. Tối đa và tối thiểu tín chỉ trong m"&amp;"ột kì ?")</f>
        <v>1. Nếu như sinh viên quên đánh giá rèn luyện thì phải xử lý như thế nào ?
2. Bao giờ trường hoàn thành công trình đang làm dở ?
3. Nếu sinh viên nộp trễ học phí thì phải làm sao ?
4. Cách tìm lớp để đăng kí tín chỉ ?
5. Tối đa và tối thiểu tín chỉ trong một kì ?</v>
      </c>
    </row>
    <row r="295" spans="1:8" ht="14.4">
      <c r="A295" s="22">
        <f ca="1">IFERROR(__xludf.DUMMYFUNCTION("""COMPUTED_VALUE"""),45385.423819074)</f>
        <v>45385.423819074</v>
      </c>
      <c r="B295" s="23" t="str">
        <f ca="1">IFERROR(__xludf.DUMMYFUNCTION("""COMPUTED_VALUE"""),"")</f>
        <v/>
      </c>
      <c r="C295" s="23" t="str">
        <f ca="1">IFERROR(__xludf.DUMMYFUNCTION("""COMPUTED_VALUE"""),"Tạ Hoàng Kim Ngân")</f>
        <v>Tạ Hoàng Kim Ngân</v>
      </c>
      <c r="D295" s="23" t="str">
        <f ca="1">IFERROR(__xludf.DUMMYFUNCTION("""COMPUTED_VALUE"""),"K27")</f>
        <v>K27</v>
      </c>
      <c r="E295" s="23" t="str">
        <f ca="1">IFERROR(__xludf.DUMMYFUNCTION("""COMPUTED_VALUE"""),"PSU")</f>
        <v>PSU</v>
      </c>
      <c r="F295" s="9"/>
      <c r="G295" s="9">
        <f ca="1">IFERROR(__xludf.DUMMYFUNCTION("""COMPUTED_VALUE"""),5)</f>
        <v>5</v>
      </c>
      <c r="H295" s="9" t="str">
        <f ca="1">IFERROR(__xludf.DUMMYFUNCTION("""COMPUTED_VALUE"""),". Trường có những công ty nào có thể cho học sinh ngành Kế Toán Kiểm Toán thực tập
. Bao giờ có lịch học quân sự chính thức
. Bao giờ bắt đầu kì thực tập
. Trường có dạy tin học MOS không
. Học phí và lệ phí thi Tin và Tiếng Anh ở trường là bao nhiêu")</f>
        <v>. Trường có những công ty nào có thể cho học sinh ngành Kế Toán Kiểm Toán thực tập
. Bao giờ có lịch học quân sự chính thức
. Bao giờ bắt đầu kì thực tập
. Trường có dạy tin học MOS không
. Học phí và lệ phí thi Tin và Tiếng Anh ở trường là bao nhiêu</v>
      </c>
    </row>
    <row r="296" spans="1:8" ht="14.4">
      <c r="A296" s="22">
        <f ca="1">IFERROR(__xludf.DUMMYFUNCTION("""COMPUTED_VALUE"""),45385.4307914583)</f>
        <v>45385.430791458297</v>
      </c>
      <c r="B296" s="23" t="str">
        <f ca="1">IFERROR(__xludf.DUMMYFUNCTION("""COMPUTED_VALUE"""),"")</f>
        <v/>
      </c>
      <c r="C296" s="23" t="str">
        <f ca="1">IFERROR(__xludf.DUMMYFUNCTION("""COMPUTED_VALUE"""),"Lê Thị Diễm Trinh")</f>
        <v>Lê Thị Diễm Trinh</v>
      </c>
      <c r="D296" s="23" t="str">
        <f ca="1">IFERROR(__xludf.DUMMYFUNCTION("""COMPUTED_VALUE"""),"K29")</f>
        <v>K29</v>
      </c>
      <c r="E296" s="23" t="str">
        <f ca="1">IFERROR(__xludf.DUMMYFUNCTION("""COMPUTED_VALUE"""),"CMU - TTT")</f>
        <v>CMU - TTT</v>
      </c>
      <c r="F296" s="9" t="str">
        <f ca="1">IFERROR(__xludf.DUMMYFUNCTION("""COMPUTED_VALUE"""),"trả lời nhanh, chính xác, đáp ứng được nhu cầu")</f>
        <v>trả lời nhanh, chính xác, đáp ứng được nhu cầu</v>
      </c>
      <c r="G296" s="9">
        <f ca="1">IFERROR(__xludf.DUMMYFUNCTION("""COMPUTED_VALUE"""),5)</f>
        <v>5</v>
      </c>
      <c r="H296" s="9" t="str">
        <f ca="1">IFERROR(__xludf.DUMMYFUNCTION("""COMPUTED_VALUE"""),"Làm cách nào để dành được học Bổng ?
")</f>
        <v xml:space="preserve">Làm cách nào để dành được học Bổng ?
</v>
      </c>
    </row>
    <row r="297" spans="1:8" ht="14.4">
      <c r="A297" s="22">
        <f ca="1">IFERROR(__xludf.DUMMYFUNCTION("""COMPUTED_VALUE"""),45385.4498577199)</f>
        <v>45385.449857719897</v>
      </c>
      <c r="B297" s="23" t="str">
        <f ca="1">IFERROR(__xludf.DUMMYFUNCTION("""COMPUTED_VALUE"""),"")</f>
        <v/>
      </c>
      <c r="C297" s="23" t="str">
        <f ca="1">IFERROR(__xludf.DUMMYFUNCTION("""COMPUTED_VALUE"""),"Hồ Diễm Trinh")</f>
        <v>Hồ Diễm Trinh</v>
      </c>
      <c r="D297" s="23" t="str">
        <f ca="1">IFERROR(__xludf.DUMMYFUNCTION("""COMPUTED_VALUE"""),"K29")</f>
        <v>K29</v>
      </c>
      <c r="E297" s="23" t="str">
        <f ca="1">IFERROR(__xludf.DUMMYFUNCTION("""COMPUTED_VALUE"""),"CMU - TTT")</f>
        <v>CMU - TTT</v>
      </c>
      <c r="F297" s="9" t="str">
        <f ca="1">IFERROR(__xludf.DUMMYFUNCTION("""COMPUTED_VALUE"""),"Hỗ trợ học tập, giải đáp thắc mắc")</f>
        <v>Hỗ trợ học tập, giải đáp thắc mắc</v>
      </c>
      <c r="G297" s="9">
        <f ca="1">IFERROR(__xludf.DUMMYFUNCTION("""COMPUTED_VALUE"""),4)</f>
        <v>4</v>
      </c>
      <c r="H297" s="9" t="str">
        <f ca="1">IFERROR(__xludf.DUMMYFUNCTION("""COMPUTED_VALUE"""),"Cách đăng ký tín chỉ
Làm thế nào để hoàn thành tốt môn học này?
Những lời khuyên  cho sinh viên muốn theo đuổi sự nghiệp trong lĩnh vực này?")</f>
        <v>Cách đăng ký tín chỉ
Làm thế nào để hoàn thành tốt môn học này?
Những lời khuyên  cho sinh viên muốn theo đuổi sự nghiệp trong lĩnh vực này?</v>
      </c>
    </row>
    <row r="298" spans="1:8" ht="14.4">
      <c r="A298" s="22">
        <f ca="1">IFERROR(__xludf.DUMMYFUNCTION("""COMPUTED_VALUE"""),45385.4511843518)</f>
        <v>45385.451184351798</v>
      </c>
      <c r="B298" s="23" t="str">
        <f ca="1">IFERROR(__xludf.DUMMYFUNCTION("""COMPUTED_VALUE"""),"")</f>
        <v/>
      </c>
      <c r="C298" s="23" t="str">
        <f ca="1">IFERROR(__xludf.DUMMYFUNCTION("""COMPUTED_VALUE"""),"Nguyễn Kim Tuyến")</f>
        <v>Nguyễn Kim Tuyến</v>
      </c>
      <c r="D298" s="23" t="str">
        <f ca="1">IFERROR(__xludf.DUMMYFUNCTION("""COMPUTED_VALUE"""),"K29")</f>
        <v>K29</v>
      </c>
      <c r="E298" s="23" t="str">
        <f ca="1">IFERROR(__xludf.DUMMYFUNCTION("""COMPUTED_VALUE"""),"CMU - TTT")</f>
        <v>CMU - TTT</v>
      </c>
      <c r="F298" s="9" t="str">
        <f ca="1">IFERROR(__xludf.DUMMYFUNCTION("""COMPUTED_VALUE"""),"Không")</f>
        <v>Không</v>
      </c>
      <c r="G298" s="9">
        <f ca="1">IFERROR(__xludf.DUMMYFUNCTION("""COMPUTED_VALUE"""),5)</f>
        <v>5</v>
      </c>
      <c r="H298" s="9" t="str">
        <f ca="1">IFERROR(__xludf.DUMMYFUNCTION("""COMPUTED_VALUE"""),"Không có")</f>
        <v>Không có</v>
      </c>
    </row>
    <row r="299" spans="1:8" ht="14.4">
      <c r="A299" s="22">
        <f ca="1">IFERROR(__xludf.DUMMYFUNCTION("""COMPUTED_VALUE"""),45385.5328364467)</f>
        <v>45385.532836446699</v>
      </c>
      <c r="B299" s="23" t="str">
        <f ca="1">IFERROR(__xludf.DUMMYFUNCTION("""COMPUTED_VALUE"""),"")</f>
        <v/>
      </c>
      <c r="C299" s="23" t="str">
        <f ca="1">IFERROR(__xludf.DUMMYFUNCTION("""COMPUTED_VALUE"""),"Phạm Hoàng Duyên Duyên ")</f>
        <v xml:space="preserve">Phạm Hoàng Duyên Duyên </v>
      </c>
      <c r="D299" s="23" t="str">
        <f ca="1">IFERROR(__xludf.DUMMYFUNCTION("""COMPUTED_VALUE"""),"K29")</f>
        <v>K29</v>
      </c>
      <c r="E299" s="23" t="str">
        <f ca="1">IFERROR(__xludf.DUMMYFUNCTION("""COMPUTED_VALUE"""),"CMU - TTT")</f>
        <v>CMU - TTT</v>
      </c>
      <c r="F299" s="9"/>
      <c r="G299" s="9">
        <f ca="1">IFERROR(__xludf.DUMMYFUNCTION("""COMPUTED_VALUE"""),4)</f>
        <v>4</v>
      </c>
      <c r="H299" s="9" t="str">
        <f ca="1">IFERROR(__xludf.DUMMYFUNCTION("""COMPUTED_VALUE"""),"Cách đăng ký tín chỉ
Trường có kỳ học hè không ạ")</f>
        <v>Cách đăng ký tín chỉ
Trường có kỳ học hè không ạ</v>
      </c>
    </row>
    <row r="300" spans="1:8" ht="14.4">
      <c r="A300" s="22">
        <f ca="1">IFERROR(__xludf.DUMMYFUNCTION("""COMPUTED_VALUE"""),45385.5636297569)</f>
        <v>45385.5636297569</v>
      </c>
      <c r="B300" s="23" t="str">
        <f ca="1">IFERROR(__xludf.DUMMYFUNCTION("""COMPUTED_VALUE"""),"")</f>
        <v/>
      </c>
      <c r="C300" s="23" t="str">
        <f ca="1">IFERROR(__xludf.DUMMYFUNCTION("""COMPUTED_VALUE"""),"Nguyễn Cửu Tiến Đạt")</f>
        <v>Nguyễn Cửu Tiến Đạt</v>
      </c>
      <c r="D300" s="23" t="str">
        <f ca="1">IFERROR(__xludf.DUMMYFUNCTION("""COMPUTED_VALUE"""),"K29")</f>
        <v>K29</v>
      </c>
      <c r="E300" s="23" t="str">
        <f ca="1">IFERROR(__xludf.DUMMYFUNCTION("""COMPUTED_VALUE"""),"CMU - TPM")</f>
        <v>CMU - TPM</v>
      </c>
      <c r="F300" s="9"/>
      <c r="G300" s="9">
        <f ca="1">IFERROR(__xludf.DUMMYFUNCTION("""COMPUTED_VALUE"""),3)</f>
        <v>3</v>
      </c>
      <c r="H300" s="9" t="str">
        <f ca="1">IFERROR(__xludf.DUMMYFUNCTION("""COMPUTED_VALUE"""),"em hiện tại đang là sinh viên khoá K49 nhưng có một vài lý do về cá nhân và gia đình nên kể từ đầu học kì 2 em đã không thể tiếp tục đến trường vậy có cách nào để năm học 2024-2025 em có thể tiếp tục học tại trường không ạ ?")</f>
        <v>em hiện tại đang là sinh viên khoá K49 nhưng có một vài lý do về cá nhân và gia đình nên kể từ đầu học kì 2 em đã không thể tiếp tục đến trường vậy có cách nào để năm học 2024-2025 em có thể tiếp tục học tại trường không ạ ?</v>
      </c>
    </row>
    <row r="301" spans="1:8" ht="14.4">
      <c r="A301" s="22">
        <f ca="1">IFERROR(__xludf.DUMMYFUNCTION("""COMPUTED_VALUE"""),45385.5726217592)</f>
        <v>45385.572621759202</v>
      </c>
      <c r="B301" s="23" t="str">
        <f ca="1">IFERROR(__xludf.DUMMYFUNCTION("""COMPUTED_VALUE"""),"")</f>
        <v/>
      </c>
      <c r="C301" s="23" t="str">
        <f ca="1">IFERROR(__xludf.DUMMYFUNCTION("""COMPUTED_VALUE"""),"Võ Thị Thái Ngọc")</f>
        <v>Võ Thị Thái Ngọc</v>
      </c>
      <c r="D301" s="23" t="str">
        <f ca="1">IFERROR(__xludf.DUMMYFUNCTION("""COMPUTED_VALUE"""),"K29")</f>
        <v>K29</v>
      </c>
      <c r="E301" s="23" t="str">
        <f ca="1">IFERROR(__xludf.DUMMYFUNCTION("""COMPUTED_VALUE"""),"CMU - TPM")</f>
        <v>CMU - TPM</v>
      </c>
      <c r="F301" s="9"/>
      <c r="G301" s="9">
        <f ca="1">IFERROR(__xludf.DUMMYFUNCTION("""COMPUTED_VALUE"""),5)</f>
        <v>5</v>
      </c>
      <c r="H301" s="9" t="str">
        <f ca="1">IFERROR(__xludf.DUMMYFUNCTION("""COMPUTED_VALUE"""),"Cách đăng kí")</f>
        <v>Cách đăng kí</v>
      </c>
    </row>
    <row r="302" spans="1:8" ht="14.4">
      <c r="A302" s="22">
        <f ca="1">IFERROR(__xludf.DUMMYFUNCTION("""COMPUTED_VALUE"""),45385.5806684259)</f>
        <v>45385.580668425901</v>
      </c>
      <c r="B302" s="23" t="str">
        <f ca="1">IFERROR(__xludf.DUMMYFUNCTION("""COMPUTED_VALUE"""),"")</f>
        <v/>
      </c>
      <c r="C302" s="23" t="str">
        <f ca="1">IFERROR(__xludf.DUMMYFUNCTION("""COMPUTED_VALUE"""),"Bùi Quang Sinh ")</f>
        <v xml:space="preserve">Bùi Quang Sinh </v>
      </c>
      <c r="D302" s="23" t="str">
        <f ca="1">IFERROR(__xludf.DUMMYFUNCTION("""COMPUTED_VALUE"""),"K29")</f>
        <v>K29</v>
      </c>
      <c r="E302" s="23" t="str">
        <f ca="1">IFERROR(__xludf.DUMMYFUNCTION("""COMPUTED_VALUE"""),"PSU")</f>
        <v>PSU</v>
      </c>
      <c r="F302" s="9" t="str">
        <f ca="1">IFERROR(__xludf.DUMMYFUNCTION("""COMPUTED_VALUE"""),"Cách để lách luật :)))")</f>
        <v>Cách để lách luật :)))</v>
      </c>
      <c r="G302" s="9">
        <f ca="1">IFERROR(__xludf.DUMMYFUNCTION("""COMPUTED_VALUE"""),5)</f>
        <v>5</v>
      </c>
      <c r="H302" s="9" t="str">
        <f ca="1">IFERROR(__xludf.DUMMYFUNCTION("""COMPUTED_VALUE"""),"Câu 1: Học phí năm 1 mà bọn em phải đóng là 13tr980đ thì sang năm 2 số tiền học phí vẫn giữ nguyên đúng ko ạ 
Câu 2: Ví dụ: Nếu em đăng ký tín chỉ môn tiếng anh 1 của lớp eng 128z và đã học được 1 buổi rồi nhưng em muốn đổi sang lớp eng 128t thì có được k"&amp;"hông ạ và phải làm sao để đổi?
Câu 3: Nếu em thi MOS ở ngoài thì em có cần phải học môn ""tin học ứng dụng"" và ""thi tin học văn phòng đầu ra"" của trường không ạ ")</f>
        <v xml:space="preserve">Câu 1: Học phí năm 1 mà bọn em phải đóng là 13tr980đ thì sang năm 2 số tiền học phí vẫn giữ nguyên đúng ko ạ 
Câu 2: Ví dụ: Nếu em đăng ký tín chỉ môn tiếng anh 1 của lớp eng 128z và đã học được 1 buổi rồi nhưng em muốn đổi sang lớp eng 128t thì có được không ạ và phải làm sao để đổi?
Câu 3: Nếu em thi MOS ở ngoài thì em có cần phải học môn "tin học ứng dụng" và "thi tin học văn phòng đầu ra" của trường không ạ </v>
      </c>
    </row>
    <row r="303" spans="1:8" ht="14.4">
      <c r="A303" s="22">
        <f ca="1">IFERROR(__xludf.DUMMYFUNCTION("""COMPUTED_VALUE"""),45385.5975685416)</f>
        <v>45385.597568541598</v>
      </c>
      <c r="B303" s="23" t="str">
        <f ca="1">IFERROR(__xludf.DUMMYFUNCTION("""COMPUTED_VALUE"""),"")</f>
        <v/>
      </c>
      <c r="C303" s="23" t="str">
        <f ca="1">IFERROR(__xludf.DUMMYFUNCTION("""COMPUTED_VALUE"""),"nguyễn duy nhất thành")</f>
        <v>nguyễn duy nhất thành</v>
      </c>
      <c r="D303" s="23" t="str">
        <f ca="1">IFERROR(__xludf.DUMMYFUNCTION("""COMPUTED_VALUE"""),"K29")</f>
        <v>K29</v>
      </c>
      <c r="E303" s="23" t="str">
        <f ca="1">IFERROR(__xludf.DUMMYFUNCTION("""COMPUTED_VALUE"""),"PSU")</f>
        <v>PSU</v>
      </c>
      <c r="F303" s="9"/>
      <c r="G303" s="9">
        <f ca="1">IFERROR(__xludf.DUMMYFUNCTION("""COMPUTED_VALUE"""),2)</f>
        <v>2</v>
      </c>
      <c r="H303" s="9" t="str">
        <f ca="1">IFERROR(__xludf.DUMMYFUNCTION("""COMPUTED_VALUE"""),"làm sao để biết mở lớp và đăng kí môn học ")</f>
        <v xml:space="preserve">làm sao để biết mở lớp và đăng kí môn học </v>
      </c>
    </row>
    <row r="304" spans="1:8" ht="14.4">
      <c r="A304" s="22">
        <f ca="1">IFERROR(__xludf.DUMMYFUNCTION("""COMPUTED_VALUE"""),45385.6798421643)</f>
        <v>45385.679842164303</v>
      </c>
      <c r="B304" s="23" t="str">
        <f ca="1">IFERROR(__xludf.DUMMYFUNCTION("""COMPUTED_VALUE"""),"")</f>
        <v/>
      </c>
      <c r="C304" s="23" t="str">
        <f ca="1">IFERROR(__xludf.DUMMYFUNCTION("""COMPUTED_VALUE"""),"Trần Thị Mỹ Duyên")</f>
        <v>Trần Thị Mỹ Duyên</v>
      </c>
      <c r="D304" s="23" t="str">
        <f ca="1">IFERROR(__xludf.DUMMYFUNCTION("""COMPUTED_VALUE"""),"K27")</f>
        <v>K27</v>
      </c>
      <c r="E304" s="23" t="str">
        <f ca="1">IFERROR(__xludf.DUMMYFUNCTION("""COMPUTED_VALUE"""),"PSU")</f>
        <v>PSU</v>
      </c>
      <c r="F304" s="9"/>
      <c r="G304" s="9">
        <f ca="1">IFERROR(__xludf.DUMMYFUNCTION("""COMPUTED_VALUE"""),5)</f>
        <v>5</v>
      </c>
      <c r="H304" s="9" t="str">
        <f ca="1">IFERROR(__xludf.DUMMYFUNCTION("""COMPUTED_VALUE"""),"Cách đánh giá điểm rèn luyện đúng ?")</f>
        <v>Cách đánh giá điểm rèn luyện đúng ?</v>
      </c>
    </row>
    <row r="305" spans="1:8" ht="14.4">
      <c r="A305" s="22">
        <f ca="1">IFERROR(__xludf.DUMMYFUNCTION("""COMPUTED_VALUE"""),45385.6807453009)</f>
        <v>45385.680745300902</v>
      </c>
      <c r="B305" s="23" t="str">
        <f ca="1">IFERROR(__xludf.DUMMYFUNCTION("""COMPUTED_VALUE"""),"")</f>
        <v/>
      </c>
      <c r="C305" s="23" t="str">
        <f ca="1">IFERROR(__xludf.DUMMYFUNCTION("""COMPUTED_VALUE"""),"Huỳnh Tấn Dĩnh")</f>
        <v>Huỳnh Tấn Dĩnh</v>
      </c>
      <c r="D305" s="23" t="str">
        <f ca="1">IFERROR(__xludf.DUMMYFUNCTION("""COMPUTED_VALUE"""),"K29")</f>
        <v>K29</v>
      </c>
      <c r="E305" s="23" t="str">
        <f ca="1">IFERROR(__xludf.DUMMYFUNCTION("""COMPUTED_VALUE"""),"CMU - TPM")</f>
        <v>CMU - TPM</v>
      </c>
      <c r="F305" s="9" t="str">
        <f ca="1">IFERROR(__xludf.DUMMYFUNCTION("""COMPUTED_VALUE"""),"Tôi muốn nó có thể nhắc tôi về việc đi học và đi thi đúng giờ.")</f>
        <v>Tôi muốn nó có thể nhắc tôi về việc đi học và đi thi đúng giờ.</v>
      </c>
      <c r="G305" s="9">
        <f ca="1">IFERROR(__xludf.DUMMYFUNCTION("""COMPUTED_VALUE"""),4)</f>
        <v>4</v>
      </c>
      <c r="H305" s="9" t="str">
        <f ca="1">IFERROR(__xludf.DUMMYFUNCTION("""COMPUTED_VALUE"""),"Cách tính điểm kết thúc học phần?")</f>
        <v>Cách tính điểm kết thúc học phần?</v>
      </c>
    </row>
    <row r="306" spans="1:8" ht="14.4">
      <c r="A306" s="22">
        <f ca="1">IFERROR(__xludf.DUMMYFUNCTION("""COMPUTED_VALUE"""),45385.6836974768)</f>
        <v>45385.683697476801</v>
      </c>
      <c r="B306" s="23" t="str">
        <f ca="1">IFERROR(__xludf.DUMMYFUNCTION("""COMPUTED_VALUE"""),"")</f>
        <v/>
      </c>
      <c r="C306" s="23" t="str">
        <f ca="1">IFERROR(__xludf.DUMMYFUNCTION("""COMPUTED_VALUE"""),"Lương Lê Tấn Tuấn")</f>
        <v>Lương Lê Tấn Tuấn</v>
      </c>
      <c r="D306" s="23" t="str">
        <f ca="1">IFERROR(__xludf.DUMMYFUNCTION("""COMPUTED_VALUE"""),"K29")</f>
        <v>K29</v>
      </c>
      <c r="E306" s="23" t="str">
        <f ca="1">IFERROR(__xludf.DUMMYFUNCTION("""COMPUTED_VALUE"""),"PSU")</f>
        <v>PSU</v>
      </c>
      <c r="F306" s="9" t="str">
        <f ca="1">IFERROR(__xludf.DUMMYFUNCTION("""COMPUTED_VALUE"""),"chỉ cụ thể")</f>
        <v>chỉ cụ thể</v>
      </c>
      <c r="G306" s="9">
        <f ca="1">IFERROR(__xludf.DUMMYFUNCTION("""COMPUTED_VALUE"""),5)</f>
        <v>5</v>
      </c>
      <c r="H306" s="9" t="str">
        <f ca="1">IFERROR(__xludf.DUMMYFUNCTION("""COMPUTED_VALUE"""),"cách đăng kí tín chỉ")</f>
        <v>cách đăng kí tín chỉ</v>
      </c>
    </row>
    <row r="307" spans="1:8" ht="14.4">
      <c r="A307" s="23"/>
      <c r="B307" s="23"/>
      <c r="C307" s="23"/>
      <c r="D307" s="23"/>
      <c r="E307" s="23"/>
      <c r="F307" s="9"/>
      <c r="G307" s="9"/>
      <c r="H307" s="9"/>
    </row>
    <row r="308" spans="1:8" ht="14.4">
      <c r="A308" s="23"/>
      <c r="B308" s="23"/>
      <c r="C308" s="23"/>
      <c r="D308" s="23"/>
      <c r="E308" s="23"/>
      <c r="F308" s="9"/>
      <c r="G308" s="9"/>
      <c r="H308" s="9"/>
    </row>
    <row r="309" spans="1:8" ht="14.4">
      <c r="A309" s="23"/>
      <c r="B309" s="23"/>
      <c r="C309" s="23"/>
      <c r="D309" s="23"/>
      <c r="E309" s="23"/>
      <c r="F309" s="9"/>
      <c r="G309" s="9"/>
      <c r="H309" s="9"/>
    </row>
    <row r="310" spans="1:8" ht="14.4">
      <c r="A310" s="23"/>
      <c r="B310" s="23"/>
      <c r="C310" s="23"/>
      <c r="D310" s="23"/>
      <c r="E310" s="23"/>
      <c r="F310" s="9"/>
      <c r="G310" s="9"/>
      <c r="H310" s="9"/>
    </row>
    <row r="311" spans="1:8" ht="14.4">
      <c r="A311" s="23"/>
      <c r="B311" s="23"/>
      <c r="C311" s="23"/>
      <c r="D311" s="23"/>
      <c r="E311" s="23"/>
      <c r="F311" s="9"/>
      <c r="G311" s="9"/>
      <c r="H311" s="9"/>
    </row>
    <row r="312" spans="1:8" ht="14.4">
      <c r="A312" s="23"/>
      <c r="B312" s="23"/>
      <c r="C312" s="23"/>
      <c r="D312" s="23"/>
      <c r="E312" s="23"/>
      <c r="F312" s="9"/>
      <c r="G312" s="9"/>
      <c r="H312" s="9"/>
    </row>
    <row r="313" spans="1:8" ht="14.4">
      <c r="A313" s="23"/>
      <c r="B313" s="23"/>
      <c r="C313" s="23"/>
      <c r="D313" s="23"/>
      <c r="E313" s="23"/>
      <c r="F313" s="9"/>
      <c r="G313" s="9"/>
      <c r="H313" s="9"/>
    </row>
    <row r="314" spans="1:8" ht="14.4">
      <c r="A314" s="23"/>
      <c r="B314" s="23"/>
      <c r="C314" s="23"/>
      <c r="D314" s="23"/>
      <c r="E314" s="23"/>
      <c r="F314" s="9"/>
      <c r="G314" s="9"/>
      <c r="H314" s="9"/>
    </row>
    <row r="315" spans="1:8" ht="14.4">
      <c r="A315" s="23"/>
      <c r="B315" s="23"/>
      <c r="C315" s="23"/>
      <c r="D315" s="23"/>
      <c r="E315" s="23"/>
      <c r="F315" s="9"/>
      <c r="G315" s="9"/>
      <c r="H315" s="9"/>
    </row>
    <row r="316" spans="1:8" ht="14.4">
      <c r="A316" s="23"/>
      <c r="B316" s="23"/>
      <c r="C316" s="23"/>
      <c r="D316" s="23"/>
      <c r="E316" s="23"/>
      <c r="F316" s="9"/>
      <c r="G316" s="9"/>
      <c r="H316" s="9"/>
    </row>
    <row r="317" spans="1:8" ht="14.4">
      <c r="A317" s="23"/>
      <c r="B317" s="23"/>
      <c r="C317" s="23"/>
      <c r="D317" s="23"/>
      <c r="E317" s="23"/>
      <c r="F317" s="9"/>
      <c r="G317" s="9"/>
      <c r="H317" s="9"/>
    </row>
    <row r="318" spans="1:8" ht="14.4">
      <c r="A318" s="23"/>
      <c r="B318" s="23"/>
      <c r="C318" s="23"/>
      <c r="D318" s="23"/>
      <c r="E318" s="23"/>
      <c r="F318" s="9"/>
      <c r="G318" s="9"/>
      <c r="H318" s="9"/>
    </row>
    <row r="319" spans="1:8" ht="14.4">
      <c r="A319" s="23"/>
      <c r="B319" s="23"/>
      <c r="C319" s="23"/>
      <c r="D319" s="23"/>
      <c r="E319" s="23"/>
      <c r="F319" s="9"/>
      <c r="G319" s="9"/>
      <c r="H319" s="9"/>
    </row>
    <row r="320" spans="1:8" ht="14.4">
      <c r="A320" s="23"/>
      <c r="B320" s="23"/>
      <c r="C320" s="23"/>
      <c r="D320" s="23"/>
      <c r="E320" s="23"/>
      <c r="F320" s="9"/>
      <c r="G320" s="9"/>
      <c r="H320" s="9"/>
    </row>
    <row r="321" spans="1:8" ht="14.4">
      <c r="A321" s="23"/>
      <c r="B321" s="23"/>
      <c r="C321" s="23"/>
      <c r="D321" s="23"/>
      <c r="E321" s="23"/>
      <c r="F321" s="9"/>
      <c r="G321" s="9"/>
      <c r="H321" s="9"/>
    </row>
    <row r="322" spans="1:8" ht="14.4">
      <c r="A322" s="23"/>
      <c r="B322" s="23"/>
      <c r="C322" s="23"/>
      <c r="D322" s="23"/>
      <c r="E322" s="23"/>
      <c r="F322" s="9"/>
      <c r="G322" s="9"/>
      <c r="H322" s="9"/>
    </row>
    <row r="323" spans="1:8" ht="14.4">
      <c r="A323" s="23"/>
      <c r="B323" s="23"/>
      <c r="C323" s="23"/>
      <c r="D323" s="23"/>
      <c r="E323" s="23"/>
      <c r="F323" s="9"/>
      <c r="G323" s="9"/>
      <c r="H323" s="9"/>
    </row>
    <row r="324" spans="1:8" ht="14.4">
      <c r="A324" s="23"/>
      <c r="B324" s="23"/>
      <c r="C324" s="23"/>
      <c r="D324" s="23"/>
      <c r="E324" s="23"/>
      <c r="F324" s="9"/>
      <c r="G324" s="9"/>
      <c r="H324" s="9"/>
    </row>
    <row r="325" spans="1:8" ht="14.4">
      <c r="A325" s="23"/>
      <c r="B325" s="23"/>
      <c r="C325" s="23"/>
      <c r="D325" s="23"/>
      <c r="E325" s="23"/>
      <c r="F325" s="9"/>
      <c r="G325" s="9"/>
      <c r="H325" s="9"/>
    </row>
    <row r="326" spans="1:8" ht="14.4">
      <c r="A326" s="23"/>
      <c r="B326" s="23"/>
      <c r="C326" s="23"/>
      <c r="D326" s="23"/>
      <c r="E326" s="23"/>
      <c r="F326" s="9"/>
      <c r="G326" s="9"/>
      <c r="H326" s="9"/>
    </row>
    <row r="327" spans="1:8" ht="14.4">
      <c r="A327" s="23"/>
      <c r="B327" s="23"/>
      <c r="C327" s="23"/>
      <c r="D327" s="23"/>
      <c r="E327" s="23"/>
      <c r="F327" s="9"/>
      <c r="G327" s="9"/>
      <c r="H327" s="9"/>
    </row>
    <row r="328" spans="1:8" ht="14.4">
      <c r="A328" s="23"/>
      <c r="B328" s="23"/>
      <c r="C328" s="23"/>
      <c r="D328" s="23"/>
      <c r="E328" s="23"/>
      <c r="F328" s="9"/>
      <c r="G328" s="9"/>
      <c r="H328" s="9"/>
    </row>
    <row r="329" spans="1:8" ht="14.4">
      <c r="A329" s="23"/>
      <c r="B329" s="23"/>
      <c r="C329" s="23"/>
      <c r="D329" s="23"/>
      <c r="E329" s="23"/>
      <c r="F329" s="9"/>
      <c r="G329" s="9"/>
      <c r="H329" s="9"/>
    </row>
    <row r="330" spans="1:8" ht="14.4">
      <c r="A330" s="23"/>
      <c r="B330" s="23"/>
      <c r="C330" s="23"/>
      <c r="D330" s="23"/>
      <c r="E330" s="23"/>
      <c r="F330" s="9"/>
      <c r="G330" s="9"/>
      <c r="H330" s="9"/>
    </row>
    <row r="331" spans="1:8" ht="14.4">
      <c r="A331" s="23"/>
      <c r="B331" s="23"/>
      <c r="C331" s="23"/>
      <c r="D331" s="23"/>
      <c r="E331" s="23"/>
      <c r="F331" s="9"/>
      <c r="G331" s="9"/>
      <c r="H331" s="9"/>
    </row>
    <row r="332" spans="1:8" ht="14.4">
      <c r="A332" s="23"/>
      <c r="B332" s="23"/>
      <c r="C332" s="23"/>
      <c r="D332" s="23"/>
      <c r="E332" s="23"/>
      <c r="F332" s="9"/>
      <c r="G332" s="9"/>
      <c r="H332" s="9"/>
    </row>
    <row r="333" spans="1:8" ht="14.4">
      <c r="A333" s="23"/>
      <c r="B333" s="23"/>
      <c r="C333" s="23"/>
      <c r="D333" s="23"/>
      <c r="E333" s="23"/>
      <c r="F333" s="9"/>
      <c r="G333" s="9"/>
      <c r="H333" s="9"/>
    </row>
    <row r="334" spans="1:8" ht="14.4">
      <c r="A334" s="23"/>
      <c r="B334" s="23"/>
      <c r="C334" s="23"/>
      <c r="D334" s="23"/>
      <c r="E334" s="23"/>
      <c r="F334" s="9"/>
      <c r="G334" s="9"/>
      <c r="H334" s="9"/>
    </row>
    <row r="335" spans="1:8" ht="14.4">
      <c r="A335" s="23"/>
      <c r="B335" s="23"/>
      <c r="C335" s="23"/>
      <c r="D335" s="23"/>
      <c r="E335" s="23"/>
      <c r="F335" s="9"/>
      <c r="G335" s="9"/>
      <c r="H335" s="9"/>
    </row>
    <row r="336" spans="1:8" ht="14.4">
      <c r="A336" s="23"/>
      <c r="B336" s="23"/>
      <c r="C336" s="23"/>
      <c r="D336" s="23"/>
      <c r="E336" s="23"/>
      <c r="F336" s="9"/>
      <c r="G336" s="9"/>
      <c r="H336" s="9"/>
    </row>
    <row r="337" spans="1:8" ht="14.4">
      <c r="A337" s="23"/>
      <c r="B337" s="23"/>
      <c r="C337" s="23"/>
      <c r="D337" s="23"/>
      <c r="E337" s="23"/>
      <c r="F337" s="9"/>
      <c r="G337" s="9"/>
      <c r="H337" s="9"/>
    </row>
    <row r="338" spans="1:8" ht="14.4">
      <c r="A338" s="23"/>
      <c r="B338" s="23"/>
      <c r="C338" s="23"/>
      <c r="D338" s="23"/>
      <c r="E338" s="23"/>
      <c r="F338" s="9"/>
      <c r="G338" s="9"/>
      <c r="H338" s="9"/>
    </row>
    <row r="339" spans="1:8" ht="14.4">
      <c r="A339" s="23"/>
      <c r="B339" s="23"/>
      <c r="C339" s="23"/>
      <c r="D339" s="23"/>
      <c r="E339" s="23"/>
      <c r="F339" s="9"/>
      <c r="G339" s="9"/>
      <c r="H339" s="9"/>
    </row>
    <row r="340" spans="1:8" ht="14.4">
      <c r="A340" s="23"/>
      <c r="B340" s="23"/>
      <c r="C340" s="23"/>
      <c r="D340" s="23"/>
      <c r="E340" s="23"/>
      <c r="F340" s="9"/>
      <c r="G340" s="9"/>
      <c r="H340" s="9"/>
    </row>
    <row r="341" spans="1:8" ht="14.4">
      <c r="A341" s="23"/>
      <c r="B341" s="23"/>
      <c r="C341" s="23"/>
      <c r="D341" s="23"/>
      <c r="E341" s="23"/>
      <c r="F341" s="9"/>
      <c r="G341" s="9"/>
      <c r="H341" s="9"/>
    </row>
    <row r="342" spans="1:8" ht="14.4">
      <c r="A342" s="23"/>
      <c r="B342" s="23"/>
      <c r="C342" s="23"/>
      <c r="D342" s="23"/>
      <c r="E342" s="23"/>
      <c r="F342" s="9"/>
      <c r="G342" s="9"/>
      <c r="H342" s="9"/>
    </row>
    <row r="343" spans="1:8" ht="14.4">
      <c r="A343" s="23"/>
      <c r="B343" s="23"/>
      <c r="C343" s="23"/>
      <c r="D343" s="23"/>
      <c r="E343" s="23"/>
      <c r="F343" s="9"/>
      <c r="G343" s="9"/>
      <c r="H343" s="9"/>
    </row>
    <row r="344" spans="1:8" ht="14.4">
      <c r="A344" s="23"/>
      <c r="B344" s="23"/>
      <c r="C344" s="23"/>
      <c r="D344" s="23"/>
      <c r="E344" s="23"/>
      <c r="F344" s="9"/>
      <c r="G344" s="9"/>
      <c r="H344" s="9"/>
    </row>
    <row r="345" spans="1:8" ht="14.4">
      <c r="A345" s="23"/>
      <c r="B345" s="23"/>
      <c r="C345" s="23"/>
      <c r="D345" s="23"/>
      <c r="E345" s="23"/>
      <c r="F345" s="9"/>
      <c r="G345" s="9"/>
      <c r="H345" s="9"/>
    </row>
    <row r="346" spans="1:8" ht="14.4">
      <c r="A346" s="23"/>
      <c r="B346" s="23"/>
      <c r="C346" s="23"/>
      <c r="D346" s="23"/>
      <c r="E346" s="23"/>
      <c r="F346" s="9"/>
      <c r="G346" s="9"/>
      <c r="H346" s="9"/>
    </row>
    <row r="347" spans="1:8" ht="14.4">
      <c r="A347" s="23"/>
      <c r="B347" s="23"/>
      <c r="C347" s="23"/>
      <c r="D347" s="23"/>
      <c r="E347" s="23"/>
      <c r="F347" s="9"/>
      <c r="G347" s="9"/>
      <c r="H347" s="9"/>
    </row>
    <row r="348" spans="1:8" ht="14.4">
      <c r="A348" s="23"/>
      <c r="B348" s="23"/>
      <c r="C348" s="23"/>
      <c r="D348" s="23"/>
      <c r="E348" s="23"/>
      <c r="F348" s="9"/>
      <c r="G348" s="9"/>
      <c r="H348" s="9"/>
    </row>
    <row r="349" spans="1:8" ht="14.4">
      <c r="A349" s="23"/>
      <c r="B349" s="23"/>
      <c r="C349" s="23"/>
      <c r="D349" s="23"/>
      <c r="E349" s="23"/>
      <c r="F349" s="9"/>
      <c r="G349" s="9"/>
      <c r="H349" s="9"/>
    </row>
    <row r="350" spans="1:8" ht="14.4">
      <c r="A350" s="23"/>
      <c r="B350" s="23"/>
      <c r="C350" s="23"/>
      <c r="D350" s="23"/>
      <c r="E350" s="23"/>
      <c r="F350" s="9"/>
      <c r="G350" s="9"/>
      <c r="H350" s="9"/>
    </row>
    <row r="351" spans="1:8" ht="14.4">
      <c r="A351" s="23"/>
      <c r="B351" s="23"/>
      <c r="C351" s="23"/>
      <c r="D351" s="23"/>
      <c r="E351" s="23"/>
      <c r="F351" s="9"/>
      <c r="G351" s="9"/>
      <c r="H351" s="9"/>
    </row>
    <row r="352" spans="1:8" ht="14.4">
      <c r="A352" s="23"/>
      <c r="B352" s="23"/>
      <c r="C352" s="23"/>
      <c r="D352" s="23"/>
      <c r="E352" s="23"/>
      <c r="F352" s="9"/>
      <c r="G352" s="9"/>
      <c r="H352" s="9"/>
    </row>
    <row r="353" spans="1:8" ht="14.4">
      <c r="A353" s="23"/>
      <c r="B353" s="23"/>
      <c r="C353" s="23"/>
      <c r="D353" s="23"/>
      <c r="E353" s="23"/>
      <c r="F353" s="9"/>
      <c r="G353" s="9"/>
      <c r="H353" s="9"/>
    </row>
    <row r="354" spans="1:8" ht="14.4">
      <c r="A354" s="23"/>
      <c r="B354" s="23"/>
      <c r="C354" s="23"/>
      <c r="D354" s="23"/>
      <c r="E354" s="23"/>
      <c r="F354" s="9"/>
      <c r="G354" s="9"/>
      <c r="H354" s="9"/>
    </row>
    <row r="355" spans="1:8" ht="14.4">
      <c r="A355" s="23"/>
      <c r="B355" s="23"/>
      <c r="C355" s="23"/>
      <c r="D355" s="23"/>
      <c r="E355" s="23"/>
      <c r="F355" s="9"/>
      <c r="G355" s="9"/>
      <c r="H355" s="9"/>
    </row>
    <row r="356" spans="1:8" ht="14.4">
      <c r="A356" s="23"/>
      <c r="B356" s="23"/>
      <c r="C356" s="23"/>
      <c r="D356" s="23"/>
      <c r="E356" s="23"/>
      <c r="F356" s="9"/>
      <c r="G356" s="9"/>
      <c r="H356" s="9"/>
    </row>
    <row r="357" spans="1:8" ht="14.4">
      <c r="A357" s="23"/>
      <c r="B357" s="23"/>
      <c r="C357" s="23"/>
      <c r="D357" s="23"/>
      <c r="E357" s="23"/>
      <c r="F357" s="9"/>
      <c r="G357" s="9"/>
      <c r="H357" s="9"/>
    </row>
    <row r="358" spans="1:8" ht="14.4">
      <c r="A358" s="23"/>
      <c r="B358" s="23"/>
      <c r="C358" s="23"/>
      <c r="D358" s="23"/>
      <c r="E358" s="23"/>
      <c r="F358" s="9"/>
      <c r="G358" s="9"/>
      <c r="H358" s="9"/>
    </row>
    <row r="359" spans="1:8" ht="14.4">
      <c r="A359" s="23"/>
      <c r="B359" s="23"/>
      <c r="C359" s="23"/>
      <c r="D359" s="23"/>
      <c r="E359" s="23"/>
      <c r="F359" s="9"/>
      <c r="G359" s="9"/>
      <c r="H359" s="9"/>
    </row>
    <row r="360" spans="1:8" ht="14.4">
      <c r="A360" s="23"/>
      <c r="B360" s="23"/>
      <c r="C360" s="23"/>
      <c r="D360" s="23"/>
      <c r="E360" s="23"/>
      <c r="F360" s="9"/>
      <c r="G360" s="9"/>
      <c r="H360" s="9"/>
    </row>
    <row r="361" spans="1:8" ht="14.4">
      <c r="A361" s="23"/>
      <c r="B361" s="23"/>
      <c r="C361" s="23"/>
      <c r="D361" s="23"/>
      <c r="E361" s="23"/>
      <c r="F361" s="9"/>
      <c r="G361" s="9"/>
      <c r="H361" s="9"/>
    </row>
    <row r="362" spans="1:8" ht="14.4">
      <c r="A362" s="23"/>
      <c r="B362" s="23"/>
      <c r="C362" s="23"/>
      <c r="D362" s="23"/>
      <c r="E362" s="23"/>
      <c r="F362" s="9"/>
      <c r="G362" s="9"/>
      <c r="H362" s="9"/>
    </row>
    <row r="363" spans="1:8" ht="14.4">
      <c r="A363" s="23"/>
      <c r="B363" s="23"/>
      <c r="C363" s="23"/>
      <c r="D363" s="23"/>
      <c r="E363" s="23"/>
      <c r="F363" s="9"/>
      <c r="G363" s="9"/>
      <c r="H363" s="9"/>
    </row>
    <row r="364" spans="1:8" ht="14.4">
      <c r="A364" s="23"/>
      <c r="B364" s="23"/>
      <c r="C364" s="23"/>
      <c r="D364" s="23"/>
      <c r="E364" s="23"/>
      <c r="F364" s="9"/>
      <c r="G364" s="9"/>
      <c r="H364" s="9"/>
    </row>
    <row r="365" spans="1:8" ht="14.4">
      <c r="A365" s="23"/>
      <c r="B365" s="23"/>
      <c r="C365" s="23"/>
      <c r="D365" s="23"/>
      <c r="E365" s="23"/>
      <c r="F365" s="9"/>
      <c r="G365" s="9"/>
      <c r="H365" s="9"/>
    </row>
    <row r="366" spans="1:8" ht="14.4">
      <c r="A366" s="23"/>
      <c r="B366" s="23"/>
      <c r="C366" s="23"/>
      <c r="D366" s="23"/>
      <c r="E366" s="23"/>
      <c r="F366" s="9"/>
      <c r="G366" s="9"/>
      <c r="H366" s="9"/>
    </row>
    <row r="367" spans="1:8" ht="14.4">
      <c r="A367" s="23"/>
      <c r="B367" s="23"/>
      <c r="C367" s="23"/>
      <c r="D367" s="23"/>
      <c r="E367" s="23"/>
      <c r="F367" s="9"/>
      <c r="G367" s="9"/>
      <c r="H367" s="9"/>
    </row>
    <row r="368" spans="1:8" ht="14.4">
      <c r="A368" s="23"/>
      <c r="B368" s="23"/>
      <c r="C368" s="23"/>
      <c r="D368" s="23"/>
      <c r="E368" s="23"/>
      <c r="F368" s="9"/>
      <c r="G368" s="9"/>
      <c r="H368" s="9"/>
    </row>
    <row r="369" spans="1:8" ht="14.4">
      <c r="A369" s="23"/>
      <c r="B369" s="23"/>
      <c r="C369" s="23"/>
      <c r="D369" s="23"/>
      <c r="E369" s="23"/>
      <c r="F369" s="9"/>
      <c r="G369" s="9"/>
      <c r="H369" s="9"/>
    </row>
    <row r="370" spans="1:8" ht="14.4">
      <c r="A370" s="23"/>
      <c r="B370" s="23"/>
      <c r="C370" s="23"/>
      <c r="D370" s="23"/>
      <c r="E370" s="23"/>
      <c r="F370" s="9"/>
      <c r="G370" s="9"/>
      <c r="H370" s="9"/>
    </row>
    <row r="371" spans="1:8" ht="14.4">
      <c r="A371" s="23"/>
      <c r="B371" s="23"/>
      <c r="C371" s="23"/>
      <c r="D371" s="23"/>
      <c r="E371" s="23"/>
      <c r="F371" s="9"/>
      <c r="G371" s="9"/>
      <c r="H371" s="9"/>
    </row>
    <row r="372" spans="1:8" ht="14.4">
      <c r="A372" s="23"/>
      <c r="B372" s="23"/>
      <c r="C372" s="23"/>
      <c r="D372" s="23"/>
      <c r="E372" s="23"/>
      <c r="F372" s="9"/>
      <c r="G372" s="9"/>
      <c r="H372" s="9"/>
    </row>
    <row r="373" spans="1:8" ht="14.4">
      <c r="A373" s="23"/>
      <c r="B373" s="23"/>
      <c r="C373" s="23"/>
      <c r="D373" s="23"/>
      <c r="E373" s="23"/>
      <c r="F373" s="9"/>
      <c r="G373" s="9"/>
      <c r="H373" s="9"/>
    </row>
    <row r="374" spans="1:8" ht="14.4">
      <c r="A374" s="23"/>
      <c r="B374" s="23"/>
      <c r="C374" s="23"/>
      <c r="D374" s="23"/>
      <c r="E374" s="23"/>
    </row>
    <row r="375" spans="1:8" ht="14.4">
      <c r="A375" s="23"/>
      <c r="B375" s="23"/>
      <c r="C375" s="23"/>
      <c r="D375" s="23"/>
      <c r="E375" s="23"/>
    </row>
    <row r="376" spans="1:8" ht="14.4">
      <c r="A376" s="23"/>
      <c r="B376" s="23"/>
      <c r="C376" s="23"/>
      <c r="D376" s="23"/>
      <c r="E376" s="23"/>
    </row>
    <row r="377" spans="1:8" ht="14.4">
      <c r="A377" s="23"/>
      <c r="B377" s="23"/>
      <c r="C377" s="23"/>
      <c r="D377" s="23"/>
      <c r="E377" s="23"/>
    </row>
    <row r="378" spans="1:8" ht="14.4">
      <c r="A378" s="23"/>
      <c r="B378" s="23"/>
      <c r="C378" s="23"/>
      <c r="D378" s="23"/>
      <c r="E378" s="23"/>
    </row>
    <row r="379" spans="1:8" ht="14.4">
      <c r="A379" s="23"/>
      <c r="B379" s="23"/>
      <c r="C379" s="23"/>
      <c r="D379" s="23"/>
      <c r="E379" s="23"/>
    </row>
    <row r="380" spans="1:8" ht="14.4">
      <c r="A380" s="23"/>
      <c r="B380" s="23"/>
      <c r="C380" s="23"/>
      <c r="D380" s="23"/>
      <c r="E380" s="23"/>
    </row>
    <row r="381" spans="1:8" ht="14.4">
      <c r="A381" s="23"/>
      <c r="B381" s="23"/>
      <c r="C381" s="23"/>
      <c r="D381" s="23"/>
      <c r="E381" s="23"/>
    </row>
    <row r="382" spans="1:8" ht="14.4">
      <c r="A382" s="23"/>
      <c r="B382" s="23"/>
      <c r="C382" s="23"/>
      <c r="D382" s="23"/>
      <c r="E382" s="23"/>
    </row>
    <row r="383" spans="1:8" ht="14.4">
      <c r="A383" s="23"/>
      <c r="B383" s="23"/>
      <c r="C383" s="23"/>
      <c r="D383" s="23"/>
      <c r="E383" s="23"/>
    </row>
    <row r="384" spans="1:8" ht="14.4">
      <c r="A384" s="23"/>
      <c r="B384" s="23"/>
      <c r="C384" s="23"/>
      <c r="D384" s="23"/>
      <c r="E384" s="23"/>
    </row>
    <row r="385" spans="1:5" ht="14.4">
      <c r="A385" s="23"/>
      <c r="B385" s="23"/>
      <c r="C385" s="23"/>
      <c r="D385" s="23"/>
      <c r="E385" s="23"/>
    </row>
    <row r="386" spans="1:5" ht="14.4">
      <c r="A386" s="23"/>
      <c r="B386" s="23"/>
      <c r="C386" s="23"/>
      <c r="D386" s="23"/>
      <c r="E386" s="23"/>
    </row>
    <row r="387" spans="1:5" ht="14.4">
      <c r="A387" s="23"/>
      <c r="B387" s="23"/>
      <c r="C387" s="23"/>
      <c r="D387" s="23"/>
      <c r="E387" s="23"/>
    </row>
    <row r="388" spans="1:5" ht="14.4">
      <c r="A388" s="23"/>
      <c r="B388" s="23"/>
      <c r="C388" s="23"/>
      <c r="D388" s="23"/>
      <c r="E388" s="23"/>
    </row>
    <row r="389" spans="1:5" ht="14.4">
      <c r="A389" s="23"/>
      <c r="B389" s="23"/>
      <c r="C389" s="23"/>
      <c r="D389" s="23"/>
      <c r="E389" s="23"/>
    </row>
    <row r="390" spans="1:5" ht="14.4">
      <c r="A390" s="23"/>
      <c r="B390" s="23"/>
      <c r="C390" s="23"/>
      <c r="D390" s="23"/>
      <c r="E390" s="23"/>
    </row>
    <row r="391" spans="1:5" ht="14.4">
      <c r="A391" s="23"/>
      <c r="B391" s="23"/>
      <c r="C391" s="23"/>
      <c r="D391" s="23"/>
      <c r="E391" s="23"/>
    </row>
    <row r="392" spans="1:5" ht="14.4">
      <c r="A392" s="23"/>
      <c r="B392" s="23"/>
      <c r="C392" s="23"/>
      <c r="D392" s="23"/>
      <c r="E392" s="23"/>
    </row>
    <row r="393" spans="1:5" ht="14.4">
      <c r="A393" s="23"/>
      <c r="B393" s="23"/>
      <c r="C393" s="23"/>
      <c r="D393" s="23"/>
      <c r="E393" s="23"/>
    </row>
    <row r="394" spans="1:5" ht="14.4">
      <c r="A394" s="23"/>
      <c r="B394" s="23"/>
      <c r="C394" s="23"/>
      <c r="D394" s="23"/>
      <c r="E394" s="23"/>
    </row>
    <row r="395" spans="1:5" ht="14.4">
      <c r="A395" s="23"/>
      <c r="B395" s="23"/>
      <c r="C395" s="23"/>
      <c r="D395" s="23"/>
      <c r="E395" s="23"/>
    </row>
    <row r="396" spans="1:5" ht="14.4">
      <c r="A396" s="23"/>
      <c r="B396" s="23"/>
      <c r="C396" s="23"/>
      <c r="D396" s="23"/>
      <c r="E396" s="23"/>
    </row>
    <row r="397" spans="1:5" ht="14.4">
      <c r="A397" s="23"/>
      <c r="B397" s="23"/>
      <c r="C397" s="23"/>
      <c r="D397" s="23"/>
      <c r="E397" s="23"/>
    </row>
    <row r="398" spans="1:5" ht="14.4">
      <c r="A398" s="23"/>
      <c r="B398" s="23"/>
      <c r="C398" s="23"/>
      <c r="D398" s="23"/>
      <c r="E398" s="23"/>
    </row>
    <row r="399" spans="1:5" ht="14.4">
      <c r="A399" s="23"/>
      <c r="B399" s="23"/>
      <c r="C399" s="23"/>
      <c r="D399" s="23"/>
      <c r="E399" s="23"/>
    </row>
    <row r="400" spans="1:5" ht="14.4">
      <c r="A400" s="23"/>
      <c r="B400" s="23"/>
      <c r="C400" s="23"/>
      <c r="D400" s="23"/>
      <c r="E400" s="23"/>
    </row>
    <row r="401" spans="1:5" ht="14.4">
      <c r="A401" s="23"/>
      <c r="B401" s="23"/>
      <c r="C401" s="23"/>
      <c r="D401" s="23"/>
      <c r="E401" s="23"/>
    </row>
    <row r="402" spans="1:5" ht="14.4">
      <c r="A402" s="23"/>
      <c r="B402" s="23"/>
      <c r="C402" s="23"/>
      <c r="D402" s="23"/>
      <c r="E402" s="23"/>
    </row>
    <row r="403" spans="1:5" ht="14.4">
      <c r="A403" s="23"/>
      <c r="B403" s="23"/>
      <c r="C403" s="23"/>
      <c r="D403" s="23"/>
      <c r="E403" s="23"/>
    </row>
    <row r="404" spans="1:5" ht="14.4">
      <c r="A404" s="23"/>
      <c r="B404" s="23"/>
      <c r="C404" s="23"/>
      <c r="D404" s="23"/>
      <c r="E404" s="23"/>
    </row>
    <row r="405" spans="1:5" ht="14.4">
      <c r="A405" s="23"/>
      <c r="B405" s="23"/>
      <c r="C405" s="23"/>
      <c r="D405" s="23"/>
      <c r="E405" s="23"/>
    </row>
    <row r="406" spans="1:5" ht="14.4">
      <c r="A406" s="23"/>
      <c r="B406" s="23"/>
      <c r="C406" s="23"/>
      <c r="D406" s="23"/>
      <c r="E406" s="23"/>
    </row>
    <row r="407" spans="1:5" ht="14.4">
      <c r="A407" s="23"/>
      <c r="B407" s="23"/>
      <c r="C407" s="23"/>
      <c r="D407" s="23"/>
      <c r="E407" s="23"/>
    </row>
    <row r="408" spans="1:5" ht="14.4">
      <c r="A408" s="23"/>
      <c r="B408" s="23"/>
      <c r="C408" s="23"/>
      <c r="D408" s="23"/>
      <c r="E408" s="23"/>
    </row>
    <row r="409" spans="1:5" ht="14.4">
      <c r="A409" s="23"/>
      <c r="B409" s="23"/>
      <c r="C409" s="23"/>
      <c r="D409" s="23"/>
      <c r="E409" s="23"/>
    </row>
    <row r="410" spans="1:5" ht="14.4">
      <c r="A410" s="23"/>
      <c r="B410" s="23"/>
      <c r="C410" s="23"/>
      <c r="D410" s="23"/>
      <c r="E410" s="23"/>
    </row>
    <row r="411" spans="1:5" ht="14.4">
      <c r="A411" s="23"/>
      <c r="B411" s="23"/>
      <c r="C411" s="23"/>
      <c r="D411" s="23"/>
      <c r="E411" s="23"/>
    </row>
    <row r="412" spans="1:5" ht="14.4">
      <c r="A412" s="23"/>
      <c r="B412" s="23"/>
      <c r="C412" s="23"/>
      <c r="D412" s="23"/>
      <c r="E412" s="23"/>
    </row>
    <row r="413" spans="1:5" ht="14.4">
      <c r="A413" s="23"/>
      <c r="B413" s="23"/>
      <c r="C413" s="23"/>
      <c r="D413" s="23"/>
      <c r="E413" s="23"/>
    </row>
    <row r="414" spans="1:5" ht="14.4">
      <c r="A414" s="23"/>
      <c r="B414" s="23"/>
      <c r="C414" s="23"/>
      <c r="D414" s="23"/>
      <c r="E414" s="23"/>
    </row>
    <row r="415" spans="1:5" ht="14.4">
      <c r="A415" s="23"/>
      <c r="B415" s="23"/>
      <c r="C415" s="23"/>
      <c r="D415" s="23"/>
      <c r="E415" s="23"/>
    </row>
    <row r="416" spans="1:5" ht="14.4">
      <c r="A416" s="23"/>
      <c r="B416" s="23"/>
      <c r="C416" s="23"/>
      <c r="D416" s="23"/>
      <c r="E416" s="23"/>
    </row>
    <row r="417" spans="1:5" ht="14.4">
      <c r="A417" s="23"/>
      <c r="B417" s="23"/>
      <c r="C417" s="23"/>
      <c r="D417" s="23"/>
      <c r="E417" s="23"/>
    </row>
    <row r="418" spans="1:5" ht="14.4">
      <c r="A418" s="23"/>
      <c r="B418" s="23"/>
      <c r="C418" s="23"/>
      <c r="D418" s="23"/>
      <c r="E418" s="23"/>
    </row>
    <row r="419" spans="1:5" ht="14.4">
      <c r="A419" s="23"/>
      <c r="B419" s="23"/>
      <c r="C419" s="23"/>
      <c r="D419" s="23"/>
      <c r="E419" s="23"/>
    </row>
    <row r="420" spans="1:5" ht="14.4">
      <c r="A420" s="23"/>
      <c r="B420" s="23"/>
      <c r="C420" s="23"/>
      <c r="D420" s="23"/>
      <c r="E420" s="23"/>
    </row>
    <row r="421" spans="1:5" ht="14.4">
      <c r="A421" s="23"/>
      <c r="B421" s="23"/>
      <c r="C421" s="23"/>
      <c r="D421" s="23"/>
      <c r="E421" s="23"/>
    </row>
    <row r="422" spans="1:5" ht="14.4">
      <c r="A422" s="23"/>
      <c r="B422" s="23"/>
      <c r="C422" s="23"/>
      <c r="D422" s="23"/>
      <c r="E422" s="23"/>
    </row>
    <row r="423" spans="1:5" ht="14.4">
      <c r="A423" s="23"/>
      <c r="B423" s="23"/>
      <c r="C423" s="23"/>
      <c r="D423" s="23"/>
      <c r="E423" s="23"/>
    </row>
    <row r="424" spans="1:5" ht="14.4">
      <c r="A424" s="23"/>
      <c r="B424" s="23"/>
      <c r="C424" s="23"/>
      <c r="D424" s="23"/>
      <c r="E424" s="23"/>
    </row>
    <row r="425" spans="1:5" ht="14.4">
      <c r="A425" s="23"/>
      <c r="B425" s="23"/>
      <c r="C425" s="23"/>
      <c r="D425" s="23"/>
      <c r="E425" s="23"/>
    </row>
    <row r="426" spans="1:5" ht="14.4">
      <c r="A426" s="23"/>
      <c r="B426" s="23"/>
      <c r="C426" s="23"/>
      <c r="D426" s="23"/>
      <c r="E426" s="23"/>
    </row>
    <row r="427" spans="1:5" ht="14.4">
      <c r="A427" s="23"/>
      <c r="B427" s="23"/>
      <c r="C427" s="23"/>
      <c r="D427" s="23"/>
      <c r="E427" s="23"/>
    </row>
    <row r="428" spans="1:5" ht="14.4">
      <c r="A428" s="23"/>
      <c r="B428" s="23"/>
      <c r="C428" s="23"/>
      <c r="D428" s="23"/>
      <c r="E428" s="23"/>
    </row>
    <row r="429" spans="1:5" ht="14.4">
      <c r="A429" s="23"/>
      <c r="B429" s="23"/>
      <c r="C429" s="23"/>
      <c r="D429" s="23"/>
      <c r="E429" s="23"/>
    </row>
    <row r="430" spans="1:5" ht="14.4">
      <c r="A430" s="23"/>
      <c r="B430" s="23"/>
      <c r="C430" s="23"/>
      <c r="D430" s="23"/>
      <c r="E430" s="23"/>
    </row>
    <row r="431" spans="1:5" ht="14.4">
      <c r="A431" s="23"/>
      <c r="B431" s="23"/>
      <c r="C431" s="23"/>
      <c r="D431" s="23"/>
      <c r="E431" s="23"/>
    </row>
    <row r="432" spans="1:5" ht="14.4">
      <c r="A432" s="23"/>
      <c r="B432" s="23"/>
      <c r="C432" s="23"/>
      <c r="D432" s="23"/>
      <c r="E432" s="23"/>
    </row>
    <row r="433" spans="1:5" ht="14.4">
      <c r="A433" s="23"/>
      <c r="B433" s="23"/>
      <c r="C433" s="23"/>
      <c r="D433" s="23"/>
      <c r="E433" s="23"/>
    </row>
    <row r="434" spans="1:5" ht="14.4">
      <c r="A434" s="23"/>
      <c r="B434" s="23"/>
      <c r="C434" s="23"/>
      <c r="D434" s="23"/>
      <c r="E434" s="23"/>
    </row>
    <row r="435" spans="1:5" ht="14.4">
      <c r="A435" s="23"/>
      <c r="B435" s="23"/>
      <c r="C435" s="23"/>
      <c r="D435" s="23"/>
      <c r="E435"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8"/>
  <sheetViews>
    <sheetView topLeftCell="A36" workbookViewId="0">
      <selection sqref="A1:C40"/>
    </sheetView>
  </sheetViews>
  <sheetFormatPr defaultColWidth="14.44140625" defaultRowHeight="15" customHeight="1"/>
  <cols>
    <col min="1" max="1" width="57.44140625" customWidth="1"/>
    <col min="2" max="2" width="38.44140625" customWidth="1"/>
    <col min="3" max="3" width="89.5546875" customWidth="1"/>
  </cols>
  <sheetData>
    <row r="1" spans="1:26" ht="14.4">
      <c r="A1" s="29" t="s">
        <v>0</v>
      </c>
      <c r="B1" s="1" t="s">
        <v>1</v>
      </c>
      <c r="C1" s="28" t="s">
        <v>2</v>
      </c>
      <c r="D1" s="2"/>
      <c r="E1" s="2"/>
      <c r="F1" s="2"/>
      <c r="G1" s="2"/>
      <c r="H1" s="2"/>
      <c r="I1" s="2"/>
      <c r="J1" s="2"/>
      <c r="K1" s="2"/>
      <c r="L1" s="2"/>
      <c r="M1" s="2"/>
      <c r="N1" s="2"/>
      <c r="O1" s="2"/>
      <c r="P1" s="2"/>
      <c r="Q1" s="2"/>
      <c r="R1" s="2"/>
      <c r="S1" s="2"/>
      <c r="T1" s="2"/>
      <c r="U1" s="2"/>
      <c r="V1" s="2"/>
      <c r="W1" s="2"/>
      <c r="X1" s="2"/>
      <c r="Y1" s="2"/>
      <c r="Z1" s="2"/>
    </row>
    <row r="2" spans="1:26" ht="43.2">
      <c r="A2" s="25"/>
      <c r="B2" s="1" t="s">
        <v>3</v>
      </c>
      <c r="C2" s="25"/>
      <c r="D2" s="2"/>
      <c r="E2" s="2"/>
      <c r="F2" s="2"/>
      <c r="G2" s="2"/>
      <c r="H2" s="2"/>
      <c r="I2" s="2"/>
      <c r="J2" s="2"/>
      <c r="K2" s="2"/>
      <c r="L2" s="2"/>
      <c r="M2" s="2"/>
      <c r="N2" s="2"/>
      <c r="O2" s="2"/>
      <c r="P2" s="2"/>
      <c r="Q2" s="2"/>
      <c r="R2" s="2"/>
      <c r="S2" s="2"/>
      <c r="T2" s="2"/>
      <c r="U2" s="2"/>
      <c r="V2" s="2"/>
      <c r="W2" s="2"/>
      <c r="X2" s="2"/>
      <c r="Y2" s="2"/>
      <c r="Z2" s="2"/>
    </row>
    <row r="3" spans="1:26" ht="28.8">
      <c r="A3" s="25"/>
      <c r="B3" s="1" t="s">
        <v>4</v>
      </c>
      <c r="C3" s="25"/>
      <c r="D3" s="2"/>
      <c r="E3" s="2"/>
      <c r="F3" s="2"/>
      <c r="G3" s="2"/>
      <c r="H3" s="2"/>
      <c r="I3" s="2"/>
      <c r="J3" s="2"/>
      <c r="K3" s="2"/>
      <c r="L3" s="2"/>
      <c r="M3" s="2"/>
      <c r="N3" s="2"/>
      <c r="O3" s="2"/>
      <c r="P3" s="2"/>
      <c r="Q3" s="2"/>
      <c r="R3" s="2"/>
      <c r="S3" s="2"/>
      <c r="T3" s="2"/>
      <c r="U3" s="2"/>
      <c r="V3" s="2"/>
      <c r="W3" s="2"/>
      <c r="X3" s="2"/>
      <c r="Y3" s="2"/>
      <c r="Z3" s="2"/>
    </row>
    <row r="4" spans="1:26" ht="110.25" customHeight="1">
      <c r="A4" s="26"/>
      <c r="B4" s="1" t="s">
        <v>5</v>
      </c>
      <c r="C4" s="26"/>
      <c r="D4" s="2"/>
      <c r="E4" s="2"/>
      <c r="F4" s="2"/>
      <c r="G4" s="2"/>
      <c r="H4" s="2"/>
      <c r="I4" s="2"/>
      <c r="J4" s="2"/>
      <c r="K4" s="2"/>
      <c r="L4" s="2"/>
      <c r="M4" s="2"/>
      <c r="N4" s="2"/>
      <c r="O4" s="2"/>
      <c r="P4" s="2"/>
      <c r="Q4" s="2"/>
      <c r="R4" s="2"/>
      <c r="S4" s="2"/>
      <c r="T4" s="2"/>
      <c r="U4" s="2"/>
      <c r="V4" s="2"/>
      <c r="W4" s="2"/>
      <c r="X4" s="2"/>
      <c r="Y4" s="2"/>
      <c r="Z4" s="2"/>
    </row>
    <row r="5" spans="1:26" ht="28.8">
      <c r="A5" s="24" t="s">
        <v>6</v>
      </c>
      <c r="B5" s="4" t="s">
        <v>7</v>
      </c>
      <c r="C5" s="27" t="s">
        <v>8</v>
      </c>
      <c r="D5" s="2"/>
      <c r="E5" s="2"/>
      <c r="F5" s="2"/>
      <c r="G5" s="2"/>
      <c r="H5" s="2"/>
      <c r="I5" s="2"/>
      <c r="J5" s="2"/>
      <c r="K5" s="2"/>
      <c r="L5" s="2"/>
      <c r="M5" s="2"/>
      <c r="N5" s="2"/>
      <c r="O5" s="2"/>
      <c r="P5" s="2"/>
      <c r="Q5" s="2"/>
      <c r="R5" s="2"/>
      <c r="S5" s="2"/>
      <c r="T5" s="2"/>
      <c r="U5" s="2"/>
      <c r="V5" s="2"/>
      <c r="W5" s="2"/>
      <c r="X5" s="2"/>
      <c r="Y5" s="2"/>
      <c r="Z5" s="2"/>
    </row>
    <row r="6" spans="1:26" ht="14.4">
      <c r="A6" s="25"/>
      <c r="B6" s="4" t="s">
        <v>9</v>
      </c>
      <c r="C6" s="25"/>
      <c r="D6" s="2"/>
      <c r="E6" s="2"/>
      <c r="F6" s="2"/>
      <c r="G6" s="2"/>
      <c r="H6" s="2"/>
      <c r="I6" s="2"/>
      <c r="J6" s="2"/>
      <c r="K6" s="2"/>
      <c r="L6" s="2"/>
      <c r="M6" s="2"/>
      <c r="N6" s="2"/>
      <c r="O6" s="2"/>
      <c r="P6" s="2"/>
      <c r="Q6" s="2"/>
      <c r="R6" s="2"/>
      <c r="S6" s="2"/>
      <c r="T6" s="2"/>
      <c r="U6" s="2"/>
      <c r="V6" s="2"/>
      <c r="W6" s="2"/>
      <c r="X6" s="2"/>
      <c r="Y6" s="2"/>
      <c r="Z6" s="2"/>
    </row>
    <row r="7" spans="1:26" ht="43.2">
      <c r="A7" s="25"/>
      <c r="B7" s="4" t="s">
        <v>10</v>
      </c>
      <c r="C7" s="25"/>
      <c r="D7" s="2"/>
      <c r="E7" s="2"/>
      <c r="F7" s="2"/>
      <c r="G7" s="2"/>
      <c r="H7" s="2"/>
      <c r="I7" s="2"/>
      <c r="J7" s="2"/>
      <c r="K7" s="2"/>
      <c r="L7" s="2"/>
      <c r="M7" s="2"/>
      <c r="N7" s="2"/>
      <c r="O7" s="2"/>
      <c r="P7" s="2"/>
      <c r="Q7" s="2"/>
      <c r="R7" s="2"/>
      <c r="S7" s="2"/>
      <c r="T7" s="2"/>
      <c r="U7" s="2"/>
      <c r="V7" s="2"/>
      <c r="W7" s="2"/>
      <c r="X7" s="2"/>
      <c r="Y7" s="2"/>
      <c r="Z7" s="2"/>
    </row>
    <row r="8" spans="1:26" ht="14.4">
      <c r="A8" s="25"/>
      <c r="B8" s="4" t="s">
        <v>11</v>
      </c>
      <c r="C8" s="25"/>
      <c r="D8" s="2"/>
      <c r="E8" s="2"/>
      <c r="F8" s="2"/>
      <c r="G8" s="2"/>
      <c r="H8" s="2"/>
      <c r="I8" s="2"/>
      <c r="J8" s="2"/>
      <c r="K8" s="2"/>
      <c r="L8" s="2"/>
      <c r="M8" s="2"/>
      <c r="N8" s="2"/>
      <c r="O8" s="2"/>
      <c r="P8" s="2"/>
      <c r="Q8" s="2"/>
      <c r="R8" s="2"/>
      <c r="S8" s="2"/>
      <c r="T8" s="2"/>
      <c r="U8" s="2"/>
      <c r="V8" s="2"/>
      <c r="W8" s="2"/>
      <c r="X8" s="2"/>
      <c r="Y8" s="2"/>
      <c r="Z8" s="2"/>
    </row>
    <row r="9" spans="1:26" ht="14.4">
      <c r="A9" s="25"/>
      <c r="B9" s="4" t="s">
        <v>12</v>
      </c>
      <c r="C9" s="25"/>
      <c r="D9" s="2"/>
      <c r="E9" s="2"/>
      <c r="F9" s="2"/>
      <c r="G9" s="2"/>
      <c r="H9" s="2"/>
      <c r="I9" s="2"/>
      <c r="J9" s="2"/>
      <c r="K9" s="2"/>
      <c r="L9" s="2"/>
      <c r="M9" s="2"/>
      <c r="N9" s="2"/>
      <c r="O9" s="2"/>
      <c r="P9" s="2"/>
      <c r="Q9" s="2"/>
      <c r="R9" s="2"/>
      <c r="S9" s="2"/>
      <c r="T9" s="2"/>
      <c r="U9" s="2"/>
      <c r="V9" s="2"/>
      <c r="W9" s="2"/>
      <c r="X9" s="2"/>
      <c r="Y9" s="2"/>
      <c r="Z9" s="2"/>
    </row>
    <row r="10" spans="1:26" ht="14.4">
      <c r="A10" s="25"/>
      <c r="B10" s="4" t="s">
        <v>13</v>
      </c>
      <c r="C10" s="25"/>
      <c r="D10" s="2"/>
      <c r="E10" s="2"/>
      <c r="F10" s="2"/>
      <c r="G10" s="2"/>
      <c r="H10" s="2"/>
      <c r="I10" s="2"/>
      <c r="J10" s="2"/>
      <c r="K10" s="2"/>
      <c r="L10" s="2"/>
      <c r="M10" s="2"/>
      <c r="N10" s="2"/>
      <c r="O10" s="2"/>
      <c r="P10" s="2"/>
      <c r="Q10" s="2"/>
      <c r="R10" s="2"/>
      <c r="S10" s="2"/>
      <c r="T10" s="2"/>
      <c r="U10" s="2"/>
      <c r="V10" s="2"/>
      <c r="W10" s="2"/>
      <c r="X10" s="2"/>
      <c r="Y10" s="2"/>
      <c r="Z10" s="2"/>
    </row>
    <row r="11" spans="1:26" ht="14.4">
      <c r="A11" s="26"/>
      <c r="B11" s="4" t="s">
        <v>14</v>
      </c>
      <c r="C11" s="26"/>
      <c r="D11" s="2"/>
      <c r="E11" s="2"/>
      <c r="F11" s="2"/>
      <c r="G11" s="2"/>
      <c r="H11" s="2"/>
      <c r="I11" s="2"/>
      <c r="J11" s="2"/>
      <c r="K11" s="2"/>
      <c r="L11" s="2"/>
      <c r="M11" s="2"/>
      <c r="N11" s="2"/>
      <c r="O11" s="2"/>
      <c r="P11" s="2"/>
      <c r="Q11" s="2"/>
      <c r="R11" s="2"/>
      <c r="S11" s="2"/>
      <c r="T11" s="2"/>
      <c r="U11" s="2"/>
      <c r="V11" s="2"/>
      <c r="W11" s="2"/>
      <c r="X11" s="2"/>
      <c r="Y11" s="2"/>
      <c r="Z11" s="2"/>
    </row>
    <row r="12" spans="1:26" ht="14.4">
      <c r="A12" s="24" t="s">
        <v>15</v>
      </c>
      <c r="B12" s="4" t="s">
        <v>16</v>
      </c>
      <c r="C12" s="27" t="s">
        <v>17</v>
      </c>
      <c r="D12" s="2"/>
      <c r="E12" s="2"/>
      <c r="F12" s="2"/>
      <c r="G12" s="2"/>
      <c r="H12" s="2"/>
      <c r="I12" s="2"/>
      <c r="J12" s="2"/>
      <c r="K12" s="2"/>
      <c r="L12" s="2"/>
      <c r="M12" s="2"/>
      <c r="N12" s="2"/>
      <c r="O12" s="2"/>
      <c r="P12" s="2"/>
      <c r="Q12" s="2"/>
      <c r="R12" s="2"/>
      <c r="S12" s="2"/>
      <c r="T12" s="2"/>
      <c r="U12" s="2"/>
      <c r="V12" s="2"/>
      <c r="W12" s="2"/>
      <c r="X12" s="2"/>
      <c r="Y12" s="2"/>
      <c r="Z12" s="2"/>
    </row>
    <row r="13" spans="1:26" ht="14.4">
      <c r="A13" s="25"/>
      <c r="B13" s="4" t="s">
        <v>18</v>
      </c>
      <c r="C13" s="25"/>
      <c r="D13" s="2"/>
      <c r="E13" s="2"/>
      <c r="F13" s="2"/>
      <c r="G13" s="2"/>
      <c r="H13" s="2"/>
      <c r="I13" s="2"/>
      <c r="J13" s="2"/>
      <c r="K13" s="2"/>
      <c r="L13" s="2"/>
      <c r="M13" s="2"/>
      <c r="N13" s="2"/>
      <c r="O13" s="2"/>
      <c r="P13" s="2"/>
      <c r="Q13" s="2"/>
      <c r="R13" s="2"/>
      <c r="S13" s="2"/>
      <c r="T13" s="2"/>
      <c r="U13" s="2"/>
      <c r="V13" s="2"/>
      <c r="W13" s="2"/>
      <c r="X13" s="2"/>
      <c r="Y13" s="2"/>
      <c r="Z13" s="2"/>
    </row>
    <row r="14" spans="1:26" ht="28.8">
      <c r="A14" s="26"/>
      <c r="B14" s="4" t="s">
        <v>19</v>
      </c>
      <c r="C14" s="26"/>
      <c r="D14" s="2"/>
      <c r="E14" s="2"/>
      <c r="F14" s="2"/>
      <c r="G14" s="2"/>
      <c r="H14" s="2"/>
      <c r="I14" s="2"/>
      <c r="J14" s="2"/>
      <c r="K14" s="2"/>
      <c r="L14" s="2"/>
      <c r="M14" s="2"/>
      <c r="N14" s="2"/>
      <c r="O14" s="2"/>
      <c r="P14" s="2"/>
      <c r="Q14" s="2"/>
      <c r="R14" s="2"/>
      <c r="S14" s="2"/>
      <c r="T14" s="2"/>
      <c r="U14" s="2"/>
      <c r="V14" s="2"/>
      <c r="W14" s="2"/>
      <c r="X14" s="2"/>
      <c r="Y14" s="2"/>
      <c r="Z14" s="2"/>
    </row>
    <row r="15" spans="1:26" ht="43.2">
      <c r="A15" s="24" t="s">
        <v>20</v>
      </c>
      <c r="B15" s="4" t="s">
        <v>21</v>
      </c>
      <c r="C15" s="24" t="s">
        <v>22</v>
      </c>
      <c r="D15" s="2"/>
      <c r="E15" s="2"/>
      <c r="F15" s="2"/>
      <c r="G15" s="2"/>
      <c r="H15" s="2"/>
      <c r="I15" s="2"/>
      <c r="J15" s="2"/>
      <c r="K15" s="2"/>
      <c r="L15" s="2"/>
      <c r="M15" s="2"/>
      <c r="N15" s="2"/>
      <c r="O15" s="2"/>
      <c r="P15" s="2"/>
      <c r="Q15" s="2"/>
      <c r="R15" s="2"/>
      <c r="S15" s="2"/>
      <c r="T15" s="2"/>
      <c r="U15" s="2"/>
      <c r="V15" s="2"/>
      <c r="W15" s="2"/>
      <c r="X15" s="2"/>
      <c r="Y15" s="2"/>
      <c r="Z15" s="2"/>
    </row>
    <row r="16" spans="1:26" ht="14.4">
      <c r="A16" s="25"/>
      <c r="B16" s="4" t="s">
        <v>23</v>
      </c>
      <c r="C16" s="25"/>
      <c r="D16" s="2"/>
      <c r="E16" s="2"/>
      <c r="F16" s="2"/>
      <c r="G16" s="2"/>
      <c r="H16" s="2"/>
      <c r="I16" s="2"/>
      <c r="J16" s="2"/>
      <c r="K16" s="2"/>
      <c r="L16" s="2"/>
      <c r="M16" s="2"/>
      <c r="N16" s="2"/>
      <c r="O16" s="2"/>
      <c r="P16" s="2"/>
      <c r="Q16" s="2"/>
      <c r="R16" s="2"/>
      <c r="S16" s="2"/>
      <c r="T16" s="2"/>
      <c r="U16" s="2"/>
      <c r="V16" s="2"/>
      <c r="W16" s="2"/>
      <c r="X16" s="2"/>
      <c r="Y16" s="2"/>
      <c r="Z16" s="2"/>
    </row>
    <row r="17" spans="1:26" ht="14.4">
      <c r="A17" s="25"/>
      <c r="B17" s="4" t="s">
        <v>24</v>
      </c>
      <c r="C17" s="25"/>
      <c r="D17" s="2"/>
      <c r="E17" s="2"/>
      <c r="F17" s="2"/>
      <c r="G17" s="2"/>
      <c r="H17" s="2"/>
      <c r="I17" s="2"/>
      <c r="J17" s="2"/>
      <c r="K17" s="2"/>
      <c r="L17" s="2"/>
      <c r="M17" s="2"/>
      <c r="N17" s="2"/>
      <c r="O17" s="2"/>
      <c r="P17" s="2"/>
      <c r="Q17" s="2"/>
      <c r="R17" s="2"/>
      <c r="S17" s="2"/>
      <c r="T17" s="2"/>
      <c r="U17" s="2"/>
      <c r="V17" s="2"/>
      <c r="W17" s="2"/>
      <c r="X17" s="2"/>
      <c r="Y17" s="2"/>
      <c r="Z17" s="2"/>
    </row>
    <row r="18" spans="1:26" ht="14.4">
      <c r="A18" s="26"/>
      <c r="B18" s="4" t="s">
        <v>25</v>
      </c>
      <c r="C18" s="26"/>
      <c r="D18" s="2"/>
      <c r="E18" s="2"/>
      <c r="F18" s="2"/>
      <c r="G18" s="2"/>
      <c r="H18" s="2"/>
      <c r="I18" s="2"/>
      <c r="J18" s="2"/>
      <c r="K18" s="2"/>
      <c r="L18" s="2"/>
      <c r="M18" s="2"/>
      <c r="N18" s="2"/>
      <c r="O18" s="2"/>
      <c r="P18" s="2"/>
      <c r="Q18" s="2"/>
      <c r="R18" s="2"/>
      <c r="S18" s="2"/>
      <c r="T18" s="2"/>
      <c r="U18" s="2"/>
      <c r="V18" s="2"/>
      <c r="W18" s="2"/>
      <c r="X18" s="2"/>
      <c r="Y18" s="2"/>
      <c r="Z18" s="2"/>
    </row>
    <row r="19" spans="1:26" ht="28.8">
      <c r="A19" s="24" t="s">
        <v>26</v>
      </c>
      <c r="B19" s="4" t="s">
        <v>27</v>
      </c>
      <c r="C19" s="27" t="s">
        <v>28</v>
      </c>
      <c r="D19" s="2"/>
      <c r="E19" s="2"/>
      <c r="F19" s="2"/>
      <c r="G19" s="2"/>
      <c r="H19" s="2"/>
      <c r="I19" s="2"/>
      <c r="J19" s="2"/>
      <c r="K19" s="2"/>
      <c r="L19" s="2"/>
      <c r="M19" s="2"/>
      <c r="N19" s="2"/>
      <c r="O19" s="2"/>
      <c r="P19" s="2"/>
      <c r="Q19" s="2"/>
      <c r="R19" s="2"/>
      <c r="S19" s="2"/>
      <c r="T19" s="2"/>
      <c r="U19" s="2"/>
      <c r="V19" s="2"/>
      <c r="W19" s="2"/>
      <c r="X19" s="2"/>
      <c r="Y19" s="2"/>
      <c r="Z19" s="2"/>
    </row>
    <row r="20" spans="1:26" ht="14.4">
      <c r="A20" s="25"/>
      <c r="B20" s="4" t="s">
        <v>29</v>
      </c>
      <c r="C20" s="25"/>
      <c r="D20" s="2"/>
      <c r="E20" s="2"/>
      <c r="F20" s="2"/>
      <c r="G20" s="2"/>
      <c r="H20" s="2"/>
      <c r="I20" s="2"/>
      <c r="J20" s="2"/>
      <c r="K20" s="2"/>
      <c r="L20" s="2"/>
      <c r="M20" s="2"/>
      <c r="N20" s="2"/>
      <c r="O20" s="2"/>
      <c r="P20" s="2"/>
      <c r="Q20" s="2"/>
      <c r="R20" s="2"/>
      <c r="S20" s="2"/>
      <c r="T20" s="2"/>
      <c r="U20" s="2"/>
      <c r="V20" s="2"/>
      <c r="W20" s="2"/>
      <c r="X20" s="2"/>
      <c r="Y20" s="2"/>
      <c r="Z20" s="2"/>
    </row>
    <row r="21" spans="1:26" ht="14.4">
      <c r="A21" s="25"/>
      <c r="B21" s="4" t="s">
        <v>30</v>
      </c>
      <c r="C21" s="25"/>
      <c r="D21" s="2"/>
      <c r="E21" s="2"/>
      <c r="F21" s="2"/>
      <c r="G21" s="2"/>
      <c r="H21" s="2"/>
      <c r="I21" s="2"/>
      <c r="J21" s="2"/>
      <c r="K21" s="2"/>
      <c r="L21" s="2"/>
      <c r="M21" s="2"/>
      <c r="N21" s="2"/>
      <c r="O21" s="2"/>
      <c r="P21" s="2"/>
      <c r="Q21" s="2"/>
      <c r="R21" s="2"/>
      <c r="S21" s="2"/>
      <c r="T21" s="2"/>
      <c r="U21" s="2"/>
      <c r="V21" s="2"/>
      <c r="W21" s="2"/>
      <c r="X21" s="2"/>
      <c r="Y21" s="2"/>
      <c r="Z21" s="2"/>
    </row>
    <row r="22" spans="1:26" ht="28.8">
      <c r="A22" s="25"/>
      <c r="B22" s="4" t="s">
        <v>31</v>
      </c>
      <c r="C22" s="25"/>
      <c r="D22" s="2"/>
      <c r="E22" s="2"/>
      <c r="F22" s="2"/>
      <c r="G22" s="2"/>
      <c r="H22" s="2"/>
      <c r="I22" s="2"/>
      <c r="J22" s="2"/>
      <c r="K22" s="2"/>
      <c r="L22" s="2"/>
      <c r="M22" s="2"/>
      <c r="N22" s="2"/>
      <c r="O22" s="2"/>
      <c r="P22" s="2"/>
      <c r="Q22" s="2"/>
      <c r="R22" s="2"/>
      <c r="S22" s="2"/>
      <c r="T22" s="2"/>
      <c r="U22" s="2"/>
      <c r="V22" s="2"/>
      <c r="W22" s="2"/>
      <c r="X22" s="2"/>
      <c r="Y22" s="2"/>
      <c r="Z22" s="2"/>
    </row>
    <row r="23" spans="1:26" ht="14.4">
      <c r="A23" s="25"/>
      <c r="B23" s="4"/>
      <c r="C23" s="25"/>
      <c r="D23" s="2"/>
      <c r="E23" s="2"/>
      <c r="F23" s="2"/>
      <c r="G23" s="2"/>
      <c r="H23" s="2"/>
      <c r="I23" s="2"/>
      <c r="J23" s="2"/>
      <c r="K23" s="2"/>
      <c r="L23" s="2"/>
      <c r="M23" s="2"/>
      <c r="N23" s="2"/>
      <c r="O23" s="2"/>
      <c r="P23" s="2"/>
      <c r="Q23" s="2"/>
      <c r="R23" s="2"/>
      <c r="S23" s="2"/>
      <c r="T23" s="2"/>
      <c r="U23" s="2"/>
      <c r="V23" s="2"/>
      <c r="W23" s="2"/>
      <c r="X23" s="2"/>
      <c r="Y23" s="2"/>
      <c r="Z23" s="2"/>
    </row>
    <row r="24" spans="1:26" ht="14.4">
      <c r="A24" s="26"/>
      <c r="B24" s="4" t="s">
        <v>32</v>
      </c>
      <c r="C24" s="26"/>
      <c r="D24" s="2"/>
      <c r="E24" s="2"/>
      <c r="F24" s="2"/>
      <c r="G24" s="2"/>
      <c r="H24" s="2"/>
      <c r="I24" s="2"/>
      <c r="J24" s="2"/>
      <c r="K24" s="2"/>
      <c r="L24" s="2"/>
      <c r="M24" s="2"/>
      <c r="N24" s="2"/>
      <c r="O24" s="2"/>
      <c r="P24" s="2"/>
      <c r="Q24" s="2"/>
      <c r="R24" s="2"/>
      <c r="S24" s="2"/>
      <c r="T24" s="2"/>
      <c r="U24" s="2"/>
      <c r="V24" s="2"/>
      <c r="W24" s="2"/>
      <c r="X24" s="2"/>
      <c r="Y24" s="2"/>
      <c r="Z24" s="2"/>
    </row>
    <row r="25" spans="1:26" ht="28.8">
      <c r="A25" s="4" t="s">
        <v>33</v>
      </c>
      <c r="B25" s="4" t="s">
        <v>34</v>
      </c>
      <c r="C25" s="4" t="s">
        <v>35</v>
      </c>
      <c r="D25" s="2"/>
      <c r="E25" s="2"/>
      <c r="F25" s="2"/>
      <c r="G25" s="2"/>
      <c r="H25" s="2"/>
      <c r="I25" s="2"/>
      <c r="J25" s="2"/>
      <c r="K25" s="2"/>
      <c r="L25" s="2"/>
      <c r="M25" s="2"/>
      <c r="N25" s="2"/>
      <c r="O25" s="2"/>
      <c r="P25" s="2"/>
      <c r="Q25" s="2"/>
      <c r="R25" s="2"/>
      <c r="S25" s="2"/>
      <c r="T25" s="2"/>
      <c r="U25" s="2"/>
      <c r="V25" s="2"/>
      <c r="W25" s="2"/>
      <c r="X25" s="2"/>
      <c r="Y25" s="2"/>
      <c r="Z25" s="2"/>
    </row>
    <row r="26" spans="1:26" ht="28.8">
      <c r="A26" s="24" t="s">
        <v>36</v>
      </c>
      <c r="B26" s="4" t="s">
        <v>37</v>
      </c>
      <c r="C26" s="27" t="s">
        <v>38</v>
      </c>
      <c r="D26" s="2"/>
      <c r="E26" s="2"/>
      <c r="F26" s="2"/>
      <c r="G26" s="2"/>
      <c r="H26" s="2"/>
      <c r="I26" s="2"/>
      <c r="J26" s="2"/>
      <c r="K26" s="2"/>
      <c r="L26" s="2"/>
      <c r="M26" s="2"/>
      <c r="N26" s="2"/>
      <c r="O26" s="2"/>
      <c r="P26" s="2"/>
      <c r="Q26" s="2"/>
      <c r="R26" s="2"/>
      <c r="S26" s="2"/>
      <c r="T26" s="2"/>
      <c r="U26" s="2"/>
      <c r="V26" s="2"/>
      <c r="W26" s="2"/>
      <c r="X26" s="2"/>
      <c r="Y26" s="2"/>
      <c r="Z26" s="2"/>
    </row>
    <row r="27" spans="1:26" ht="43.2">
      <c r="A27" s="25"/>
      <c r="B27" s="4" t="s">
        <v>39</v>
      </c>
      <c r="C27" s="25"/>
      <c r="D27" s="2"/>
      <c r="E27" s="2"/>
      <c r="F27" s="2"/>
      <c r="G27" s="2"/>
      <c r="H27" s="2"/>
      <c r="I27" s="2"/>
      <c r="J27" s="2"/>
      <c r="K27" s="2"/>
      <c r="L27" s="2"/>
      <c r="M27" s="2"/>
      <c r="N27" s="2"/>
      <c r="O27" s="2"/>
      <c r="P27" s="2"/>
      <c r="Q27" s="2"/>
      <c r="R27" s="2"/>
      <c r="S27" s="2"/>
      <c r="T27" s="2"/>
      <c r="U27" s="2"/>
      <c r="V27" s="2"/>
      <c r="W27" s="2"/>
      <c r="X27" s="2"/>
      <c r="Y27" s="2"/>
      <c r="Z27" s="2"/>
    </row>
    <row r="28" spans="1:26" ht="14.4">
      <c r="A28" s="25"/>
      <c r="B28" s="4" t="s">
        <v>40</v>
      </c>
      <c r="C28" s="25"/>
      <c r="D28" s="2"/>
      <c r="E28" s="2"/>
      <c r="F28" s="2"/>
      <c r="G28" s="2"/>
      <c r="H28" s="2"/>
      <c r="I28" s="2"/>
      <c r="J28" s="2"/>
      <c r="K28" s="2"/>
      <c r="L28" s="2"/>
      <c r="M28" s="2"/>
      <c r="N28" s="2"/>
      <c r="O28" s="2"/>
      <c r="P28" s="2"/>
      <c r="Q28" s="2"/>
      <c r="R28" s="2"/>
      <c r="S28" s="2"/>
      <c r="T28" s="2"/>
      <c r="U28" s="2"/>
      <c r="V28" s="2"/>
      <c r="W28" s="2"/>
      <c r="X28" s="2"/>
      <c r="Y28" s="2"/>
      <c r="Z28" s="2"/>
    </row>
    <row r="29" spans="1:26" ht="14.4">
      <c r="A29" s="25"/>
      <c r="B29" s="4" t="s">
        <v>41</v>
      </c>
      <c r="C29" s="25"/>
      <c r="D29" s="2"/>
      <c r="E29" s="2"/>
      <c r="F29" s="2"/>
      <c r="G29" s="2"/>
      <c r="H29" s="2"/>
      <c r="I29" s="2"/>
      <c r="J29" s="2"/>
      <c r="K29" s="2"/>
      <c r="L29" s="2"/>
      <c r="M29" s="2"/>
      <c r="N29" s="2"/>
      <c r="O29" s="2"/>
      <c r="P29" s="2"/>
      <c r="Q29" s="2"/>
      <c r="R29" s="2"/>
      <c r="S29" s="2"/>
      <c r="T29" s="2"/>
      <c r="U29" s="2"/>
      <c r="V29" s="2"/>
      <c r="W29" s="2"/>
      <c r="X29" s="2"/>
      <c r="Y29" s="2"/>
      <c r="Z29" s="2"/>
    </row>
    <row r="30" spans="1:26" ht="14.4">
      <c r="A30" s="25"/>
      <c r="B30" s="4" t="s">
        <v>42</v>
      </c>
      <c r="C30" s="25"/>
      <c r="D30" s="2"/>
      <c r="E30" s="2"/>
      <c r="F30" s="2"/>
      <c r="G30" s="2"/>
      <c r="H30" s="2"/>
      <c r="I30" s="2"/>
      <c r="J30" s="2"/>
      <c r="K30" s="2"/>
      <c r="L30" s="2"/>
      <c r="M30" s="2"/>
      <c r="N30" s="2"/>
      <c r="O30" s="2"/>
      <c r="P30" s="2"/>
      <c r="Q30" s="2"/>
      <c r="R30" s="2"/>
      <c r="S30" s="2"/>
      <c r="T30" s="2"/>
      <c r="U30" s="2"/>
      <c r="V30" s="2"/>
      <c r="W30" s="2"/>
      <c r="X30" s="2"/>
      <c r="Y30" s="2"/>
      <c r="Z30" s="2"/>
    </row>
    <row r="31" spans="1:26" ht="14.4">
      <c r="A31" s="26"/>
      <c r="B31" s="4" t="s">
        <v>43</v>
      </c>
      <c r="C31" s="26"/>
      <c r="D31" s="2"/>
      <c r="E31" s="2"/>
      <c r="F31" s="2"/>
      <c r="G31" s="2"/>
      <c r="H31" s="2"/>
      <c r="I31" s="2"/>
      <c r="J31" s="2"/>
      <c r="K31" s="2"/>
      <c r="L31" s="2"/>
      <c r="M31" s="2"/>
      <c r="N31" s="2"/>
      <c r="O31" s="2"/>
      <c r="P31" s="2"/>
      <c r="Q31" s="2"/>
      <c r="R31" s="2"/>
      <c r="S31" s="2"/>
      <c r="T31" s="2"/>
      <c r="U31" s="2"/>
      <c r="V31" s="2"/>
      <c r="W31" s="2"/>
      <c r="X31" s="2"/>
      <c r="Y31" s="2"/>
      <c r="Z31" s="2"/>
    </row>
    <row r="32" spans="1:26" ht="28.8">
      <c r="A32" s="24" t="s">
        <v>44</v>
      </c>
      <c r="B32" s="4" t="s">
        <v>45</v>
      </c>
      <c r="C32" s="24" t="s">
        <v>46</v>
      </c>
      <c r="D32" s="2"/>
      <c r="E32" s="2"/>
      <c r="F32" s="2"/>
      <c r="G32" s="2"/>
      <c r="H32" s="2"/>
      <c r="I32" s="2"/>
      <c r="J32" s="2"/>
      <c r="K32" s="2"/>
      <c r="L32" s="2"/>
      <c r="M32" s="2"/>
      <c r="N32" s="2"/>
      <c r="O32" s="2"/>
      <c r="P32" s="2"/>
      <c r="Q32" s="2"/>
      <c r="R32" s="2"/>
      <c r="S32" s="2"/>
      <c r="T32" s="2"/>
      <c r="U32" s="2"/>
      <c r="V32" s="2"/>
      <c r="W32" s="2"/>
      <c r="X32" s="2"/>
      <c r="Y32" s="2"/>
      <c r="Z32" s="2"/>
    </row>
    <row r="33" spans="1:26" ht="14.4">
      <c r="A33" s="26"/>
      <c r="B33" s="4"/>
      <c r="C33" s="26"/>
      <c r="D33" s="2"/>
      <c r="E33" s="2"/>
      <c r="F33" s="2"/>
      <c r="G33" s="2"/>
      <c r="H33" s="2"/>
      <c r="I33" s="2"/>
      <c r="J33" s="2"/>
      <c r="K33" s="2"/>
      <c r="L33" s="2"/>
      <c r="M33" s="2"/>
      <c r="N33" s="2"/>
      <c r="O33" s="2"/>
      <c r="P33" s="2"/>
      <c r="Q33" s="2"/>
      <c r="R33" s="2"/>
      <c r="S33" s="2"/>
      <c r="T33" s="2"/>
      <c r="U33" s="2"/>
      <c r="V33" s="2"/>
      <c r="W33" s="2"/>
      <c r="X33" s="2"/>
      <c r="Y33" s="2"/>
      <c r="Z33" s="2"/>
    </row>
    <row r="34" spans="1:26" ht="28.8">
      <c r="A34" s="24" t="s">
        <v>47</v>
      </c>
      <c r="B34" s="4" t="s">
        <v>48</v>
      </c>
      <c r="C34" s="24" t="s">
        <v>49</v>
      </c>
      <c r="D34" s="2"/>
      <c r="E34" s="2"/>
      <c r="F34" s="2"/>
      <c r="G34" s="2"/>
      <c r="H34" s="2"/>
      <c r="I34" s="2"/>
      <c r="J34" s="2"/>
      <c r="K34" s="2"/>
      <c r="L34" s="2"/>
      <c r="M34" s="2"/>
      <c r="N34" s="2"/>
      <c r="O34" s="2"/>
      <c r="P34" s="2"/>
      <c r="Q34" s="2"/>
      <c r="R34" s="2"/>
      <c r="S34" s="2"/>
      <c r="T34" s="2"/>
      <c r="U34" s="2"/>
      <c r="V34" s="2"/>
      <c r="W34" s="2"/>
      <c r="X34" s="2"/>
      <c r="Y34" s="2"/>
      <c r="Z34" s="2"/>
    </row>
    <row r="35" spans="1:26" ht="14.4">
      <c r="A35" s="26"/>
      <c r="B35" s="4" t="s">
        <v>50</v>
      </c>
      <c r="C35" s="26"/>
      <c r="D35" s="2"/>
      <c r="E35" s="2"/>
      <c r="F35" s="2"/>
      <c r="G35" s="2"/>
      <c r="H35" s="2"/>
      <c r="I35" s="2"/>
      <c r="J35" s="2"/>
      <c r="K35" s="2"/>
      <c r="L35" s="2"/>
      <c r="M35" s="2"/>
      <c r="N35" s="2"/>
      <c r="O35" s="2"/>
      <c r="P35" s="2"/>
      <c r="Q35" s="2"/>
      <c r="R35" s="2"/>
      <c r="S35" s="2"/>
      <c r="T35" s="2"/>
      <c r="U35" s="2"/>
      <c r="V35" s="2"/>
      <c r="W35" s="2"/>
      <c r="X35" s="2"/>
      <c r="Y35" s="2"/>
      <c r="Z35" s="2"/>
    </row>
    <row r="36" spans="1:26" ht="43.2">
      <c r="A36" s="24" t="s">
        <v>51</v>
      </c>
      <c r="B36" s="4" t="s">
        <v>52</v>
      </c>
      <c r="C36" s="27" t="s">
        <v>53</v>
      </c>
      <c r="D36" s="2"/>
      <c r="E36" s="2"/>
      <c r="F36" s="2"/>
      <c r="G36" s="2"/>
      <c r="H36" s="2"/>
      <c r="I36" s="2"/>
      <c r="J36" s="2"/>
      <c r="K36" s="2"/>
      <c r="L36" s="2"/>
      <c r="M36" s="2"/>
      <c r="N36" s="2"/>
      <c r="O36" s="2"/>
      <c r="P36" s="2"/>
      <c r="Q36" s="2"/>
      <c r="R36" s="2"/>
      <c r="S36" s="2"/>
      <c r="T36" s="2"/>
      <c r="U36" s="2"/>
      <c r="V36" s="2"/>
      <c r="W36" s="2"/>
      <c r="X36" s="2"/>
      <c r="Y36" s="2"/>
      <c r="Z36" s="2"/>
    </row>
    <row r="37" spans="1:26" ht="14.4">
      <c r="A37" s="26"/>
      <c r="B37" s="4" t="s">
        <v>54</v>
      </c>
      <c r="C37" s="26"/>
      <c r="D37" s="2"/>
      <c r="E37" s="2"/>
      <c r="F37" s="2"/>
      <c r="G37" s="2"/>
      <c r="H37" s="2"/>
      <c r="I37" s="2"/>
      <c r="J37" s="2"/>
      <c r="K37" s="2"/>
      <c r="L37" s="2"/>
      <c r="M37" s="2"/>
      <c r="N37" s="2"/>
      <c r="O37" s="2"/>
      <c r="P37" s="2"/>
      <c r="Q37" s="2"/>
      <c r="R37" s="2"/>
      <c r="S37" s="2"/>
      <c r="T37" s="2"/>
      <c r="U37" s="2"/>
      <c r="V37" s="2"/>
      <c r="W37" s="2"/>
      <c r="X37" s="2"/>
      <c r="Y37" s="2"/>
      <c r="Z37" s="2"/>
    </row>
    <row r="38" spans="1:26" ht="28.8">
      <c r="A38" s="4" t="s">
        <v>55</v>
      </c>
      <c r="B38" s="4" t="s">
        <v>56</v>
      </c>
      <c r="C38" s="4" t="s">
        <v>57</v>
      </c>
      <c r="D38" s="2"/>
      <c r="E38" s="2"/>
      <c r="F38" s="2"/>
      <c r="G38" s="2"/>
      <c r="H38" s="2"/>
      <c r="I38" s="2"/>
      <c r="J38" s="2"/>
      <c r="K38" s="2"/>
      <c r="L38" s="2"/>
      <c r="M38" s="2"/>
      <c r="N38" s="2"/>
      <c r="O38" s="2"/>
      <c r="P38" s="2"/>
      <c r="Q38" s="2"/>
      <c r="R38" s="2"/>
      <c r="S38" s="2"/>
      <c r="T38" s="2"/>
      <c r="U38" s="2"/>
      <c r="V38" s="2"/>
      <c r="W38" s="2"/>
      <c r="X38" s="2"/>
      <c r="Y38" s="2"/>
      <c r="Z38" s="2"/>
    </row>
    <row r="39" spans="1:26" ht="14.4">
      <c r="A39" s="24" t="s">
        <v>58</v>
      </c>
      <c r="B39" s="4" t="s">
        <v>59</v>
      </c>
      <c r="C39" s="27" t="s">
        <v>60</v>
      </c>
      <c r="D39" s="2"/>
      <c r="E39" s="2"/>
      <c r="F39" s="2"/>
      <c r="G39" s="2"/>
      <c r="H39" s="2"/>
      <c r="I39" s="2"/>
      <c r="J39" s="2"/>
      <c r="K39" s="2"/>
      <c r="L39" s="2"/>
      <c r="M39" s="2"/>
      <c r="N39" s="2"/>
      <c r="O39" s="2"/>
      <c r="P39" s="2"/>
      <c r="Q39" s="2"/>
      <c r="R39" s="2"/>
      <c r="S39" s="2"/>
      <c r="T39" s="2"/>
      <c r="U39" s="2"/>
      <c r="V39" s="2"/>
      <c r="W39" s="2"/>
      <c r="X39" s="2"/>
      <c r="Y39" s="2"/>
      <c r="Z39" s="2"/>
    </row>
    <row r="40" spans="1:26" ht="14.4">
      <c r="A40" s="26"/>
      <c r="B40" s="4" t="s">
        <v>61</v>
      </c>
      <c r="C40" s="26"/>
      <c r="D40" s="2"/>
      <c r="E40" s="2"/>
      <c r="F40" s="2"/>
      <c r="G40" s="2"/>
      <c r="H40" s="2"/>
      <c r="I40" s="2"/>
      <c r="J40" s="2"/>
      <c r="K40" s="2"/>
      <c r="L40" s="2"/>
      <c r="M40" s="2"/>
      <c r="N40" s="2"/>
      <c r="O40" s="2"/>
      <c r="P40" s="2"/>
      <c r="Q40" s="2"/>
      <c r="R40" s="2"/>
      <c r="S40" s="2"/>
      <c r="T40" s="2"/>
      <c r="U40" s="2"/>
      <c r="V40" s="2"/>
      <c r="W40" s="2"/>
      <c r="X40" s="2"/>
      <c r="Y40" s="2"/>
      <c r="Z40" s="2"/>
    </row>
    <row r="41" spans="1:26" ht="14.4">
      <c r="A41" s="4"/>
      <c r="B41" s="4"/>
      <c r="C41" s="4"/>
      <c r="D41" s="2"/>
      <c r="E41" s="2"/>
      <c r="F41" s="2"/>
      <c r="G41" s="2"/>
      <c r="H41" s="2"/>
      <c r="I41" s="2"/>
      <c r="J41" s="2"/>
      <c r="K41" s="2"/>
      <c r="L41" s="2"/>
      <c r="M41" s="2"/>
      <c r="N41" s="2"/>
      <c r="O41" s="2"/>
      <c r="P41" s="2"/>
      <c r="Q41" s="2"/>
      <c r="R41" s="2"/>
      <c r="S41" s="2"/>
      <c r="T41" s="2"/>
      <c r="U41" s="2"/>
      <c r="V41" s="2"/>
      <c r="W41" s="2"/>
      <c r="X41" s="2"/>
      <c r="Y41" s="2"/>
      <c r="Z41" s="2"/>
    </row>
    <row r="42" spans="1:26" ht="14.4">
      <c r="A42" s="4"/>
      <c r="B42" s="4"/>
      <c r="C42" s="4"/>
      <c r="D42" s="2"/>
      <c r="E42" s="2"/>
      <c r="F42" s="2"/>
      <c r="G42" s="2"/>
      <c r="H42" s="2"/>
      <c r="I42" s="2"/>
      <c r="J42" s="2"/>
      <c r="K42" s="2"/>
      <c r="L42" s="2"/>
      <c r="M42" s="2"/>
      <c r="N42" s="2"/>
      <c r="O42" s="2"/>
      <c r="P42" s="2"/>
      <c r="Q42" s="2"/>
      <c r="R42" s="2"/>
      <c r="S42" s="2"/>
      <c r="T42" s="2"/>
      <c r="U42" s="2"/>
      <c r="V42" s="2"/>
      <c r="W42" s="2"/>
      <c r="X42" s="2"/>
      <c r="Y42" s="2"/>
      <c r="Z42" s="2"/>
    </row>
    <row r="43" spans="1:26" ht="14.4">
      <c r="A43" s="4"/>
      <c r="B43" s="4"/>
      <c r="C43" s="4"/>
      <c r="D43" s="2"/>
      <c r="E43" s="2"/>
      <c r="F43" s="2"/>
      <c r="G43" s="2"/>
      <c r="H43" s="2"/>
      <c r="I43" s="2"/>
      <c r="J43" s="2"/>
      <c r="K43" s="2"/>
      <c r="L43" s="2"/>
      <c r="M43" s="2"/>
      <c r="N43" s="2"/>
      <c r="O43" s="2"/>
      <c r="P43" s="2"/>
      <c r="Q43" s="2"/>
      <c r="R43" s="2"/>
      <c r="S43" s="2"/>
      <c r="T43" s="2"/>
      <c r="U43" s="2"/>
      <c r="V43" s="2"/>
      <c r="W43" s="2"/>
      <c r="X43" s="2"/>
      <c r="Y43" s="2"/>
      <c r="Z43" s="2"/>
    </row>
    <row r="44" spans="1:26" ht="14.4">
      <c r="A44" s="4"/>
      <c r="B44" s="4"/>
      <c r="C44" s="4"/>
      <c r="D44" s="2"/>
      <c r="E44" s="2"/>
      <c r="F44" s="2"/>
      <c r="G44" s="2"/>
      <c r="H44" s="2"/>
      <c r="I44" s="2"/>
      <c r="J44" s="2"/>
      <c r="K44" s="2"/>
      <c r="L44" s="2"/>
      <c r="M44" s="2"/>
      <c r="N44" s="2"/>
      <c r="O44" s="2"/>
      <c r="P44" s="2"/>
      <c r="Q44" s="2"/>
      <c r="R44" s="2"/>
      <c r="S44" s="2"/>
      <c r="T44" s="2"/>
      <c r="U44" s="2"/>
      <c r="V44" s="2"/>
      <c r="W44" s="2"/>
      <c r="X44" s="2"/>
      <c r="Y44" s="2"/>
      <c r="Z44" s="2"/>
    </row>
    <row r="45" spans="1:26" ht="14.4">
      <c r="A45" s="4"/>
      <c r="B45" s="4"/>
      <c r="C45" s="4"/>
      <c r="D45" s="2"/>
      <c r="E45" s="2"/>
      <c r="F45" s="2"/>
      <c r="G45" s="2"/>
      <c r="H45" s="2"/>
      <c r="I45" s="2"/>
      <c r="J45" s="2"/>
      <c r="K45" s="2"/>
      <c r="L45" s="2"/>
      <c r="M45" s="2"/>
      <c r="N45" s="2"/>
      <c r="O45" s="2"/>
      <c r="P45" s="2"/>
      <c r="Q45" s="2"/>
      <c r="R45" s="2"/>
      <c r="S45" s="2"/>
      <c r="T45" s="2"/>
      <c r="U45" s="2"/>
      <c r="V45" s="2"/>
      <c r="W45" s="2"/>
      <c r="X45" s="2"/>
      <c r="Y45" s="2"/>
      <c r="Z45" s="2"/>
    </row>
    <row r="46" spans="1:26" ht="14.4">
      <c r="A46" s="4"/>
      <c r="B46" s="4"/>
      <c r="C46" s="4"/>
      <c r="D46" s="2"/>
      <c r="E46" s="2"/>
      <c r="F46" s="2"/>
      <c r="G46" s="2"/>
      <c r="H46" s="2"/>
      <c r="I46" s="2"/>
      <c r="J46" s="2"/>
      <c r="K46" s="2"/>
      <c r="L46" s="2"/>
      <c r="M46" s="2"/>
      <c r="N46" s="2"/>
      <c r="O46" s="2"/>
      <c r="P46" s="2"/>
      <c r="Q46" s="2"/>
      <c r="R46" s="2"/>
      <c r="S46" s="2"/>
      <c r="T46" s="2"/>
      <c r="U46" s="2"/>
      <c r="V46" s="2"/>
      <c r="W46" s="2"/>
      <c r="X46" s="2"/>
      <c r="Y46" s="2"/>
      <c r="Z46" s="2"/>
    </row>
    <row r="47" spans="1:26" ht="14.4">
      <c r="A47" s="4"/>
      <c r="B47" s="4"/>
      <c r="C47" s="4"/>
      <c r="D47" s="2"/>
      <c r="E47" s="2"/>
      <c r="F47" s="2"/>
      <c r="G47" s="2"/>
      <c r="H47" s="2"/>
      <c r="I47" s="2"/>
      <c r="J47" s="2"/>
      <c r="K47" s="2"/>
      <c r="L47" s="2"/>
      <c r="M47" s="2"/>
      <c r="N47" s="2"/>
      <c r="O47" s="2"/>
      <c r="P47" s="2"/>
      <c r="Q47" s="2"/>
      <c r="R47" s="2"/>
      <c r="S47" s="2"/>
      <c r="T47" s="2"/>
      <c r="U47" s="2"/>
      <c r="V47" s="2"/>
      <c r="W47" s="2"/>
      <c r="X47" s="2"/>
      <c r="Y47" s="2"/>
      <c r="Z47" s="2"/>
    </row>
    <row r="48" spans="1:26" ht="14.4">
      <c r="A48" s="4"/>
      <c r="B48" s="4"/>
      <c r="C48" s="4"/>
      <c r="D48" s="2"/>
      <c r="E48" s="2"/>
      <c r="F48" s="2"/>
      <c r="G48" s="2"/>
      <c r="H48" s="2"/>
      <c r="I48" s="2"/>
      <c r="J48" s="2"/>
      <c r="K48" s="2"/>
      <c r="L48" s="2"/>
      <c r="M48" s="2"/>
      <c r="N48" s="2"/>
      <c r="O48" s="2"/>
      <c r="P48" s="2"/>
      <c r="Q48" s="2"/>
      <c r="R48" s="2"/>
      <c r="S48" s="2"/>
      <c r="T48" s="2"/>
      <c r="U48" s="2"/>
      <c r="V48" s="2"/>
      <c r="W48" s="2"/>
      <c r="X48" s="2"/>
      <c r="Y48" s="2"/>
      <c r="Z48" s="2"/>
    </row>
    <row r="49" spans="1:26" ht="14.4">
      <c r="A49" s="4"/>
      <c r="B49" s="4"/>
      <c r="C49" s="4"/>
      <c r="D49" s="2"/>
      <c r="E49" s="2"/>
      <c r="F49" s="2"/>
      <c r="G49" s="2"/>
      <c r="H49" s="2"/>
      <c r="I49" s="2"/>
      <c r="J49" s="2"/>
      <c r="K49" s="2"/>
      <c r="L49" s="2"/>
      <c r="M49" s="2"/>
      <c r="N49" s="2"/>
      <c r="O49" s="2"/>
      <c r="P49" s="2"/>
      <c r="Q49" s="2"/>
      <c r="R49" s="2"/>
      <c r="S49" s="2"/>
      <c r="T49" s="2"/>
      <c r="U49" s="2"/>
      <c r="V49" s="2"/>
      <c r="W49" s="2"/>
      <c r="X49" s="2"/>
      <c r="Y49" s="2"/>
      <c r="Z49" s="2"/>
    </row>
    <row r="50" spans="1:26" ht="14.4">
      <c r="A50" s="4"/>
      <c r="B50" s="4"/>
      <c r="C50" s="4"/>
      <c r="D50" s="2"/>
      <c r="E50" s="2"/>
      <c r="F50" s="2"/>
      <c r="G50" s="2"/>
      <c r="H50" s="2"/>
      <c r="I50" s="2"/>
      <c r="J50" s="2"/>
      <c r="K50" s="2"/>
      <c r="L50" s="2"/>
      <c r="M50" s="2"/>
      <c r="N50" s="2"/>
      <c r="O50" s="2"/>
      <c r="P50" s="2"/>
      <c r="Q50" s="2"/>
      <c r="R50" s="2"/>
      <c r="S50" s="2"/>
      <c r="T50" s="2"/>
      <c r="U50" s="2"/>
      <c r="V50" s="2"/>
      <c r="W50" s="2"/>
      <c r="X50" s="2"/>
      <c r="Y50" s="2"/>
      <c r="Z50" s="2"/>
    </row>
    <row r="51" spans="1:26" ht="14.4">
      <c r="A51" s="4"/>
      <c r="B51" s="4"/>
      <c r="C51" s="4"/>
      <c r="D51" s="2"/>
      <c r="E51" s="2"/>
      <c r="F51" s="2"/>
      <c r="G51" s="2"/>
      <c r="H51" s="2"/>
      <c r="I51" s="2"/>
      <c r="J51" s="2"/>
      <c r="K51" s="2"/>
      <c r="L51" s="2"/>
      <c r="M51" s="2"/>
      <c r="N51" s="2"/>
      <c r="O51" s="2"/>
      <c r="P51" s="2"/>
      <c r="Q51" s="2"/>
      <c r="R51" s="2"/>
      <c r="S51" s="2"/>
      <c r="T51" s="2"/>
      <c r="U51" s="2"/>
      <c r="V51" s="2"/>
      <c r="W51" s="2"/>
      <c r="X51" s="2"/>
      <c r="Y51" s="2"/>
      <c r="Z51" s="2"/>
    </row>
    <row r="52" spans="1:26" ht="14.4">
      <c r="A52" s="4"/>
      <c r="B52" s="4"/>
      <c r="C52" s="4"/>
      <c r="D52" s="2"/>
      <c r="E52" s="2"/>
      <c r="F52" s="2"/>
      <c r="G52" s="2"/>
      <c r="H52" s="2"/>
      <c r="I52" s="2"/>
      <c r="J52" s="2"/>
      <c r="K52" s="2"/>
      <c r="L52" s="2"/>
      <c r="M52" s="2"/>
      <c r="N52" s="2"/>
      <c r="O52" s="2"/>
      <c r="P52" s="2"/>
      <c r="Q52" s="2"/>
      <c r="R52" s="2"/>
      <c r="S52" s="2"/>
      <c r="T52" s="2"/>
      <c r="U52" s="2"/>
      <c r="V52" s="2"/>
      <c r="W52" s="2"/>
      <c r="X52" s="2"/>
      <c r="Y52" s="2"/>
      <c r="Z52" s="2"/>
    </row>
    <row r="53" spans="1:26" ht="14.4">
      <c r="A53" s="4"/>
      <c r="B53" s="4"/>
      <c r="C53" s="4"/>
      <c r="D53" s="2"/>
      <c r="E53" s="2"/>
      <c r="F53" s="2"/>
      <c r="G53" s="2"/>
      <c r="H53" s="2"/>
      <c r="I53" s="2"/>
      <c r="J53" s="2"/>
      <c r="K53" s="2"/>
      <c r="L53" s="2"/>
      <c r="M53" s="2"/>
      <c r="N53" s="2"/>
      <c r="O53" s="2"/>
      <c r="P53" s="2"/>
      <c r="Q53" s="2"/>
      <c r="R53" s="2"/>
      <c r="S53" s="2"/>
      <c r="T53" s="2"/>
      <c r="U53" s="2"/>
      <c r="V53" s="2"/>
      <c r="W53" s="2"/>
      <c r="X53" s="2"/>
      <c r="Y53" s="2"/>
      <c r="Z53" s="2"/>
    </row>
    <row r="54" spans="1:26" ht="14.4">
      <c r="A54" s="4"/>
      <c r="B54" s="4"/>
      <c r="C54" s="4"/>
      <c r="D54" s="2"/>
      <c r="E54" s="2"/>
      <c r="F54" s="2"/>
      <c r="G54" s="2"/>
      <c r="H54" s="2"/>
      <c r="I54" s="2"/>
      <c r="J54" s="2"/>
      <c r="K54" s="2"/>
      <c r="L54" s="2"/>
      <c r="M54" s="2"/>
      <c r="N54" s="2"/>
      <c r="O54" s="2"/>
      <c r="P54" s="2"/>
      <c r="Q54" s="2"/>
      <c r="R54" s="2"/>
      <c r="S54" s="2"/>
      <c r="T54" s="2"/>
      <c r="U54" s="2"/>
      <c r="V54" s="2"/>
      <c r="W54" s="2"/>
      <c r="X54" s="2"/>
      <c r="Y54" s="2"/>
      <c r="Z54" s="2"/>
    </row>
    <row r="55" spans="1:26" ht="14.4">
      <c r="A55" s="4"/>
      <c r="B55" s="4"/>
      <c r="C55" s="4"/>
      <c r="D55" s="2"/>
      <c r="E55" s="2"/>
      <c r="F55" s="2"/>
      <c r="G55" s="2"/>
      <c r="H55" s="2"/>
      <c r="I55" s="2"/>
      <c r="J55" s="2"/>
      <c r="K55" s="2"/>
      <c r="L55" s="2"/>
      <c r="M55" s="2"/>
      <c r="N55" s="2"/>
      <c r="O55" s="2"/>
      <c r="P55" s="2"/>
      <c r="Q55" s="2"/>
      <c r="R55" s="2"/>
      <c r="S55" s="2"/>
      <c r="T55" s="2"/>
      <c r="U55" s="2"/>
      <c r="V55" s="2"/>
      <c r="W55" s="2"/>
      <c r="X55" s="2"/>
      <c r="Y55" s="2"/>
      <c r="Z55" s="2"/>
    </row>
    <row r="56" spans="1:26" ht="14.4">
      <c r="A56" s="4"/>
      <c r="B56" s="4"/>
      <c r="C56" s="4"/>
      <c r="D56" s="2"/>
      <c r="E56" s="2"/>
      <c r="F56" s="2"/>
      <c r="G56" s="2"/>
      <c r="H56" s="2"/>
      <c r="I56" s="2"/>
      <c r="J56" s="2"/>
      <c r="K56" s="2"/>
      <c r="L56" s="2"/>
      <c r="M56" s="2"/>
      <c r="N56" s="2"/>
      <c r="O56" s="2"/>
      <c r="P56" s="2"/>
      <c r="Q56" s="2"/>
      <c r="R56" s="2"/>
      <c r="S56" s="2"/>
      <c r="T56" s="2"/>
      <c r="U56" s="2"/>
      <c r="V56" s="2"/>
      <c r="W56" s="2"/>
      <c r="X56" s="2"/>
      <c r="Y56" s="2"/>
      <c r="Z56" s="2"/>
    </row>
    <row r="57" spans="1:26" ht="14.4">
      <c r="A57" s="4"/>
      <c r="B57" s="4"/>
      <c r="C57" s="4"/>
      <c r="D57" s="2"/>
      <c r="E57" s="2"/>
      <c r="F57" s="2"/>
      <c r="G57" s="2"/>
      <c r="H57" s="2"/>
      <c r="I57" s="2"/>
      <c r="J57" s="2"/>
      <c r="K57" s="2"/>
      <c r="L57" s="2"/>
      <c r="M57" s="2"/>
      <c r="N57" s="2"/>
      <c r="O57" s="2"/>
      <c r="P57" s="2"/>
      <c r="Q57" s="2"/>
      <c r="R57" s="2"/>
      <c r="S57" s="2"/>
      <c r="T57" s="2"/>
      <c r="U57" s="2"/>
      <c r="V57" s="2"/>
      <c r="W57" s="2"/>
      <c r="X57" s="2"/>
      <c r="Y57" s="2"/>
      <c r="Z57" s="2"/>
    </row>
    <row r="58" spans="1:26" ht="14.4">
      <c r="A58" s="4"/>
      <c r="B58" s="4"/>
      <c r="C58" s="4"/>
      <c r="D58" s="2"/>
      <c r="E58" s="2"/>
      <c r="F58" s="2"/>
      <c r="G58" s="2"/>
      <c r="H58" s="2"/>
      <c r="I58" s="2"/>
      <c r="J58" s="2"/>
      <c r="K58" s="2"/>
      <c r="L58" s="2"/>
      <c r="M58" s="2"/>
      <c r="N58" s="2"/>
      <c r="O58" s="2"/>
      <c r="P58" s="2"/>
      <c r="Q58" s="2"/>
      <c r="R58" s="2"/>
      <c r="S58" s="2"/>
      <c r="T58" s="2"/>
      <c r="U58" s="2"/>
      <c r="V58" s="2"/>
      <c r="W58" s="2"/>
      <c r="X58" s="2"/>
      <c r="Y58" s="2"/>
      <c r="Z58" s="2"/>
    </row>
    <row r="59" spans="1:26" ht="14.4">
      <c r="A59" s="4"/>
      <c r="B59" s="4"/>
      <c r="C59" s="4"/>
      <c r="D59" s="2"/>
      <c r="E59" s="2"/>
      <c r="F59" s="2"/>
      <c r="G59" s="2"/>
      <c r="H59" s="2"/>
      <c r="I59" s="2"/>
      <c r="J59" s="2"/>
      <c r="K59" s="2"/>
      <c r="L59" s="2"/>
      <c r="M59" s="2"/>
      <c r="N59" s="2"/>
      <c r="O59" s="2"/>
      <c r="P59" s="2"/>
      <c r="Q59" s="2"/>
      <c r="R59" s="2"/>
      <c r="S59" s="2"/>
      <c r="T59" s="2"/>
      <c r="U59" s="2"/>
      <c r="V59" s="2"/>
      <c r="W59" s="2"/>
      <c r="X59" s="2"/>
      <c r="Y59" s="2"/>
      <c r="Z59" s="2"/>
    </row>
    <row r="60" spans="1:26" ht="14.4">
      <c r="A60" s="4"/>
      <c r="B60" s="4"/>
      <c r="C60" s="4"/>
      <c r="D60" s="2"/>
      <c r="E60" s="2"/>
      <c r="F60" s="2"/>
      <c r="G60" s="2"/>
      <c r="H60" s="2"/>
      <c r="I60" s="2"/>
      <c r="J60" s="2"/>
      <c r="K60" s="2"/>
      <c r="L60" s="2"/>
      <c r="M60" s="2"/>
      <c r="N60" s="2"/>
      <c r="O60" s="2"/>
      <c r="P60" s="2"/>
      <c r="Q60" s="2"/>
      <c r="R60" s="2"/>
      <c r="S60" s="2"/>
      <c r="T60" s="2"/>
      <c r="U60" s="2"/>
      <c r="V60" s="2"/>
      <c r="W60" s="2"/>
      <c r="X60" s="2"/>
      <c r="Y60" s="2"/>
      <c r="Z60" s="2"/>
    </row>
    <row r="61" spans="1:26" ht="14.4">
      <c r="A61" s="4"/>
      <c r="B61" s="4"/>
      <c r="C61" s="4"/>
      <c r="D61" s="2"/>
      <c r="E61" s="2"/>
      <c r="F61" s="2"/>
      <c r="G61" s="2"/>
      <c r="H61" s="2"/>
      <c r="I61" s="2"/>
      <c r="J61" s="2"/>
      <c r="K61" s="2"/>
      <c r="L61" s="2"/>
      <c r="M61" s="2"/>
      <c r="N61" s="2"/>
      <c r="O61" s="2"/>
      <c r="P61" s="2"/>
      <c r="Q61" s="2"/>
      <c r="R61" s="2"/>
      <c r="S61" s="2"/>
      <c r="T61" s="2"/>
      <c r="U61" s="2"/>
      <c r="V61" s="2"/>
      <c r="W61" s="2"/>
      <c r="X61" s="2"/>
      <c r="Y61" s="2"/>
      <c r="Z61" s="2"/>
    </row>
    <row r="62" spans="1:26" ht="14.4">
      <c r="A62" s="4"/>
      <c r="B62" s="4"/>
      <c r="C62" s="4"/>
      <c r="D62" s="2"/>
      <c r="E62" s="2"/>
      <c r="F62" s="2"/>
      <c r="G62" s="2"/>
      <c r="H62" s="2"/>
      <c r="I62" s="2"/>
      <c r="J62" s="2"/>
      <c r="K62" s="2"/>
      <c r="L62" s="2"/>
      <c r="M62" s="2"/>
      <c r="N62" s="2"/>
      <c r="O62" s="2"/>
      <c r="P62" s="2"/>
      <c r="Q62" s="2"/>
      <c r="R62" s="2"/>
      <c r="S62" s="2"/>
      <c r="T62" s="2"/>
      <c r="U62" s="2"/>
      <c r="V62" s="2"/>
      <c r="W62" s="2"/>
      <c r="X62" s="2"/>
      <c r="Y62" s="2"/>
      <c r="Z62" s="2"/>
    </row>
    <row r="63" spans="1:26" ht="14.4">
      <c r="A63" s="4"/>
      <c r="B63" s="4"/>
      <c r="C63" s="4"/>
      <c r="D63" s="2"/>
      <c r="E63" s="2"/>
      <c r="F63" s="2"/>
      <c r="G63" s="2"/>
      <c r="H63" s="2"/>
      <c r="I63" s="2"/>
      <c r="J63" s="2"/>
      <c r="K63" s="2"/>
      <c r="L63" s="2"/>
      <c r="M63" s="2"/>
      <c r="N63" s="2"/>
      <c r="O63" s="2"/>
      <c r="P63" s="2"/>
      <c r="Q63" s="2"/>
      <c r="R63" s="2"/>
      <c r="S63" s="2"/>
      <c r="T63" s="2"/>
      <c r="U63" s="2"/>
      <c r="V63" s="2"/>
      <c r="W63" s="2"/>
      <c r="X63" s="2"/>
      <c r="Y63" s="2"/>
      <c r="Z63" s="2"/>
    </row>
    <row r="64" spans="1:26" ht="14.4">
      <c r="A64" s="4"/>
      <c r="B64" s="4"/>
      <c r="C64" s="4"/>
      <c r="D64" s="2"/>
      <c r="E64" s="2"/>
      <c r="F64" s="2"/>
      <c r="G64" s="2"/>
      <c r="H64" s="2"/>
      <c r="I64" s="2"/>
      <c r="J64" s="2"/>
      <c r="K64" s="2"/>
      <c r="L64" s="2"/>
      <c r="M64" s="2"/>
      <c r="N64" s="2"/>
      <c r="O64" s="2"/>
      <c r="P64" s="2"/>
      <c r="Q64" s="2"/>
      <c r="R64" s="2"/>
      <c r="S64" s="2"/>
      <c r="T64" s="2"/>
      <c r="U64" s="2"/>
      <c r="V64" s="2"/>
      <c r="W64" s="2"/>
      <c r="X64" s="2"/>
      <c r="Y64" s="2"/>
      <c r="Z64" s="2"/>
    </row>
    <row r="65" spans="1:26" ht="14.4">
      <c r="A65" s="4"/>
      <c r="B65" s="4"/>
      <c r="C65" s="4"/>
      <c r="D65" s="2"/>
      <c r="E65" s="2"/>
      <c r="F65" s="2"/>
      <c r="G65" s="2"/>
      <c r="H65" s="2"/>
      <c r="I65" s="2"/>
      <c r="J65" s="2"/>
      <c r="K65" s="2"/>
      <c r="L65" s="2"/>
      <c r="M65" s="2"/>
      <c r="N65" s="2"/>
      <c r="O65" s="2"/>
      <c r="P65" s="2"/>
      <c r="Q65" s="2"/>
      <c r="R65" s="2"/>
      <c r="S65" s="2"/>
      <c r="T65" s="2"/>
      <c r="U65" s="2"/>
      <c r="V65" s="2"/>
      <c r="W65" s="2"/>
      <c r="X65" s="2"/>
      <c r="Y65" s="2"/>
      <c r="Z65" s="2"/>
    </row>
    <row r="66" spans="1:26" ht="14.4">
      <c r="A66" s="4"/>
      <c r="B66" s="4"/>
      <c r="C66" s="4"/>
      <c r="D66" s="2"/>
      <c r="E66" s="2"/>
      <c r="F66" s="2"/>
      <c r="G66" s="2"/>
      <c r="H66" s="2"/>
      <c r="I66" s="2"/>
      <c r="J66" s="2"/>
      <c r="K66" s="2"/>
      <c r="L66" s="2"/>
      <c r="M66" s="2"/>
      <c r="N66" s="2"/>
      <c r="O66" s="2"/>
      <c r="P66" s="2"/>
      <c r="Q66" s="2"/>
      <c r="R66" s="2"/>
      <c r="S66" s="2"/>
      <c r="T66" s="2"/>
      <c r="U66" s="2"/>
      <c r="V66" s="2"/>
      <c r="W66" s="2"/>
      <c r="X66" s="2"/>
      <c r="Y66" s="2"/>
      <c r="Z66" s="2"/>
    </row>
    <row r="67" spans="1:26" ht="14.4">
      <c r="A67" s="4"/>
      <c r="B67" s="4"/>
      <c r="C67" s="4"/>
      <c r="D67" s="2"/>
      <c r="E67" s="2"/>
      <c r="F67" s="2"/>
      <c r="G67" s="2"/>
      <c r="H67" s="2"/>
      <c r="I67" s="2"/>
      <c r="J67" s="2"/>
      <c r="K67" s="2"/>
      <c r="L67" s="2"/>
      <c r="M67" s="2"/>
      <c r="N67" s="2"/>
      <c r="O67" s="2"/>
      <c r="P67" s="2"/>
      <c r="Q67" s="2"/>
      <c r="R67" s="2"/>
      <c r="S67" s="2"/>
      <c r="T67" s="2"/>
      <c r="U67" s="2"/>
      <c r="V67" s="2"/>
      <c r="W67" s="2"/>
      <c r="X67" s="2"/>
      <c r="Y67" s="2"/>
      <c r="Z67" s="2"/>
    </row>
    <row r="68" spans="1:26" ht="14.4">
      <c r="A68" s="4"/>
      <c r="B68" s="4"/>
      <c r="C68" s="4"/>
      <c r="D68" s="2"/>
      <c r="E68" s="2"/>
      <c r="F68" s="2"/>
      <c r="G68" s="2"/>
      <c r="H68" s="2"/>
      <c r="I68" s="2"/>
      <c r="J68" s="2"/>
      <c r="K68" s="2"/>
      <c r="L68" s="2"/>
      <c r="M68" s="2"/>
      <c r="N68" s="2"/>
      <c r="O68" s="2"/>
      <c r="P68" s="2"/>
      <c r="Q68" s="2"/>
      <c r="R68" s="2"/>
      <c r="S68" s="2"/>
      <c r="T68" s="2"/>
      <c r="U68" s="2"/>
      <c r="V68" s="2"/>
      <c r="W68" s="2"/>
      <c r="X68" s="2"/>
      <c r="Y68" s="2"/>
      <c r="Z68" s="2"/>
    </row>
    <row r="69" spans="1:26" ht="14.4">
      <c r="A69" s="4"/>
      <c r="B69" s="4"/>
      <c r="C69" s="4"/>
      <c r="D69" s="2"/>
      <c r="E69" s="2"/>
      <c r="F69" s="2"/>
      <c r="G69" s="2"/>
      <c r="H69" s="2"/>
      <c r="I69" s="2"/>
      <c r="J69" s="2"/>
      <c r="K69" s="2"/>
      <c r="L69" s="2"/>
      <c r="M69" s="2"/>
      <c r="N69" s="2"/>
      <c r="O69" s="2"/>
      <c r="P69" s="2"/>
      <c r="Q69" s="2"/>
      <c r="R69" s="2"/>
      <c r="S69" s="2"/>
      <c r="T69" s="2"/>
      <c r="U69" s="2"/>
      <c r="V69" s="2"/>
      <c r="W69" s="2"/>
      <c r="X69" s="2"/>
      <c r="Y69" s="2"/>
      <c r="Z69" s="2"/>
    </row>
    <row r="70" spans="1:26" ht="14.4">
      <c r="A70" s="4"/>
      <c r="B70" s="4"/>
      <c r="C70" s="4"/>
      <c r="D70" s="2"/>
      <c r="E70" s="2"/>
      <c r="F70" s="2"/>
      <c r="G70" s="2"/>
      <c r="H70" s="2"/>
      <c r="I70" s="2"/>
      <c r="J70" s="2"/>
      <c r="K70" s="2"/>
      <c r="L70" s="2"/>
      <c r="M70" s="2"/>
      <c r="N70" s="2"/>
      <c r="O70" s="2"/>
      <c r="P70" s="2"/>
      <c r="Q70" s="2"/>
      <c r="R70" s="2"/>
      <c r="S70" s="2"/>
      <c r="T70" s="2"/>
      <c r="U70" s="2"/>
      <c r="V70" s="2"/>
      <c r="W70" s="2"/>
      <c r="X70" s="2"/>
      <c r="Y70" s="2"/>
      <c r="Z70" s="2"/>
    </row>
    <row r="71" spans="1:26" ht="14.4">
      <c r="A71" s="4"/>
      <c r="B71" s="4"/>
      <c r="C71" s="4"/>
      <c r="D71" s="2"/>
      <c r="E71" s="2"/>
      <c r="F71" s="2"/>
      <c r="G71" s="2"/>
      <c r="H71" s="2"/>
      <c r="I71" s="2"/>
      <c r="J71" s="2"/>
      <c r="K71" s="2"/>
      <c r="L71" s="2"/>
      <c r="M71" s="2"/>
      <c r="N71" s="2"/>
      <c r="O71" s="2"/>
      <c r="P71" s="2"/>
      <c r="Q71" s="2"/>
      <c r="R71" s="2"/>
      <c r="S71" s="2"/>
      <c r="T71" s="2"/>
      <c r="U71" s="2"/>
      <c r="V71" s="2"/>
      <c r="W71" s="2"/>
      <c r="X71" s="2"/>
      <c r="Y71" s="2"/>
      <c r="Z71" s="2"/>
    </row>
    <row r="72" spans="1:26" ht="14.4">
      <c r="A72" s="4"/>
      <c r="B72" s="4"/>
      <c r="C72" s="4"/>
      <c r="D72" s="2"/>
      <c r="E72" s="2"/>
      <c r="F72" s="2"/>
      <c r="G72" s="2"/>
      <c r="H72" s="2"/>
      <c r="I72" s="2"/>
      <c r="J72" s="2"/>
      <c r="K72" s="2"/>
      <c r="L72" s="2"/>
      <c r="M72" s="2"/>
      <c r="N72" s="2"/>
      <c r="O72" s="2"/>
      <c r="P72" s="2"/>
      <c r="Q72" s="2"/>
      <c r="R72" s="2"/>
      <c r="S72" s="2"/>
      <c r="T72" s="2"/>
      <c r="U72" s="2"/>
      <c r="V72" s="2"/>
      <c r="W72" s="2"/>
      <c r="X72" s="2"/>
      <c r="Y72" s="2"/>
      <c r="Z72" s="2"/>
    </row>
    <row r="73" spans="1:26" ht="14.4">
      <c r="A73" s="4"/>
      <c r="B73" s="4"/>
      <c r="C73" s="4"/>
      <c r="D73" s="2"/>
      <c r="E73" s="2"/>
      <c r="F73" s="2"/>
      <c r="G73" s="2"/>
      <c r="H73" s="2"/>
      <c r="I73" s="2"/>
      <c r="J73" s="2"/>
      <c r="K73" s="2"/>
      <c r="L73" s="2"/>
      <c r="M73" s="2"/>
      <c r="N73" s="2"/>
      <c r="O73" s="2"/>
      <c r="P73" s="2"/>
      <c r="Q73" s="2"/>
      <c r="R73" s="2"/>
      <c r="S73" s="2"/>
      <c r="T73" s="2"/>
      <c r="U73" s="2"/>
      <c r="V73" s="2"/>
      <c r="W73" s="2"/>
      <c r="X73" s="2"/>
      <c r="Y73" s="2"/>
      <c r="Z73" s="2"/>
    </row>
    <row r="74" spans="1:26" ht="14.4">
      <c r="A74" s="4"/>
      <c r="B74" s="4"/>
      <c r="C74" s="4"/>
      <c r="D74" s="2"/>
      <c r="E74" s="2"/>
      <c r="F74" s="2"/>
      <c r="G74" s="2"/>
      <c r="H74" s="2"/>
      <c r="I74" s="2"/>
      <c r="J74" s="2"/>
      <c r="K74" s="2"/>
      <c r="L74" s="2"/>
      <c r="M74" s="2"/>
      <c r="N74" s="2"/>
      <c r="O74" s="2"/>
      <c r="P74" s="2"/>
      <c r="Q74" s="2"/>
      <c r="R74" s="2"/>
      <c r="S74" s="2"/>
      <c r="T74" s="2"/>
      <c r="U74" s="2"/>
      <c r="V74" s="2"/>
      <c r="W74" s="2"/>
      <c r="X74" s="2"/>
      <c r="Y74" s="2"/>
      <c r="Z74" s="2"/>
    </row>
    <row r="75" spans="1:26" ht="14.4">
      <c r="A75" s="4"/>
      <c r="B75" s="4"/>
      <c r="C75" s="4"/>
      <c r="D75" s="2"/>
      <c r="E75" s="2"/>
      <c r="F75" s="2"/>
      <c r="G75" s="2"/>
      <c r="H75" s="2"/>
      <c r="I75" s="2"/>
      <c r="J75" s="2"/>
      <c r="K75" s="2"/>
      <c r="L75" s="2"/>
      <c r="M75" s="2"/>
      <c r="N75" s="2"/>
      <c r="O75" s="2"/>
      <c r="P75" s="2"/>
      <c r="Q75" s="2"/>
      <c r="R75" s="2"/>
      <c r="S75" s="2"/>
      <c r="T75" s="2"/>
      <c r="U75" s="2"/>
      <c r="V75" s="2"/>
      <c r="W75" s="2"/>
      <c r="X75" s="2"/>
      <c r="Y75" s="2"/>
      <c r="Z75" s="2"/>
    </row>
    <row r="76" spans="1:26" ht="14.4">
      <c r="A76" s="4"/>
      <c r="B76" s="4"/>
      <c r="C76" s="4"/>
      <c r="D76" s="2"/>
      <c r="E76" s="2"/>
      <c r="F76" s="2"/>
      <c r="G76" s="2"/>
      <c r="H76" s="2"/>
      <c r="I76" s="2"/>
      <c r="J76" s="2"/>
      <c r="K76" s="2"/>
      <c r="L76" s="2"/>
      <c r="M76" s="2"/>
      <c r="N76" s="2"/>
      <c r="O76" s="2"/>
      <c r="P76" s="2"/>
      <c r="Q76" s="2"/>
      <c r="R76" s="2"/>
      <c r="S76" s="2"/>
      <c r="T76" s="2"/>
      <c r="U76" s="2"/>
      <c r="V76" s="2"/>
      <c r="W76" s="2"/>
      <c r="X76" s="2"/>
      <c r="Y76" s="2"/>
      <c r="Z76" s="2"/>
    </row>
    <row r="77" spans="1:26" ht="14.4">
      <c r="A77" s="4"/>
      <c r="B77" s="4"/>
      <c r="C77" s="4"/>
      <c r="D77" s="2"/>
      <c r="E77" s="2"/>
      <c r="F77" s="2"/>
      <c r="G77" s="2"/>
      <c r="H77" s="2"/>
      <c r="I77" s="2"/>
      <c r="J77" s="2"/>
      <c r="K77" s="2"/>
      <c r="L77" s="2"/>
      <c r="M77" s="2"/>
      <c r="N77" s="2"/>
      <c r="O77" s="2"/>
      <c r="P77" s="2"/>
      <c r="Q77" s="2"/>
      <c r="R77" s="2"/>
      <c r="S77" s="2"/>
      <c r="T77" s="2"/>
      <c r="U77" s="2"/>
      <c r="V77" s="2"/>
      <c r="W77" s="2"/>
      <c r="X77" s="2"/>
      <c r="Y77" s="2"/>
      <c r="Z77" s="2"/>
    </row>
    <row r="78" spans="1:26" ht="14.4">
      <c r="A78" s="4"/>
      <c r="B78" s="4"/>
      <c r="C78" s="4"/>
      <c r="D78" s="2"/>
      <c r="E78" s="2"/>
      <c r="F78" s="2"/>
      <c r="G78" s="2"/>
      <c r="H78" s="2"/>
      <c r="I78" s="2"/>
      <c r="J78" s="2"/>
      <c r="K78" s="2"/>
      <c r="L78" s="2"/>
      <c r="M78" s="2"/>
      <c r="N78" s="2"/>
      <c r="O78" s="2"/>
      <c r="P78" s="2"/>
      <c r="Q78" s="2"/>
      <c r="R78" s="2"/>
      <c r="S78" s="2"/>
      <c r="T78" s="2"/>
      <c r="U78" s="2"/>
      <c r="V78" s="2"/>
      <c r="W78" s="2"/>
      <c r="X78" s="2"/>
      <c r="Y78" s="2"/>
      <c r="Z78" s="2"/>
    </row>
    <row r="79" spans="1:26" ht="14.4">
      <c r="A79" s="4"/>
      <c r="B79" s="4"/>
      <c r="C79" s="4"/>
      <c r="D79" s="2"/>
      <c r="E79" s="2"/>
      <c r="F79" s="2"/>
      <c r="G79" s="2"/>
      <c r="H79" s="2"/>
      <c r="I79" s="2"/>
      <c r="J79" s="2"/>
      <c r="K79" s="2"/>
      <c r="L79" s="2"/>
      <c r="M79" s="2"/>
      <c r="N79" s="2"/>
      <c r="O79" s="2"/>
      <c r="P79" s="2"/>
      <c r="Q79" s="2"/>
      <c r="R79" s="2"/>
      <c r="S79" s="2"/>
      <c r="T79" s="2"/>
      <c r="U79" s="2"/>
      <c r="V79" s="2"/>
      <c r="W79" s="2"/>
      <c r="X79" s="2"/>
      <c r="Y79" s="2"/>
      <c r="Z79" s="2"/>
    </row>
    <row r="80" spans="1:26" ht="14.4">
      <c r="A80" s="4"/>
      <c r="B80" s="4"/>
      <c r="C80" s="4"/>
      <c r="D80" s="2"/>
      <c r="E80" s="2"/>
      <c r="F80" s="2"/>
      <c r="G80" s="2"/>
      <c r="H80" s="2"/>
      <c r="I80" s="2"/>
      <c r="J80" s="2"/>
      <c r="K80" s="2"/>
      <c r="L80" s="2"/>
      <c r="M80" s="2"/>
      <c r="N80" s="2"/>
      <c r="O80" s="2"/>
      <c r="P80" s="2"/>
      <c r="Q80" s="2"/>
      <c r="R80" s="2"/>
      <c r="S80" s="2"/>
      <c r="T80" s="2"/>
      <c r="U80" s="2"/>
      <c r="V80" s="2"/>
      <c r="W80" s="2"/>
      <c r="X80" s="2"/>
      <c r="Y80" s="2"/>
      <c r="Z80" s="2"/>
    </row>
    <row r="81" spans="1:26" ht="14.4">
      <c r="A81" s="4"/>
      <c r="B81" s="4"/>
      <c r="C81" s="4"/>
      <c r="D81" s="2"/>
      <c r="E81" s="2"/>
      <c r="F81" s="2"/>
      <c r="G81" s="2"/>
      <c r="H81" s="2"/>
      <c r="I81" s="2"/>
      <c r="J81" s="2"/>
      <c r="K81" s="2"/>
      <c r="L81" s="2"/>
      <c r="M81" s="2"/>
      <c r="N81" s="2"/>
      <c r="O81" s="2"/>
      <c r="P81" s="2"/>
      <c r="Q81" s="2"/>
      <c r="R81" s="2"/>
      <c r="S81" s="2"/>
      <c r="T81" s="2"/>
      <c r="U81" s="2"/>
      <c r="V81" s="2"/>
      <c r="W81" s="2"/>
      <c r="X81" s="2"/>
      <c r="Y81" s="2"/>
      <c r="Z81" s="2"/>
    </row>
    <row r="82" spans="1:26" ht="14.4">
      <c r="A82" s="4"/>
      <c r="B82" s="4"/>
      <c r="C82" s="4"/>
      <c r="D82" s="2"/>
      <c r="E82" s="2"/>
      <c r="F82" s="2"/>
      <c r="G82" s="2"/>
      <c r="H82" s="2"/>
      <c r="I82" s="2"/>
      <c r="J82" s="2"/>
      <c r="K82" s="2"/>
      <c r="L82" s="2"/>
      <c r="M82" s="2"/>
      <c r="N82" s="2"/>
      <c r="O82" s="2"/>
      <c r="P82" s="2"/>
      <c r="Q82" s="2"/>
      <c r="R82" s="2"/>
      <c r="S82" s="2"/>
      <c r="T82" s="2"/>
      <c r="U82" s="2"/>
      <c r="V82" s="2"/>
      <c r="W82" s="2"/>
      <c r="X82" s="2"/>
      <c r="Y82" s="2"/>
      <c r="Z82" s="2"/>
    </row>
    <row r="83" spans="1:26" ht="14.4">
      <c r="A83" s="4"/>
      <c r="B83" s="4"/>
      <c r="C83" s="4"/>
      <c r="D83" s="2"/>
      <c r="E83" s="2"/>
      <c r="F83" s="2"/>
      <c r="G83" s="2"/>
      <c r="H83" s="2"/>
      <c r="I83" s="2"/>
      <c r="J83" s="2"/>
      <c r="K83" s="2"/>
      <c r="L83" s="2"/>
      <c r="M83" s="2"/>
      <c r="N83" s="2"/>
      <c r="O83" s="2"/>
      <c r="P83" s="2"/>
      <c r="Q83" s="2"/>
      <c r="R83" s="2"/>
      <c r="S83" s="2"/>
      <c r="T83" s="2"/>
      <c r="U83" s="2"/>
      <c r="V83" s="2"/>
      <c r="W83" s="2"/>
      <c r="X83" s="2"/>
      <c r="Y83" s="2"/>
      <c r="Z83" s="2"/>
    </row>
    <row r="84" spans="1:26" ht="14.4">
      <c r="A84" s="4"/>
      <c r="B84" s="4"/>
      <c r="C84" s="4"/>
      <c r="D84" s="2"/>
      <c r="E84" s="2"/>
      <c r="F84" s="2"/>
      <c r="G84" s="2"/>
      <c r="H84" s="2"/>
      <c r="I84" s="2"/>
      <c r="J84" s="2"/>
      <c r="K84" s="2"/>
      <c r="L84" s="2"/>
      <c r="M84" s="2"/>
      <c r="N84" s="2"/>
      <c r="O84" s="2"/>
      <c r="P84" s="2"/>
      <c r="Q84" s="2"/>
      <c r="R84" s="2"/>
      <c r="S84" s="2"/>
      <c r="T84" s="2"/>
      <c r="U84" s="2"/>
      <c r="V84" s="2"/>
      <c r="W84" s="2"/>
      <c r="X84" s="2"/>
      <c r="Y84" s="2"/>
      <c r="Z84" s="2"/>
    </row>
    <row r="85" spans="1:26" ht="14.4">
      <c r="A85" s="4"/>
      <c r="B85" s="4"/>
      <c r="C85" s="4"/>
      <c r="D85" s="2"/>
      <c r="E85" s="2"/>
      <c r="F85" s="2"/>
      <c r="G85" s="2"/>
      <c r="H85" s="2"/>
      <c r="I85" s="2"/>
      <c r="J85" s="2"/>
      <c r="K85" s="2"/>
      <c r="L85" s="2"/>
      <c r="M85" s="2"/>
      <c r="N85" s="2"/>
      <c r="O85" s="2"/>
      <c r="P85" s="2"/>
      <c r="Q85" s="2"/>
      <c r="R85" s="2"/>
      <c r="S85" s="2"/>
      <c r="T85" s="2"/>
      <c r="U85" s="2"/>
      <c r="V85" s="2"/>
      <c r="W85" s="2"/>
      <c r="X85" s="2"/>
      <c r="Y85" s="2"/>
      <c r="Z85" s="2"/>
    </row>
    <row r="86" spans="1:26" ht="14.4">
      <c r="A86" s="4"/>
      <c r="B86" s="4"/>
      <c r="C86" s="4"/>
      <c r="D86" s="2"/>
      <c r="E86" s="2"/>
      <c r="F86" s="2"/>
      <c r="G86" s="2"/>
      <c r="H86" s="2"/>
      <c r="I86" s="2"/>
      <c r="J86" s="2"/>
      <c r="K86" s="2"/>
      <c r="L86" s="2"/>
      <c r="M86" s="2"/>
      <c r="N86" s="2"/>
      <c r="O86" s="2"/>
      <c r="P86" s="2"/>
      <c r="Q86" s="2"/>
      <c r="R86" s="2"/>
      <c r="S86" s="2"/>
      <c r="T86" s="2"/>
      <c r="U86" s="2"/>
      <c r="V86" s="2"/>
      <c r="W86" s="2"/>
      <c r="X86" s="2"/>
      <c r="Y86" s="2"/>
      <c r="Z86" s="2"/>
    </row>
    <row r="87" spans="1:26" ht="14.4">
      <c r="A87" s="4"/>
      <c r="B87" s="4"/>
      <c r="C87" s="4"/>
      <c r="D87" s="2"/>
      <c r="E87" s="2"/>
      <c r="F87" s="2"/>
      <c r="G87" s="2"/>
      <c r="H87" s="2"/>
      <c r="I87" s="2"/>
      <c r="J87" s="2"/>
      <c r="K87" s="2"/>
      <c r="L87" s="2"/>
      <c r="M87" s="2"/>
      <c r="N87" s="2"/>
      <c r="O87" s="2"/>
      <c r="P87" s="2"/>
      <c r="Q87" s="2"/>
      <c r="R87" s="2"/>
      <c r="S87" s="2"/>
      <c r="T87" s="2"/>
      <c r="U87" s="2"/>
      <c r="V87" s="2"/>
      <c r="W87" s="2"/>
      <c r="X87" s="2"/>
      <c r="Y87" s="2"/>
      <c r="Z87" s="2"/>
    </row>
    <row r="88" spans="1:26" ht="14.4">
      <c r="A88" s="4"/>
      <c r="B88" s="4"/>
      <c r="C88" s="4"/>
      <c r="D88" s="2"/>
      <c r="E88" s="2"/>
      <c r="F88" s="2"/>
      <c r="G88" s="2"/>
      <c r="H88" s="2"/>
      <c r="I88" s="2"/>
      <c r="J88" s="2"/>
      <c r="K88" s="2"/>
      <c r="L88" s="2"/>
      <c r="M88" s="2"/>
      <c r="N88" s="2"/>
      <c r="O88" s="2"/>
      <c r="P88" s="2"/>
      <c r="Q88" s="2"/>
      <c r="R88" s="2"/>
      <c r="S88" s="2"/>
      <c r="T88" s="2"/>
      <c r="U88" s="2"/>
      <c r="V88" s="2"/>
      <c r="W88" s="2"/>
      <c r="X88" s="2"/>
      <c r="Y88" s="2"/>
      <c r="Z88" s="2"/>
    </row>
    <row r="89" spans="1:26" ht="14.4">
      <c r="A89" s="4"/>
      <c r="B89" s="4"/>
      <c r="C89" s="4"/>
      <c r="D89" s="2"/>
      <c r="E89" s="2"/>
      <c r="F89" s="2"/>
      <c r="G89" s="2"/>
      <c r="H89" s="2"/>
      <c r="I89" s="2"/>
      <c r="J89" s="2"/>
      <c r="K89" s="2"/>
      <c r="L89" s="2"/>
      <c r="M89" s="2"/>
      <c r="N89" s="2"/>
      <c r="O89" s="2"/>
      <c r="P89" s="2"/>
      <c r="Q89" s="2"/>
      <c r="R89" s="2"/>
      <c r="S89" s="2"/>
      <c r="T89" s="2"/>
      <c r="U89" s="2"/>
      <c r="V89" s="2"/>
      <c r="W89" s="2"/>
      <c r="X89" s="2"/>
      <c r="Y89" s="2"/>
      <c r="Z89" s="2"/>
    </row>
    <row r="90" spans="1:26" ht="14.4">
      <c r="A90" s="4"/>
      <c r="B90" s="4"/>
      <c r="C90" s="4"/>
      <c r="D90" s="2"/>
      <c r="E90" s="2"/>
      <c r="F90" s="2"/>
      <c r="G90" s="2"/>
      <c r="H90" s="2"/>
      <c r="I90" s="2"/>
      <c r="J90" s="2"/>
      <c r="K90" s="2"/>
      <c r="L90" s="2"/>
      <c r="M90" s="2"/>
      <c r="N90" s="2"/>
      <c r="O90" s="2"/>
      <c r="P90" s="2"/>
      <c r="Q90" s="2"/>
      <c r="R90" s="2"/>
      <c r="S90" s="2"/>
      <c r="T90" s="2"/>
      <c r="U90" s="2"/>
      <c r="V90" s="2"/>
      <c r="W90" s="2"/>
      <c r="X90" s="2"/>
      <c r="Y90" s="2"/>
      <c r="Z90" s="2"/>
    </row>
    <row r="91" spans="1:26" ht="14.4">
      <c r="A91" s="4"/>
      <c r="B91" s="4"/>
      <c r="C91" s="4"/>
      <c r="D91" s="2"/>
      <c r="E91" s="2"/>
      <c r="F91" s="2"/>
      <c r="G91" s="2"/>
      <c r="H91" s="2"/>
      <c r="I91" s="2"/>
      <c r="J91" s="2"/>
      <c r="K91" s="2"/>
      <c r="L91" s="2"/>
      <c r="M91" s="2"/>
      <c r="N91" s="2"/>
      <c r="O91" s="2"/>
      <c r="P91" s="2"/>
      <c r="Q91" s="2"/>
      <c r="R91" s="2"/>
      <c r="S91" s="2"/>
      <c r="T91" s="2"/>
      <c r="U91" s="2"/>
      <c r="V91" s="2"/>
      <c r="W91" s="2"/>
      <c r="X91" s="2"/>
      <c r="Y91" s="2"/>
      <c r="Z91" s="2"/>
    </row>
    <row r="92" spans="1:26" ht="14.4">
      <c r="A92" s="4"/>
      <c r="B92" s="4"/>
      <c r="C92" s="4"/>
      <c r="D92" s="2"/>
      <c r="E92" s="2"/>
      <c r="F92" s="2"/>
      <c r="G92" s="2"/>
      <c r="H92" s="2"/>
      <c r="I92" s="2"/>
      <c r="J92" s="2"/>
      <c r="K92" s="2"/>
      <c r="L92" s="2"/>
      <c r="M92" s="2"/>
      <c r="N92" s="2"/>
      <c r="O92" s="2"/>
      <c r="P92" s="2"/>
      <c r="Q92" s="2"/>
      <c r="R92" s="2"/>
      <c r="S92" s="2"/>
      <c r="T92" s="2"/>
      <c r="U92" s="2"/>
      <c r="V92" s="2"/>
      <c r="W92" s="2"/>
      <c r="X92" s="2"/>
      <c r="Y92" s="2"/>
      <c r="Z92" s="2"/>
    </row>
    <row r="93" spans="1:26" ht="14.4">
      <c r="A93" s="4"/>
      <c r="B93" s="4"/>
      <c r="C93" s="4"/>
      <c r="D93" s="2"/>
      <c r="E93" s="2"/>
      <c r="F93" s="2"/>
      <c r="G93" s="2"/>
      <c r="H93" s="2"/>
      <c r="I93" s="2"/>
      <c r="J93" s="2"/>
      <c r="K93" s="2"/>
      <c r="L93" s="2"/>
      <c r="M93" s="2"/>
      <c r="N93" s="2"/>
      <c r="O93" s="2"/>
      <c r="P93" s="2"/>
      <c r="Q93" s="2"/>
      <c r="R93" s="2"/>
      <c r="S93" s="2"/>
      <c r="T93" s="2"/>
      <c r="U93" s="2"/>
      <c r="V93" s="2"/>
      <c r="W93" s="2"/>
      <c r="X93" s="2"/>
      <c r="Y93" s="2"/>
      <c r="Z93" s="2"/>
    </row>
    <row r="94" spans="1:26" ht="14.4">
      <c r="A94" s="4"/>
      <c r="B94" s="4"/>
      <c r="C94" s="4"/>
      <c r="D94" s="2"/>
      <c r="E94" s="2"/>
      <c r="F94" s="2"/>
      <c r="G94" s="2"/>
      <c r="H94" s="2"/>
      <c r="I94" s="2"/>
      <c r="J94" s="2"/>
      <c r="K94" s="2"/>
      <c r="L94" s="2"/>
      <c r="M94" s="2"/>
      <c r="N94" s="2"/>
      <c r="O94" s="2"/>
      <c r="P94" s="2"/>
      <c r="Q94" s="2"/>
      <c r="R94" s="2"/>
      <c r="S94" s="2"/>
      <c r="T94" s="2"/>
      <c r="U94" s="2"/>
      <c r="V94" s="2"/>
      <c r="W94" s="2"/>
      <c r="X94" s="2"/>
      <c r="Y94" s="2"/>
      <c r="Z94" s="2"/>
    </row>
    <row r="95" spans="1:26" ht="14.4">
      <c r="A95" s="4"/>
      <c r="B95" s="4"/>
      <c r="C95" s="4"/>
      <c r="D95" s="2"/>
      <c r="E95" s="2"/>
      <c r="F95" s="2"/>
      <c r="G95" s="2"/>
      <c r="H95" s="2"/>
      <c r="I95" s="2"/>
      <c r="J95" s="2"/>
      <c r="K95" s="2"/>
      <c r="L95" s="2"/>
      <c r="M95" s="2"/>
      <c r="N95" s="2"/>
      <c r="O95" s="2"/>
      <c r="P95" s="2"/>
      <c r="Q95" s="2"/>
      <c r="R95" s="2"/>
      <c r="S95" s="2"/>
      <c r="T95" s="2"/>
      <c r="U95" s="2"/>
      <c r="V95" s="2"/>
      <c r="W95" s="2"/>
      <c r="X95" s="2"/>
      <c r="Y95" s="2"/>
      <c r="Z95" s="2"/>
    </row>
    <row r="96" spans="1:26" ht="14.4">
      <c r="A96" s="4"/>
      <c r="B96" s="4"/>
      <c r="C96" s="4"/>
      <c r="D96" s="2"/>
      <c r="E96" s="2"/>
      <c r="F96" s="2"/>
      <c r="G96" s="2"/>
      <c r="H96" s="2"/>
      <c r="I96" s="2"/>
      <c r="J96" s="2"/>
      <c r="K96" s="2"/>
      <c r="L96" s="2"/>
      <c r="M96" s="2"/>
      <c r="N96" s="2"/>
      <c r="O96" s="2"/>
      <c r="P96" s="2"/>
      <c r="Q96" s="2"/>
      <c r="R96" s="2"/>
      <c r="S96" s="2"/>
      <c r="T96" s="2"/>
      <c r="U96" s="2"/>
      <c r="V96" s="2"/>
      <c r="W96" s="2"/>
      <c r="X96" s="2"/>
      <c r="Y96" s="2"/>
      <c r="Z96" s="2"/>
    </row>
    <row r="97" spans="1:26" ht="14.4">
      <c r="A97" s="4"/>
      <c r="B97" s="4"/>
      <c r="C97" s="4"/>
      <c r="D97" s="2"/>
      <c r="E97" s="2"/>
      <c r="F97" s="2"/>
      <c r="G97" s="2"/>
      <c r="H97" s="2"/>
      <c r="I97" s="2"/>
      <c r="J97" s="2"/>
      <c r="K97" s="2"/>
      <c r="L97" s="2"/>
      <c r="M97" s="2"/>
      <c r="N97" s="2"/>
      <c r="O97" s="2"/>
      <c r="P97" s="2"/>
      <c r="Q97" s="2"/>
      <c r="R97" s="2"/>
      <c r="S97" s="2"/>
      <c r="T97" s="2"/>
      <c r="U97" s="2"/>
      <c r="V97" s="2"/>
      <c r="W97" s="2"/>
      <c r="X97" s="2"/>
      <c r="Y97" s="2"/>
      <c r="Z97" s="2"/>
    </row>
    <row r="98" spans="1:26" ht="14.4">
      <c r="A98" s="4"/>
      <c r="B98" s="4"/>
      <c r="C98" s="4"/>
      <c r="D98" s="2"/>
      <c r="E98" s="2"/>
      <c r="F98" s="2"/>
      <c r="G98" s="2"/>
      <c r="H98" s="2"/>
      <c r="I98" s="2"/>
      <c r="J98" s="2"/>
      <c r="K98" s="2"/>
      <c r="L98" s="2"/>
      <c r="M98" s="2"/>
      <c r="N98" s="2"/>
      <c r="O98" s="2"/>
      <c r="P98" s="2"/>
      <c r="Q98" s="2"/>
      <c r="R98" s="2"/>
      <c r="S98" s="2"/>
      <c r="T98" s="2"/>
      <c r="U98" s="2"/>
      <c r="V98" s="2"/>
      <c r="W98" s="2"/>
      <c r="X98" s="2"/>
      <c r="Y98" s="2"/>
      <c r="Z98" s="2"/>
    </row>
    <row r="99" spans="1:26" ht="14.4">
      <c r="A99" s="4"/>
      <c r="B99" s="4"/>
      <c r="C99" s="4"/>
      <c r="D99" s="2"/>
      <c r="E99" s="2"/>
      <c r="F99" s="2"/>
      <c r="G99" s="2"/>
      <c r="H99" s="2"/>
      <c r="I99" s="2"/>
      <c r="J99" s="2"/>
      <c r="K99" s="2"/>
      <c r="L99" s="2"/>
      <c r="M99" s="2"/>
      <c r="N99" s="2"/>
      <c r="O99" s="2"/>
      <c r="P99" s="2"/>
      <c r="Q99" s="2"/>
      <c r="R99" s="2"/>
      <c r="S99" s="2"/>
      <c r="T99" s="2"/>
      <c r="U99" s="2"/>
      <c r="V99" s="2"/>
      <c r="W99" s="2"/>
      <c r="X99" s="2"/>
      <c r="Y99" s="2"/>
      <c r="Z99" s="2"/>
    </row>
    <row r="100" spans="1:26" ht="14.4">
      <c r="A100" s="4"/>
      <c r="B100" s="4"/>
      <c r="C100" s="4"/>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4">
      <c r="A101" s="4"/>
      <c r="B101" s="4"/>
      <c r="C101" s="4"/>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4">
      <c r="A102" s="4"/>
      <c r="B102" s="4"/>
      <c r="C102" s="4"/>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4">
      <c r="A103" s="4"/>
      <c r="B103" s="4"/>
      <c r="C103" s="4"/>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4">
      <c r="A104" s="4"/>
      <c r="B104" s="4"/>
      <c r="C104" s="4"/>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4">
      <c r="A105" s="4"/>
      <c r="B105" s="4"/>
      <c r="C105" s="4"/>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4">
      <c r="A106" s="4"/>
      <c r="B106" s="4"/>
      <c r="C106" s="4"/>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4">
      <c r="A107" s="4"/>
      <c r="B107" s="4"/>
      <c r="C107" s="4"/>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4">
      <c r="A108" s="4"/>
      <c r="B108" s="4"/>
      <c r="C108" s="4"/>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4">
      <c r="A109" s="4"/>
      <c r="B109" s="4"/>
      <c r="C109" s="4"/>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4">
      <c r="A110" s="4"/>
      <c r="B110" s="4"/>
      <c r="C110" s="4"/>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4">
      <c r="A111" s="4"/>
      <c r="B111" s="4"/>
      <c r="C111" s="4"/>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4">
      <c r="A112" s="4"/>
      <c r="B112" s="4"/>
      <c r="C112" s="4"/>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4">
      <c r="A113" s="4"/>
      <c r="B113" s="4"/>
      <c r="C113" s="4"/>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4">
      <c r="A114" s="4"/>
      <c r="B114" s="4"/>
      <c r="C114" s="4"/>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4">
      <c r="A115" s="4"/>
      <c r="B115" s="4"/>
      <c r="C115" s="4"/>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4">
      <c r="A116" s="4"/>
      <c r="B116" s="4"/>
      <c r="C116" s="4"/>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4">
      <c r="A117" s="4"/>
      <c r="B117" s="4"/>
      <c r="C117" s="4"/>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4">
      <c r="A118" s="4"/>
      <c r="B118" s="4"/>
      <c r="C118" s="4"/>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4">
      <c r="A119" s="4"/>
      <c r="B119" s="4"/>
      <c r="C119" s="4"/>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4">
      <c r="A120" s="4"/>
      <c r="B120" s="4"/>
      <c r="C120" s="4"/>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4">
      <c r="A121" s="4"/>
      <c r="B121" s="4"/>
      <c r="C121" s="4"/>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4">
      <c r="A122" s="4"/>
      <c r="B122" s="4"/>
      <c r="C122" s="4"/>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4">
      <c r="A123" s="4"/>
      <c r="B123" s="4"/>
      <c r="C123" s="4"/>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4">
      <c r="A124" s="4"/>
      <c r="B124" s="4"/>
      <c r="C124" s="4"/>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4">
      <c r="A125" s="4"/>
      <c r="B125" s="4"/>
      <c r="C125" s="4"/>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4">
      <c r="A126" s="4"/>
      <c r="B126" s="4"/>
      <c r="C126" s="4"/>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4">
      <c r="A127" s="4"/>
      <c r="B127" s="4"/>
      <c r="C127" s="4"/>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4">
      <c r="A128" s="4"/>
      <c r="B128" s="4"/>
      <c r="C128" s="4"/>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4">
      <c r="A129" s="4"/>
      <c r="B129" s="4"/>
      <c r="C129" s="4"/>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4">
      <c r="A130" s="4"/>
      <c r="B130" s="4"/>
      <c r="C130" s="4"/>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4">
      <c r="A131" s="4"/>
      <c r="B131" s="4"/>
      <c r="C131" s="4"/>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4">
      <c r="A132" s="4"/>
      <c r="B132" s="4"/>
      <c r="C132" s="4"/>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4">
      <c r="A133" s="4"/>
      <c r="B133" s="4"/>
      <c r="C133" s="4"/>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4">
      <c r="A134" s="4"/>
      <c r="B134" s="4"/>
      <c r="C134" s="4"/>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4">
      <c r="A135" s="4"/>
      <c r="B135" s="4"/>
      <c r="C135" s="4"/>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4">
      <c r="A136" s="4"/>
      <c r="B136" s="4"/>
      <c r="C136" s="4"/>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4">
      <c r="A137" s="4"/>
      <c r="B137" s="4"/>
      <c r="C137" s="4"/>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4">
      <c r="A138" s="4"/>
      <c r="B138" s="4"/>
      <c r="C138" s="4"/>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4">
      <c r="A139" s="4"/>
      <c r="B139" s="4"/>
      <c r="C139" s="4"/>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4">
      <c r="A140" s="4"/>
      <c r="B140" s="4"/>
      <c r="C140" s="4"/>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4">
      <c r="A141" s="4"/>
      <c r="B141" s="4"/>
      <c r="C141" s="4"/>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4">
      <c r="A142" s="4"/>
      <c r="B142" s="4"/>
      <c r="C142" s="4"/>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4">
      <c r="A143" s="4"/>
      <c r="B143" s="4"/>
      <c r="C143" s="4"/>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4">
      <c r="A144" s="4"/>
      <c r="B144" s="4"/>
      <c r="C144" s="4"/>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4">
      <c r="A145" s="4"/>
      <c r="B145" s="4"/>
      <c r="C145" s="4"/>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4">
      <c r="A146" s="4"/>
      <c r="B146" s="4"/>
      <c r="C146" s="4"/>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4">
      <c r="A147" s="4"/>
      <c r="B147" s="4"/>
      <c r="C147" s="4"/>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4">
      <c r="A148" s="4"/>
      <c r="B148" s="4"/>
      <c r="C148" s="4"/>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4">
      <c r="A149" s="4"/>
      <c r="B149" s="4"/>
      <c r="C149" s="4"/>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4">
      <c r="A150" s="4"/>
      <c r="B150" s="4"/>
      <c r="C150" s="4"/>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4">
      <c r="A151" s="4"/>
      <c r="B151" s="4"/>
      <c r="C151" s="4"/>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4">
      <c r="A152" s="4"/>
      <c r="B152" s="4"/>
      <c r="C152" s="4"/>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4">
      <c r="A153" s="4"/>
      <c r="B153" s="4"/>
      <c r="C153" s="4"/>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4">
      <c r="A154" s="4"/>
      <c r="B154" s="4"/>
      <c r="C154" s="4"/>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4">
      <c r="A155" s="4"/>
      <c r="B155" s="4"/>
      <c r="C155" s="4"/>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4">
      <c r="A156" s="4"/>
      <c r="B156" s="4"/>
      <c r="C156" s="4"/>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4">
      <c r="A157" s="4"/>
      <c r="B157" s="4"/>
      <c r="C157" s="4"/>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4">
      <c r="A158" s="4"/>
      <c r="B158" s="4"/>
      <c r="C158" s="4"/>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4">
      <c r="A159" s="4"/>
      <c r="B159" s="4"/>
      <c r="C159" s="4"/>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4">
      <c r="A160" s="4"/>
      <c r="B160" s="4"/>
      <c r="C160" s="4"/>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4">
      <c r="A161" s="4"/>
      <c r="B161" s="4"/>
      <c r="C161" s="4"/>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4">
      <c r="A162" s="4"/>
      <c r="B162" s="4"/>
      <c r="C162" s="4"/>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4">
      <c r="A163" s="4"/>
      <c r="B163" s="4"/>
      <c r="C163" s="4"/>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4">
      <c r="A164" s="4"/>
      <c r="B164" s="4"/>
      <c r="C164" s="4"/>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4">
      <c r="A165" s="4"/>
      <c r="B165" s="4"/>
      <c r="C165" s="4"/>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4">
      <c r="A166" s="4"/>
      <c r="B166" s="4"/>
      <c r="C166" s="4"/>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4">
      <c r="A167" s="4"/>
      <c r="B167" s="4"/>
      <c r="C167" s="4"/>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4">
      <c r="A168" s="4"/>
      <c r="B168" s="4"/>
      <c r="C168" s="4"/>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4">
      <c r="A169" s="4"/>
      <c r="B169" s="4"/>
      <c r="C169" s="4"/>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4">
      <c r="A170" s="4"/>
      <c r="B170" s="4"/>
      <c r="C170" s="4"/>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4">
      <c r="A171" s="4"/>
      <c r="B171" s="4"/>
      <c r="C171" s="4"/>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4">
      <c r="A172" s="4"/>
      <c r="B172" s="4"/>
      <c r="C172" s="4"/>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4">
      <c r="A173" s="4"/>
      <c r="B173" s="4"/>
      <c r="C173" s="4"/>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4">
      <c r="A174" s="4"/>
      <c r="B174" s="4"/>
      <c r="C174" s="4"/>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4">
      <c r="A175" s="4"/>
      <c r="B175" s="4"/>
      <c r="C175" s="4"/>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4">
      <c r="A176" s="4"/>
      <c r="B176" s="4"/>
      <c r="C176" s="4"/>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4">
      <c r="A177" s="4"/>
      <c r="B177" s="4"/>
      <c r="C177" s="4"/>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4">
      <c r="A178" s="4"/>
      <c r="B178" s="4"/>
      <c r="C178" s="4"/>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4">
      <c r="A179" s="4"/>
      <c r="B179" s="4"/>
      <c r="C179" s="4"/>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4">
      <c r="A180" s="4"/>
      <c r="B180" s="4"/>
      <c r="C180" s="4"/>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4">
      <c r="A181" s="4"/>
      <c r="B181" s="4"/>
      <c r="C181" s="4"/>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4">
      <c r="A182" s="4"/>
      <c r="B182" s="4"/>
      <c r="C182" s="4"/>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4">
      <c r="A183" s="4"/>
      <c r="B183" s="4"/>
      <c r="C183" s="4"/>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4">
      <c r="A184" s="4"/>
      <c r="B184" s="4"/>
      <c r="C184" s="4"/>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4">
      <c r="A185" s="4"/>
      <c r="B185" s="4"/>
      <c r="C185" s="4"/>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4">
      <c r="A186" s="4"/>
      <c r="B186" s="4"/>
      <c r="C186" s="4"/>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4">
      <c r="A187" s="4"/>
      <c r="B187" s="4"/>
      <c r="C187" s="4"/>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4">
      <c r="A188" s="4"/>
      <c r="B188" s="4"/>
      <c r="C188" s="4"/>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4">
      <c r="A189" s="4"/>
      <c r="B189" s="4"/>
      <c r="C189" s="4"/>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4">
      <c r="A190" s="4"/>
      <c r="B190" s="4"/>
      <c r="C190" s="4"/>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4">
      <c r="A191" s="4"/>
      <c r="B191" s="4"/>
      <c r="C191" s="4"/>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4">
      <c r="A192" s="4"/>
      <c r="B192" s="4"/>
      <c r="C192" s="4"/>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4">
      <c r="A193" s="4"/>
      <c r="B193" s="4"/>
      <c r="C193" s="4"/>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4">
      <c r="A194" s="4"/>
      <c r="B194" s="4"/>
      <c r="C194" s="4"/>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4">
      <c r="A195" s="4"/>
      <c r="B195" s="4"/>
      <c r="C195" s="4"/>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4">
      <c r="A196" s="4"/>
      <c r="B196" s="4"/>
      <c r="C196" s="4"/>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4">
      <c r="A197" s="4"/>
      <c r="B197" s="4"/>
      <c r="C197" s="4"/>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4">
      <c r="A198" s="4"/>
      <c r="B198" s="4"/>
      <c r="C198" s="4"/>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4">
      <c r="A199" s="4"/>
      <c r="B199" s="4"/>
      <c r="C199" s="4"/>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4">
      <c r="A200" s="4"/>
      <c r="B200" s="4"/>
      <c r="C200" s="4"/>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4">
      <c r="A201" s="4"/>
      <c r="B201" s="4"/>
      <c r="C201" s="4"/>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4">
      <c r="A202" s="4"/>
      <c r="B202" s="4"/>
      <c r="C202" s="4"/>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4">
      <c r="A203" s="4"/>
      <c r="B203" s="4"/>
      <c r="C203" s="4"/>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4">
      <c r="A204" s="4"/>
      <c r="B204" s="4"/>
      <c r="C204" s="4"/>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4">
      <c r="A205" s="4"/>
      <c r="B205" s="4"/>
      <c r="C205" s="4"/>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4">
      <c r="A206" s="4"/>
      <c r="B206" s="4"/>
      <c r="C206" s="4"/>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4">
      <c r="A207" s="4"/>
      <c r="B207" s="4"/>
      <c r="C207" s="4"/>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4">
      <c r="A208" s="4"/>
      <c r="B208" s="4"/>
      <c r="C208" s="4"/>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4">
      <c r="A209" s="4"/>
      <c r="B209" s="4"/>
      <c r="C209" s="4"/>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4">
      <c r="A210" s="4"/>
      <c r="B210" s="4"/>
      <c r="C210" s="4"/>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4">
      <c r="A211" s="4"/>
      <c r="B211" s="4"/>
      <c r="C211" s="4"/>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4">
      <c r="A212" s="4"/>
      <c r="B212" s="4"/>
      <c r="C212" s="4"/>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4">
      <c r="A213" s="4"/>
      <c r="B213" s="4"/>
      <c r="C213" s="4"/>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4">
      <c r="A214" s="4"/>
      <c r="B214" s="4"/>
      <c r="C214" s="4"/>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4">
      <c r="A215" s="4"/>
      <c r="B215" s="4"/>
      <c r="C215" s="4"/>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4">
      <c r="A216" s="4"/>
      <c r="B216" s="4"/>
      <c r="C216" s="4"/>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4">
      <c r="A217" s="4"/>
      <c r="B217" s="4"/>
      <c r="C217" s="4"/>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4">
      <c r="A218" s="4"/>
      <c r="B218" s="4"/>
      <c r="C218" s="4"/>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4">
      <c r="A219" s="4"/>
      <c r="B219" s="4"/>
      <c r="C219" s="4"/>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4">
      <c r="A220" s="4"/>
      <c r="B220" s="4"/>
      <c r="C220" s="4"/>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4">
      <c r="A221" s="4"/>
      <c r="B221" s="4"/>
      <c r="C221" s="4"/>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4">
      <c r="A222" s="4"/>
      <c r="B222" s="4"/>
      <c r="C222" s="4"/>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4">
      <c r="A223" s="4"/>
      <c r="B223" s="4"/>
      <c r="C223" s="4"/>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4">
      <c r="A224" s="4"/>
      <c r="B224" s="4"/>
      <c r="C224" s="4"/>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4">
      <c r="A225" s="4"/>
      <c r="B225" s="4"/>
      <c r="C225" s="4"/>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4">
      <c r="A226" s="4"/>
      <c r="B226" s="4"/>
      <c r="C226" s="4"/>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4">
      <c r="A227" s="4"/>
      <c r="B227" s="4"/>
      <c r="C227" s="4"/>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4">
      <c r="A228" s="4"/>
      <c r="B228" s="4"/>
      <c r="C228" s="4"/>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4">
      <c r="A229" s="4"/>
      <c r="B229" s="4"/>
      <c r="C229" s="4"/>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4">
      <c r="A230" s="4"/>
      <c r="B230" s="4"/>
      <c r="C230" s="4"/>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4">
      <c r="A231" s="4"/>
      <c r="B231" s="4"/>
      <c r="C231" s="4"/>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4">
      <c r="A232" s="4"/>
      <c r="B232" s="4"/>
      <c r="C232" s="4"/>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4">
      <c r="A233" s="4"/>
      <c r="B233" s="4"/>
      <c r="C233" s="4"/>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4">
      <c r="A234" s="4"/>
      <c r="B234" s="4"/>
      <c r="C234" s="4"/>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4">
      <c r="A235" s="4"/>
      <c r="B235" s="4"/>
      <c r="C235" s="4"/>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4">
      <c r="A236" s="4"/>
      <c r="B236" s="4"/>
      <c r="C236" s="4"/>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4">
      <c r="A237" s="4"/>
      <c r="B237" s="4"/>
      <c r="C237" s="4"/>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4">
      <c r="A238" s="4"/>
      <c r="B238" s="4"/>
      <c r="C238" s="4"/>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4">
      <c r="A239" s="4"/>
      <c r="B239" s="4"/>
      <c r="C239" s="4"/>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4">
      <c r="A240" s="4"/>
      <c r="B240" s="4"/>
      <c r="C240" s="4"/>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4">
      <c r="A241" s="4"/>
      <c r="B241" s="4"/>
      <c r="C241" s="4"/>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4">
      <c r="A242" s="4"/>
      <c r="B242" s="4"/>
      <c r="C242" s="4"/>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4">
      <c r="A243" s="4"/>
      <c r="B243" s="4"/>
      <c r="C243" s="4"/>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4">
      <c r="A244" s="4"/>
      <c r="B244" s="4"/>
      <c r="C244" s="4"/>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4">
      <c r="A245" s="4"/>
      <c r="B245" s="4"/>
      <c r="C245" s="4"/>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4">
      <c r="A246" s="4"/>
      <c r="B246" s="4"/>
      <c r="C246" s="4"/>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4">
      <c r="A247" s="4"/>
      <c r="B247" s="4"/>
      <c r="C247" s="4"/>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4">
      <c r="A248" s="4"/>
      <c r="B248" s="4"/>
      <c r="C248" s="4"/>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4">
      <c r="A249" s="4"/>
      <c r="B249" s="4"/>
      <c r="C249" s="4"/>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4">
      <c r="A250" s="4"/>
      <c r="B250" s="4"/>
      <c r="C250" s="4"/>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4">
      <c r="A251" s="4"/>
      <c r="B251" s="4"/>
      <c r="C251" s="4"/>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4">
      <c r="A252" s="4"/>
      <c r="B252" s="4"/>
      <c r="C252" s="4"/>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4">
      <c r="A253" s="4"/>
      <c r="B253" s="4"/>
      <c r="C253" s="4"/>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4">
      <c r="A254" s="4"/>
      <c r="B254" s="4"/>
      <c r="C254" s="4"/>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4">
      <c r="A255" s="4"/>
      <c r="B255" s="4"/>
      <c r="C255" s="4"/>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4">
      <c r="A256" s="4"/>
      <c r="B256" s="4"/>
      <c r="C256" s="4"/>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4">
      <c r="A257" s="4"/>
      <c r="B257" s="4"/>
      <c r="C257" s="4"/>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4">
      <c r="A258" s="4"/>
      <c r="B258" s="4"/>
      <c r="C258" s="4"/>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4">
      <c r="A259" s="4"/>
      <c r="B259" s="4"/>
      <c r="C259" s="4"/>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4">
      <c r="A260" s="4"/>
      <c r="B260" s="4"/>
      <c r="C260" s="4"/>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4">
      <c r="A261" s="4"/>
      <c r="B261" s="4"/>
      <c r="C261" s="4"/>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4">
      <c r="A262" s="4"/>
      <c r="B262" s="4"/>
      <c r="C262" s="4"/>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4">
      <c r="A263" s="4"/>
      <c r="B263" s="4"/>
      <c r="C263" s="4"/>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4">
      <c r="A264" s="4"/>
      <c r="B264" s="4"/>
      <c r="C264" s="4"/>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4">
      <c r="A265" s="4"/>
      <c r="B265" s="4"/>
      <c r="C265" s="4"/>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4">
      <c r="A266" s="4"/>
      <c r="B266" s="4"/>
      <c r="C266" s="4"/>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4">
      <c r="A267" s="4"/>
      <c r="B267" s="4"/>
      <c r="C267" s="4"/>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4">
      <c r="A268" s="4"/>
      <c r="B268" s="4"/>
      <c r="C268" s="4"/>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4">
      <c r="A269" s="4"/>
      <c r="B269" s="4"/>
      <c r="C269" s="4"/>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4">
      <c r="A270" s="4"/>
      <c r="B270" s="4"/>
      <c r="C270" s="4"/>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4">
      <c r="A271" s="4"/>
      <c r="B271" s="4"/>
      <c r="C271" s="4"/>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4">
      <c r="A272" s="4"/>
      <c r="B272" s="4"/>
      <c r="C272" s="4"/>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4">
      <c r="A273" s="4"/>
      <c r="B273" s="4"/>
      <c r="C273" s="4"/>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4">
      <c r="A274" s="4"/>
      <c r="B274" s="4"/>
      <c r="C274" s="4"/>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4">
      <c r="A275" s="4"/>
      <c r="B275" s="4"/>
      <c r="C275" s="4"/>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4">
      <c r="A276" s="4"/>
      <c r="B276" s="4"/>
      <c r="C276" s="4"/>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4">
      <c r="A277" s="4"/>
      <c r="B277" s="4"/>
      <c r="C277" s="4"/>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4">
      <c r="A278" s="4"/>
      <c r="B278" s="4"/>
      <c r="C278" s="4"/>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4">
      <c r="A279" s="4"/>
      <c r="B279" s="4"/>
      <c r="C279" s="4"/>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4">
      <c r="A280" s="4"/>
      <c r="B280" s="4"/>
      <c r="C280" s="4"/>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4">
      <c r="A281" s="4"/>
      <c r="B281" s="4"/>
      <c r="C281" s="4"/>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4">
      <c r="A282" s="4"/>
      <c r="B282" s="4"/>
      <c r="C282" s="4"/>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4">
      <c r="A283" s="4"/>
      <c r="B283" s="4"/>
      <c r="C283" s="4"/>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4">
      <c r="A284" s="4"/>
      <c r="B284" s="4"/>
      <c r="C284" s="4"/>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4">
      <c r="A285" s="4"/>
      <c r="B285" s="4"/>
      <c r="C285" s="4"/>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4">
      <c r="A286" s="4"/>
      <c r="B286" s="4"/>
      <c r="C286" s="4"/>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4">
      <c r="A287" s="4"/>
      <c r="B287" s="4"/>
      <c r="C287" s="4"/>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4">
      <c r="A288" s="4"/>
      <c r="B288" s="4"/>
      <c r="C288" s="4"/>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4">
      <c r="A289" s="4"/>
      <c r="B289" s="4"/>
      <c r="C289" s="4"/>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4">
      <c r="A290" s="4"/>
      <c r="B290" s="4"/>
      <c r="C290" s="4"/>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4">
      <c r="A291" s="4"/>
      <c r="B291" s="4"/>
      <c r="C291" s="4"/>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4">
      <c r="A292" s="4"/>
      <c r="B292" s="4"/>
      <c r="C292" s="4"/>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4">
      <c r="A293" s="4"/>
      <c r="B293" s="4"/>
      <c r="C293" s="4"/>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4">
      <c r="A294" s="4"/>
      <c r="B294" s="4"/>
      <c r="C294" s="4"/>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4">
      <c r="A295" s="4"/>
      <c r="B295" s="4"/>
      <c r="C295" s="4"/>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4">
      <c r="A296" s="4"/>
      <c r="B296" s="4"/>
      <c r="C296" s="4"/>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4">
      <c r="A297" s="4"/>
      <c r="B297" s="4"/>
      <c r="C297" s="4"/>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4">
      <c r="A298" s="4"/>
      <c r="B298" s="4"/>
      <c r="C298" s="4"/>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4">
      <c r="A299" s="4"/>
      <c r="B299" s="4"/>
      <c r="C299" s="4"/>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4">
      <c r="A300" s="4"/>
      <c r="B300" s="4"/>
      <c r="C300" s="4"/>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4">
      <c r="A301" s="4"/>
      <c r="B301" s="4"/>
      <c r="C301" s="4"/>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4">
      <c r="A302" s="4"/>
      <c r="B302" s="4"/>
      <c r="C302" s="4"/>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4">
      <c r="A303" s="4"/>
      <c r="B303" s="4"/>
      <c r="C303" s="4"/>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4">
      <c r="A304" s="4"/>
      <c r="B304" s="4"/>
      <c r="C304" s="4"/>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4">
      <c r="A305" s="4"/>
      <c r="B305" s="4"/>
      <c r="C305" s="4"/>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4">
      <c r="A306" s="4"/>
      <c r="B306" s="4"/>
      <c r="C306" s="4"/>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4">
      <c r="A307" s="4"/>
      <c r="B307" s="4"/>
      <c r="C307" s="4"/>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4">
      <c r="A308" s="4"/>
      <c r="B308" s="4"/>
      <c r="C308" s="4"/>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4">
      <c r="A309" s="4"/>
      <c r="B309" s="4"/>
      <c r="C309" s="4"/>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4">
      <c r="A310" s="4"/>
      <c r="B310" s="4"/>
      <c r="C310" s="4"/>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4">
      <c r="A311" s="4"/>
      <c r="B311" s="4"/>
      <c r="C311" s="4"/>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4">
      <c r="A312" s="4"/>
      <c r="B312" s="4"/>
      <c r="C312" s="4"/>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4">
      <c r="A313" s="4"/>
      <c r="B313" s="4"/>
      <c r="C313" s="4"/>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4">
      <c r="A314" s="4"/>
      <c r="B314" s="4"/>
      <c r="C314" s="4"/>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4">
      <c r="A315" s="4"/>
      <c r="B315" s="4"/>
      <c r="C315" s="4"/>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4">
      <c r="A316" s="4"/>
      <c r="B316" s="4"/>
      <c r="C316" s="4"/>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4">
      <c r="A317" s="4"/>
      <c r="B317" s="4"/>
      <c r="C317" s="4"/>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4">
      <c r="A318" s="4"/>
      <c r="B318" s="4"/>
      <c r="C318" s="4"/>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4">
      <c r="A319" s="4"/>
      <c r="B319" s="4"/>
      <c r="C319" s="4"/>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4">
      <c r="A320" s="4"/>
      <c r="B320" s="4"/>
      <c r="C320" s="4"/>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4">
      <c r="A321" s="4"/>
      <c r="B321" s="4"/>
      <c r="C321" s="4"/>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4">
      <c r="A322" s="4"/>
      <c r="B322" s="4"/>
      <c r="C322" s="4"/>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4">
      <c r="A323" s="4"/>
      <c r="B323" s="4"/>
      <c r="C323" s="4"/>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4">
      <c r="A324" s="4"/>
      <c r="B324" s="4"/>
      <c r="C324" s="4"/>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4">
      <c r="A325" s="4"/>
      <c r="B325" s="4"/>
      <c r="C325" s="4"/>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4">
      <c r="A326" s="4"/>
      <c r="B326" s="4"/>
      <c r="C326" s="4"/>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4">
      <c r="A327" s="4"/>
      <c r="B327" s="4"/>
      <c r="C327" s="4"/>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4">
      <c r="A328" s="4"/>
      <c r="B328" s="4"/>
      <c r="C328" s="4"/>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4">
      <c r="A329" s="4"/>
      <c r="B329" s="4"/>
      <c r="C329" s="4"/>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4">
      <c r="A330" s="4"/>
      <c r="B330" s="4"/>
      <c r="C330" s="4"/>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4">
      <c r="A331" s="4"/>
      <c r="B331" s="4"/>
      <c r="C331" s="4"/>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4">
      <c r="A332" s="4"/>
      <c r="B332" s="4"/>
      <c r="C332" s="4"/>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4">
      <c r="A333" s="4"/>
      <c r="B333" s="4"/>
      <c r="C333" s="4"/>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4">
      <c r="A334" s="4"/>
      <c r="B334" s="4"/>
      <c r="C334" s="4"/>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4">
      <c r="A335" s="4"/>
      <c r="B335" s="4"/>
      <c r="C335" s="4"/>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4">
      <c r="A336" s="4"/>
      <c r="B336" s="4"/>
      <c r="C336" s="4"/>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4">
      <c r="A337" s="4"/>
      <c r="B337" s="4"/>
      <c r="C337" s="4"/>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4">
      <c r="A338" s="4"/>
      <c r="B338" s="4"/>
      <c r="C338" s="4"/>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4">
      <c r="A339" s="4"/>
      <c r="B339" s="4"/>
      <c r="C339" s="4"/>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4">
      <c r="A340" s="4"/>
      <c r="B340" s="4"/>
      <c r="C340" s="4"/>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4">
      <c r="A341" s="4"/>
      <c r="B341" s="4"/>
      <c r="C341" s="4"/>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4">
      <c r="A342" s="4"/>
      <c r="B342" s="4"/>
      <c r="C342" s="4"/>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4">
      <c r="A343" s="4"/>
      <c r="B343" s="4"/>
      <c r="C343" s="4"/>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4">
      <c r="A344" s="4"/>
      <c r="B344" s="4"/>
      <c r="C344" s="4"/>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4">
      <c r="A345" s="4"/>
      <c r="B345" s="4"/>
      <c r="C345" s="4"/>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4">
      <c r="A346" s="4"/>
      <c r="B346" s="4"/>
      <c r="C346" s="4"/>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4">
      <c r="A347" s="4"/>
      <c r="B347" s="4"/>
      <c r="C347" s="4"/>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4">
      <c r="A348" s="4"/>
      <c r="B348" s="4"/>
      <c r="C348" s="4"/>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4">
      <c r="A349" s="4"/>
      <c r="B349" s="4"/>
      <c r="C349" s="4"/>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4">
      <c r="A350" s="4"/>
      <c r="B350" s="4"/>
      <c r="C350" s="4"/>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4">
      <c r="A351" s="4"/>
      <c r="B351" s="4"/>
      <c r="C351" s="4"/>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4">
      <c r="A352" s="4"/>
      <c r="B352" s="4"/>
      <c r="C352" s="4"/>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4">
      <c r="A353" s="4"/>
      <c r="B353" s="4"/>
      <c r="C353" s="4"/>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4">
      <c r="A354" s="4"/>
      <c r="B354" s="4"/>
      <c r="C354" s="4"/>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4">
      <c r="A355" s="4"/>
      <c r="B355" s="4"/>
      <c r="C355" s="4"/>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4">
      <c r="A356" s="4"/>
      <c r="B356" s="4"/>
      <c r="C356" s="4"/>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4">
      <c r="A357" s="4"/>
      <c r="B357" s="4"/>
      <c r="C357" s="4"/>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4">
      <c r="A358" s="4"/>
      <c r="B358" s="4"/>
      <c r="C358" s="4"/>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4">
      <c r="A359" s="4"/>
      <c r="B359" s="4"/>
      <c r="C359" s="4"/>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4">
      <c r="A360" s="4"/>
      <c r="B360" s="4"/>
      <c r="C360" s="4"/>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4">
      <c r="A361" s="4"/>
      <c r="B361" s="4"/>
      <c r="C361" s="4"/>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4">
      <c r="A362" s="4"/>
      <c r="B362" s="4"/>
      <c r="C362" s="4"/>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4">
      <c r="A363" s="4"/>
      <c r="B363" s="4"/>
      <c r="C363" s="4"/>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4">
      <c r="A364" s="4"/>
      <c r="B364" s="4"/>
      <c r="C364" s="4"/>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4">
      <c r="A365" s="4"/>
      <c r="B365" s="4"/>
      <c r="C365" s="4"/>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4">
      <c r="A366" s="4"/>
      <c r="B366" s="4"/>
      <c r="C366" s="4"/>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4">
      <c r="A367" s="4"/>
      <c r="B367" s="4"/>
      <c r="C367" s="4"/>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4">
      <c r="A368" s="4"/>
      <c r="B368" s="4"/>
      <c r="C368" s="4"/>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4">
      <c r="A369" s="4"/>
      <c r="B369" s="4"/>
      <c r="C369" s="4"/>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4">
      <c r="A370" s="4"/>
      <c r="B370" s="4"/>
      <c r="C370" s="4"/>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4">
      <c r="A371" s="4"/>
      <c r="B371" s="4"/>
      <c r="C371" s="4"/>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4">
      <c r="A372" s="4"/>
      <c r="B372" s="4"/>
      <c r="C372" s="4"/>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4">
      <c r="A373" s="4"/>
      <c r="B373" s="4"/>
      <c r="C373" s="4"/>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4">
      <c r="A374" s="4"/>
      <c r="B374" s="4"/>
      <c r="C374" s="4"/>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4">
      <c r="A375" s="4"/>
      <c r="B375" s="4"/>
      <c r="C375" s="4"/>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4">
      <c r="A376" s="4"/>
      <c r="B376" s="4"/>
      <c r="C376" s="4"/>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4">
      <c r="A377" s="4"/>
      <c r="B377" s="4"/>
      <c r="C377" s="4"/>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4">
      <c r="A378" s="4"/>
      <c r="B378" s="4"/>
      <c r="C378" s="4"/>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4">
      <c r="A379" s="4"/>
      <c r="B379" s="4"/>
      <c r="C379" s="4"/>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4">
      <c r="A380" s="4"/>
      <c r="B380" s="4"/>
      <c r="C380" s="4"/>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4">
      <c r="A381" s="4"/>
      <c r="B381" s="4"/>
      <c r="C381" s="4"/>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4">
      <c r="A382" s="4"/>
      <c r="B382" s="4"/>
      <c r="C382" s="4"/>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4">
      <c r="A383" s="4"/>
      <c r="B383" s="4"/>
      <c r="C383" s="4"/>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4">
      <c r="A384" s="4"/>
      <c r="B384" s="4"/>
      <c r="C384" s="4"/>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4">
      <c r="A385" s="4"/>
      <c r="B385" s="4"/>
      <c r="C385" s="4"/>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4">
      <c r="A386" s="4"/>
      <c r="B386" s="4"/>
      <c r="C386" s="4"/>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4">
      <c r="A387" s="4"/>
      <c r="B387" s="4"/>
      <c r="C387" s="4"/>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4">
      <c r="A388" s="4"/>
      <c r="B388" s="4"/>
      <c r="C388" s="4"/>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4">
      <c r="A389" s="4"/>
      <c r="B389" s="4"/>
      <c r="C389" s="4"/>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4">
      <c r="A390" s="4"/>
      <c r="B390" s="4"/>
      <c r="C390" s="4"/>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4">
      <c r="A391" s="4"/>
      <c r="B391" s="4"/>
      <c r="C391" s="4"/>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4">
      <c r="A392" s="4"/>
      <c r="B392" s="4"/>
      <c r="C392" s="4"/>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4">
      <c r="A393" s="4"/>
      <c r="B393" s="4"/>
      <c r="C393" s="4"/>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4">
      <c r="A394" s="4"/>
      <c r="B394" s="4"/>
      <c r="C394" s="4"/>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4">
      <c r="A395" s="4"/>
      <c r="B395" s="4"/>
      <c r="C395" s="4"/>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4">
      <c r="A396" s="4"/>
      <c r="B396" s="4"/>
      <c r="C396" s="4"/>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4">
      <c r="A397" s="4"/>
      <c r="B397" s="4"/>
      <c r="C397" s="4"/>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4">
      <c r="A398" s="4"/>
      <c r="B398" s="4"/>
      <c r="C398" s="4"/>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4">
      <c r="A399" s="4"/>
      <c r="B399" s="4"/>
      <c r="C399" s="4"/>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4">
      <c r="A400" s="4"/>
      <c r="B400" s="4"/>
      <c r="C400" s="4"/>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4">
      <c r="A401" s="4"/>
      <c r="B401" s="4"/>
      <c r="C401" s="4"/>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4">
      <c r="A402" s="4"/>
      <c r="B402" s="4"/>
      <c r="C402" s="4"/>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4">
      <c r="A403" s="4"/>
      <c r="B403" s="4"/>
      <c r="C403" s="4"/>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4">
      <c r="A404" s="4"/>
      <c r="B404" s="4"/>
      <c r="C404" s="4"/>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4">
      <c r="A405" s="4"/>
      <c r="B405" s="4"/>
      <c r="C405" s="4"/>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4">
      <c r="A406" s="4"/>
      <c r="B406" s="4"/>
      <c r="C406" s="4"/>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4">
      <c r="A407" s="4"/>
      <c r="B407" s="4"/>
      <c r="C407" s="4"/>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4">
      <c r="A408" s="4"/>
      <c r="B408" s="4"/>
      <c r="C408" s="4"/>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4">
      <c r="A409" s="4"/>
      <c r="B409" s="4"/>
      <c r="C409" s="4"/>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4">
      <c r="A410" s="4"/>
      <c r="B410" s="4"/>
      <c r="C410" s="4"/>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4">
      <c r="A411" s="4"/>
      <c r="B411" s="4"/>
      <c r="C411" s="4"/>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4">
      <c r="A412" s="4"/>
      <c r="B412" s="4"/>
      <c r="C412" s="4"/>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4">
      <c r="A413" s="4"/>
      <c r="B413" s="4"/>
      <c r="C413" s="4"/>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4">
      <c r="A414" s="4"/>
      <c r="B414" s="4"/>
      <c r="C414" s="4"/>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4">
      <c r="A415" s="4"/>
      <c r="B415" s="4"/>
      <c r="C415" s="4"/>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4">
      <c r="A416" s="4"/>
      <c r="B416" s="4"/>
      <c r="C416" s="4"/>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4">
      <c r="A417" s="4"/>
      <c r="B417" s="4"/>
      <c r="C417" s="4"/>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4">
      <c r="A418" s="4"/>
      <c r="B418" s="4"/>
      <c r="C418" s="4"/>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4">
      <c r="A419" s="4"/>
      <c r="B419" s="4"/>
      <c r="C419" s="4"/>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4">
      <c r="A420" s="4"/>
      <c r="B420" s="4"/>
      <c r="C420" s="4"/>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4">
      <c r="A421" s="4"/>
      <c r="B421" s="4"/>
      <c r="C421" s="4"/>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4">
      <c r="A422" s="4"/>
      <c r="B422" s="4"/>
      <c r="C422" s="4"/>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4">
      <c r="A423" s="4"/>
      <c r="B423" s="4"/>
      <c r="C423" s="4"/>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4">
      <c r="A424" s="4"/>
      <c r="B424" s="4"/>
      <c r="C424" s="4"/>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4">
      <c r="A425" s="4"/>
      <c r="B425" s="4"/>
      <c r="C425" s="4"/>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4">
      <c r="A426" s="4"/>
      <c r="B426" s="4"/>
      <c r="C426" s="4"/>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4">
      <c r="A427" s="4"/>
      <c r="B427" s="4"/>
      <c r="C427" s="4"/>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4">
      <c r="A428" s="4"/>
      <c r="B428" s="4"/>
      <c r="C428" s="4"/>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4">
      <c r="A429" s="4"/>
      <c r="B429" s="4"/>
      <c r="C429" s="4"/>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4">
      <c r="A430" s="4"/>
      <c r="B430" s="4"/>
      <c r="C430" s="4"/>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4">
      <c r="A431" s="4"/>
      <c r="B431" s="4"/>
      <c r="C431" s="4"/>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4">
      <c r="A432" s="4"/>
      <c r="B432" s="4"/>
      <c r="C432" s="4"/>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4">
      <c r="A433" s="4"/>
      <c r="B433" s="4"/>
      <c r="C433" s="4"/>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4">
      <c r="A434" s="4"/>
      <c r="B434" s="4"/>
      <c r="C434" s="4"/>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4">
      <c r="A435" s="4"/>
      <c r="B435" s="4"/>
      <c r="C435" s="4"/>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4">
      <c r="A436" s="4"/>
      <c r="B436" s="4"/>
      <c r="C436" s="4"/>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4">
      <c r="A437" s="4"/>
      <c r="B437" s="4"/>
      <c r="C437" s="4"/>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4">
      <c r="A438" s="4"/>
      <c r="B438" s="4"/>
      <c r="C438" s="4"/>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4">
      <c r="A439" s="4"/>
      <c r="B439" s="4"/>
      <c r="C439" s="4"/>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4">
      <c r="A440" s="4"/>
      <c r="B440" s="4"/>
      <c r="C440" s="4"/>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4">
      <c r="A441" s="4"/>
      <c r="B441" s="4"/>
      <c r="C441" s="4"/>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4">
      <c r="A442" s="4"/>
      <c r="B442" s="4"/>
      <c r="C442" s="4"/>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4">
      <c r="A443" s="4"/>
      <c r="B443" s="4"/>
      <c r="C443" s="4"/>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4">
      <c r="A444" s="4"/>
      <c r="B444" s="4"/>
      <c r="C444" s="4"/>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4">
      <c r="A445" s="4"/>
      <c r="B445" s="4"/>
      <c r="C445" s="4"/>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4">
      <c r="A446" s="4"/>
      <c r="B446" s="4"/>
      <c r="C446" s="4"/>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4">
      <c r="A447" s="4"/>
      <c r="B447" s="4"/>
      <c r="C447" s="4"/>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4">
      <c r="A448" s="4"/>
      <c r="B448" s="4"/>
      <c r="C448" s="4"/>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4">
      <c r="A449" s="4"/>
      <c r="B449" s="4"/>
      <c r="C449" s="4"/>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4">
      <c r="A450" s="4"/>
      <c r="B450" s="4"/>
      <c r="C450" s="4"/>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4">
      <c r="A451" s="4"/>
      <c r="B451" s="4"/>
      <c r="C451" s="4"/>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4">
      <c r="A452" s="4"/>
      <c r="B452" s="4"/>
      <c r="C452" s="4"/>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4">
      <c r="A453" s="4"/>
      <c r="B453" s="4"/>
      <c r="C453" s="4"/>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4">
      <c r="A454" s="4"/>
      <c r="B454" s="4"/>
      <c r="C454" s="4"/>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4">
      <c r="A455" s="4"/>
      <c r="B455" s="4"/>
      <c r="C455" s="4"/>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4">
      <c r="A456" s="4"/>
      <c r="B456" s="4"/>
      <c r="C456" s="4"/>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4">
      <c r="A457" s="4"/>
      <c r="B457" s="4"/>
      <c r="C457" s="4"/>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4">
      <c r="A458" s="4"/>
      <c r="B458" s="4"/>
      <c r="C458" s="4"/>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4">
      <c r="A459" s="4"/>
      <c r="B459" s="4"/>
      <c r="C459" s="4"/>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4">
      <c r="A460" s="4"/>
      <c r="B460" s="4"/>
      <c r="C460" s="4"/>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4">
      <c r="A461" s="4"/>
      <c r="B461" s="4"/>
      <c r="C461" s="4"/>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4">
      <c r="A462" s="4"/>
      <c r="B462" s="4"/>
      <c r="C462" s="4"/>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4">
      <c r="A463" s="4"/>
      <c r="B463" s="4"/>
      <c r="C463" s="4"/>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4">
      <c r="A464" s="4"/>
      <c r="B464" s="4"/>
      <c r="C464" s="4"/>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4">
      <c r="A465" s="4"/>
      <c r="B465" s="4"/>
      <c r="C465" s="4"/>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4">
      <c r="A466" s="4"/>
      <c r="B466" s="4"/>
      <c r="C466" s="4"/>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4">
      <c r="A467" s="4"/>
      <c r="B467" s="4"/>
      <c r="C467" s="4"/>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4">
      <c r="A468" s="4"/>
      <c r="B468" s="4"/>
      <c r="C468" s="4"/>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4">
      <c r="A469" s="4"/>
      <c r="B469" s="4"/>
      <c r="C469" s="4"/>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4">
      <c r="A470" s="4"/>
      <c r="B470" s="4"/>
      <c r="C470" s="4"/>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4">
      <c r="A471" s="4"/>
      <c r="B471" s="4"/>
      <c r="C471" s="4"/>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4">
      <c r="A472" s="4"/>
      <c r="B472" s="4"/>
      <c r="C472" s="4"/>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4">
      <c r="A473" s="4"/>
      <c r="B473" s="4"/>
      <c r="C473" s="4"/>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4">
      <c r="A474" s="4"/>
      <c r="B474" s="4"/>
      <c r="C474" s="4"/>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4">
      <c r="A475" s="4"/>
      <c r="B475" s="4"/>
      <c r="C475" s="4"/>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4">
      <c r="A476" s="4"/>
      <c r="B476" s="4"/>
      <c r="C476" s="4"/>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4">
      <c r="A477" s="4"/>
      <c r="B477" s="4"/>
      <c r="C477" s="4"/>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4">
      <c r="A478" s="4"/>
      <c r="B478" s="4"/>
      <c r="C478" s="4"/>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4">
      <c r="A479" s="4"/>
      <c r="B479" s="4"/>
      <c r="C479" s="4"/>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4">
      <c r="A480" s="4"/>
      <c r="B480" s="4"/>
      <c r="C480" s="4"/>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4">
      <c r="A481" s="4"/>
      <c r="B481" s="4"/>
      <c r="C481" s="4"/>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4">
      <c r="A482" s="4"/>
      <c r="B482" s="4"/>
      <c r="C482" s="4"/>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4">
      <c r="A483" s="4"/>
      <c r="B483" s="4"/>
      <c r="C483" s="4"/>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4">
      <c r="A484" s="4"/>
      <c r="B484" s="4"/>
      <c r="C484" s="4"/>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4">
      <c r="A485" s="4"/>
      <c r="B485" s="4"/>
      <c r="C485" s="4"/>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4">
      <c r="A486" s="4"/>
      <c r="B486" s="4"/>
      <c r="C486" s="4"/>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4">
      <c r="A487" s="4"/>
      <c r="B487" s="4"/>
      <c r="C487" s="4"/>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4">
      <c r="A488" s="4"/>
      <c r="B488" s="4"/>
      <c r="C488" s="4"/>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4">
      <c r="A489" s="4"/>
      <c r="B489" s="4"/>
      <c r="C489" s="4"/>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4">
      <c r="A490" s="4"/>
      <c r="B490" s="4"/>
      <c r="C490" s="4"/>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4">
      <c r="A491" s="4"/>
      <c r="B491" s="4"/>
      <c r="C491" s="4"/>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4">
      <c r="A492" s="4"/>
      <c r="B492" s="4"/>
      <c r="C492" s="4"/>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4">
      <c r="A493" s="4"/>
      <c r="B493" s="4"/>
      <c r="C493" s="4"/>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4">
      <c r="A494" s="4"/>
      <c r="B494" s="4"/>
      <c r="C494" s="4"/>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4">
      <c r="A495" s="4"/>
      <c r="B495" s="4"/>
      <c r="C495" s="4"/>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4">
      <c r="A496" s="4"/>
      <c r="B496" s="4"/>
      <c r="C496" s="4"/>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4">
      <c r="A497" s="4"/>
      <c r="B497" s="4"/>
      <c r="C497" s="4"/>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4">
      <c r="A498" s="4"/>
      <c r="B498" s="4"/>
      <c r="C498" s="4"/>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4">
      <c r="A499" s="4"/>
      <c r="B499" s="4"/>
      <c r="C499" s="4"/>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4">
      <c r="A500" s="4"/>
      <c r="B500" s="4"/>
      <c r="C500" s="4"/>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4">
      <c r="A501" s="4"/>
      <c r="B501" s="4"/>
      <c r="C501" s="4"/>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4">
      <c r="A502" s="4"/>
      <c r="B502" s="4"/>
      <c r="C502" s="4"/>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4">
      <c r="A503" s="4"/>
      <c r="B503" s="4"/>
      <c r="C503" s="4"/>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4">
      <c r="A504" s="4"/>
      <c r="B504" s="4"/>
      <c r="C504" s="4"/>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4">
      <c r="A505" s="4"/>
      <c r="B505" s="4"/>
      <c r="C505" s="4"/>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4">
      <c r="A506" s="4"/>
      <c r="B506" s="4"/>
      <c r="C506" s="4"/>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4">
      <c r="A507" s="4"/>
      <c r="B507" s="4"/>
      <c r="C507" s="4"/>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4">
      <c r="A508" s="4"/>
      <c r="B508" s="4"/>
      <c r="C508" s="4"/>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4">
      <c r="A509" s="4"/>
      <c r="B509" s="4"/>
      <c r="C509" s="4"/>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4">
      <c r="A510" s="4"/>
      <c r="B510" s="4"/>
      <c r="C510" s="4"/>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4">
      <c r="A511" s="4"/>
      <c r="B511" s="4"/>
      <c r="C511" s="4"/>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4">
      <c r="A512" s="4"/>
      <c r="B512" s="4"/>
      <c r="C512" s="4"/>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4">
      <c r="A513" s="4"/>
      <c r="B513" s="4"/>
      <c r="C513" s="4"/>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4">
      <c r="A514" s="4"/>
      <c r="B514" s="4"/>
      <c r="C514" s="4"/>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4">
      <c r="A515" s="4"/>
      <c r="B515" s="4"/>
      <c r="C515" s="4"/>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4">
      <c r="A516" s="4"/>
      <c r="B516" s="4"/>
      <c r="C516" s="4"/>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4">
      <c r="A517" s="4"/>
      <c r="B517" s="4"/>
      <c r="C517" s="4"/>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4">
      <c r="A518" s="4"/>
      <c r="B518" s="4"/>
      <c r="C518" s="4"/>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4">
      <c r="A519" s="4"/>
      <c r="B519" s="4"/>
      <c r="C519" s="4"/>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4">
      <c r="A520" s="4"/>
      <c r="B520" s="4"/>
      <c r="C520" s="4"/>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4">
      <c r="A521" s="4"/>
      <c r="B521" s="4"/>
      <c r="C521" s="4"/>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4">
      <c r="A522" s="4"/>
      <c r="B522" s="4"/>
      <c r="C522" s="4"/>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4">
      <c r="A523" s="4"/>
      <c r="B523" s="4"/>
      <c r="C523" s="4"/>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4">
      <c r="A524" s="4"/>
      <c r="B524" s="4"/>
      <c r="C524" s="4"/>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4">
      <c r="A525" s="4"/>
      <c r="B525" s="4"/>
      <c r="C525" s="4"/>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4">
      <c r="A526" s="4"/>
      <c r="B526" s="4"/>
      <c r="C526" s="4"/>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4">
      <c r="A527" s="4"/>
      <c r="B527" s="4"/>
      <c r="C527" s="4"/>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4">
      <c r="A528" s="4"/>
      <c r="B528" s="4"/>
      <c r="C528" s="4"/>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4">
      <c r="A529" s="4"/>
      <c r="B529" s="4"/>
      <c r="C529" s="4"/>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4">
      <c r="A530" s="4"/>
      <c r="B530" s="4"/>
      <c r="C530" s="4"/>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4">
      <c r="A531" s="4"/>
      <c r="B531" s="4"/>
      <c r="C531" s="4"/>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4">
      <c r="A532" s="4"/>
      <c r="B532" s="4"/>
      <c r="C532" s="4"/>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4">
      <c r="A533" s="4"/>
      <c r="B533" s="4"/>
      <c r="C533" s="4"/>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4">
      <c r="A534" s="4"/>
      <c r="B534" s="4"/>
      <c r="C534" s="4"/>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4">
      <c r="A535" s="4"/>
      <c r="B535" s="4"/>
      <c r="C535" s="4"/>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4">
      <c r="A536" s="4"/>
      <c r="B536" s="4"/>
      <c r="C536" s="4"/>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4">
      <c r="A537" s="4"/>
      <c r="B537" s="4"/>
      <c r="C537" s="4"/>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4">
      <c r="A538" s="4"/>
      <c r="B538" s="4"/>
      <c r="C538" s="4"/>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4">
      <c r="A539" s="4"/>
      <c r="B539" s="4"/>
      <c r="C539" s="4"/>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4">
      <c r="A540" s="4"/>
      <c r="B540" s="4"/>
      <c r="C540" s="4"/>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4">
      <c r="A541" s="4"/>
      <c r="B541" s="4"/>
      <c r="C541" s="4"/>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4">
      <c r="A542" s="4"/>
      <c r="B542" s="4"/>
      <c r="C542" s="4"/>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4">
      <c r="A543" s="4"/>
      <c r="B543" s="4"/>
      <c r="C543" s="4"/>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4">
      <c r="A544" s="4"/>
      <c r="B544" s="4"/>
      <c r="C544" s="4"/>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4">
      <c r="A545" s="4"/>
      <c r="B545" s="4"/>
      <c r="C545" s="4"/>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4">
      <c r="A546" s="4"/>
      <c r="B546" s="4"/>
      <c r="C546" s="4"/>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4">
      <c r="A547" s="4"/>
      <c r="B547" s="4"/>
      <c r="C547" s="4"/>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4">
      <c r="A548" s="4"/>
      <c r="B548" s="4"/>
      <c r="C548" s="4"/>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4">
      <c r="A549" s="4"/>
      <c r="B549" s="4"/>
      <c r="C549" s="4"/>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4">
      <c r="A550" s="4"/>
      <c r="B550" s="4"/>
      <c r="C550" s="4"/>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4">
      <c r="A551" s="4"/>
      <c r="B551" s="4"/>
      <c r="C551" s="4"/>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4">
      <c r="A552" s="4"/>
      <c r="B552" s="4"/>
      <c r="C552" s="4"/>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4">
      <c r="A553" s="4"/>
      <c r="B553" s="4"/>
      <c r="C553" s="4"/>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4">
      <c r="A554" s="4"/>
      <c r="B554" s="4"/>
      <c r="C554" s="4"/>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4">
      <c r="A555" s="4"/>
      <c r="B555" s="4"/>
      <c r="C555" s="4"/>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4">
      <c r="A556" s="4"/>
      <c r="B556" s="4"/>
      <c r="C556" s="4"/>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4">
      <c r="A557" s="4"/>
      <c r="B557" s="4"/>
      <c r="C557" s="4"/>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4">
      <c r="A558" s="4"/>
      <c r="B558" s="4"/>
      <c r="C558" s="4"/>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4">
      <c r="A559" s="4"/>
      <c r="B559" s="4"/>
      <c r="C559" s="4"/>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4">
      <c r="A560" s="4"/>
      <c r="B560" s="4"/>
      <c r="C560" s="4"/>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4">
      <c r="A561" s="4"/>
      <c r="B561" s="4"/>
      <c r="C561" s="4"/>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4">
      <c r="A562" s="4"/>
      <c r="B562" s="4"/>
      <c r="C562" s="4"/>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4">
      <c r="A563" s="4"/>
      <c r="B563" s="4"/>
      <c r="C563" s="4"/>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4">
      <c r="A564" s="4"/>
      <c r="B564" s="4"/>
      <c r="C564" s="4"/>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4">
      <c r="A565" s="4"/>
      <c r="B565" s="4"/>
      <c r="C565" s="4"/>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4">
      <c r="A566" s="4"/>
      <c r="B566" s="4"/>
      <c r="C566" s="4"/>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4">
      <c r="A567" s="4"/>
      <c r="B567" s="4"/>
      <c r="C567" s="4"/>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4">
      <c r="A568" s="4"/>
      <c r="B568" s="4"/>
      <c r="C568" s="4"/>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4">
      <c r="A569" s="4"/>
      <c r="B569" s="4"/>
      <c r="C569" s="4"/>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4">
      <c r="A570" s="4"/>
      <c r="B570" s="4"/>
      <c r="C570" s="4"/>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4">
      <c r="A571" s="4"/>
      <c r="B571" s="4"/>
      <c r="C571" s="4"/>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4">
      <c r="A572" s="4"/>
      <c r="B572" s="4"/>
      <c r="C572" s="4"/>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4">
      <c r="A573" s="4"/>
      <c r="B573" s="4"/>
      <c r="C573" s="4"/>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4">
      <c r="A574" s="4"/>
      <c r="B574" s="4"/>
      <c r="C574" s="4"/>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4">
      <c r="A575" s="4"/>
      <c r="B575" s="4"/>
      <c r="C575" s="4"/>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4">
      <c r="A576" s="4"/>
      <c r="B576" s="4"/>
      <c r="C576" s="4"/>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4">
      <c r="A577" s="4"/>
      <c r="B577" s="4"/>
      <c r="C577" s="4"/>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4">
      <c r="A578" s="4"/>
      <c r="B578" s="4"/>
      <c r="C578" s="4"/>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4">
      <c r="A579" s="4"/>
      <c r="B579" s="4"/>
      <c r="C579" s="4"/>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4">
      <c r="A580" s="4"/>
      <c r="B580" s="4"/>
      <c r="C580" s="4"/>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4">
      <c r="A581" s="4"/>
      <c r="B581" s="4"/>
      <c r="C581" s="4"/>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4">
      <c r="A582" s="4"/>
      <c r="B582" s="4"/>
      <c r="C582" s="4"/>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4">
      <c r="A583" s="4"/>
      <c r="B583" s="4"/>
      <c r="C583" s="4"/>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4">
      <c r="A584" s="4"/>
      <c r="B584" s="4"/>
      <c r="C584" s="4"/>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4">
      <c r="A585" s="4"/>
      <c r="B585" s="4"/>
      <c r="C585" s="4"/>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4">
      <c r="A586" s="4"/>
      <c r="B586" s="4"/>
      <c r="C586" s="4"/>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4">
      <c r="A587" s="4"/>
      <c r="B587" s="4"/>
      <c r="C587" s="4"/>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4">
      <c r="A588" s="4"/>
      <c r="B588" s="4"/>
      <c r="C588" s="4"/>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4">
      <c r="A589" s="4"/>
      <c r="B589" s="4"/>
      <c r="C589" s="4"/>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4">
      <c r="A590" s="4"/>
      <c r="B590" s="4"/>
      <c r="C590" s="4"/>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4">
      <c r="A591" s="4"/>
      <c r="B591" s="4"/>
      <c r="C591" s="4"/>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4">
      <c r="A592" s="4"/>
      <c r="B592" s="4"/>
      <c r="C592" s="4"/>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4">
      <c r="A593" s="4"/>
      <c r="B593" s="4"/>
      <c r="C593" s="4"/>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4">
      <c r="A594" s="4"/>
      <c r="B594" s="4"/>
      <c r="C594" s="4"/>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4">
      <c r="A595" s="4"/>
      <c r="B595" s="4"/>
      <c r="C595" s="4"/>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4">
      <c r="A596" s="4"/>
      <c r="B596" s="4"/>
      <c r="C596" s="4"/>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4">
      <c r="A597" s="4"/>
      <c r="B597" s="4"/>
      <c r="C597" s="4"/>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4">
      <c r="A598" s="4"/>
      <c r="B598" s="4"/>
      <c r="C598" s="4"/>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4">
      <c r="A599" s="4"/>
      <c r="B599" s="4"/>
      <c r="C599" s="4"/>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4">
      <c r="A600" s="4"/>
      <c r="B600" s="4"/>
      <c r="C600" s="4"/>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4">
      <c r="A601" s="4"/>
      <c r="B601" s="4"/>
      <c r="C601" s="4"/>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4">
      <c r="A602" s="4"/>
      <c r="B602" s="4"/>
      <c r="C602" s="4"/>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4">
      <c r="A603" s="4"/>
      <c r="B603" s="4"/>
      <c r="C603" s="4"/>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4">
      <c r="A604" s="4"/>
      <c r="B604" s="4"/>
      <c r="C604" s="4"/>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4">
      <c r="A605" s="4"/>
      <c r="B605" s="4"/>
      <c r="C605" s="4"/>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4">
      <c r="A606" s="4"/>
      <c r="B606" s="4"/>
      <c r="C606" s="4"/>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4">
      <c r="A607" s="4"/>
      <c r="B607" s="4"/>
      <c r="C607" s="4"/>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4">
      <c r="A608" s="4"/>
      <c r="B608" s="4"/>
      <c r="C608" s="4"/>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4">
      <c r="A609" s="4"/>
      <c r="B609" s="4"/>
      <c r="C609" s="4"/>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4">
      <c r="A610" s="4"/>
      <c r="B610" s="4"/>
      <c r="C610" s="4"/>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4">
      <c r="A611" s="4"/>
      <c r="B611" s="4"/>
      <c r="C611" s="4"/>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4">
      <c r="A612" s="4"/>
      <c r="B612" s="4"/>
      <c r="C612" s="4"/>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4">
      <c r="A613" s="4"/>
      <c r="B613" s="4"/>
      <c r="C613" s="4"/>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4">
      <c r="A614" s="4"/>
      <c r="B614" s="4"/>
      <c r="C614" s="4"/>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4">
      <c r="A615" s="4"/>
      <c r="B615" s="4"/>
      <c r="C615" s="4"/>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4">
      <c r="A616" s="4"/>
      <c r="B616" s="4"/>
      <c r="C616" s="4"/>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4">
      <c r="A617" s="4"/>
      <c r="B617" s="4"/>
      <c r="C617" s="4"/>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4">
      <c r="A618" s="4"/>
      <c r="B618" s="4"/>
      <c r="C618" s="4"/>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4">
      <c r="A619" s="4"/>
      <c r="B619" s="4"/>
      <c r="C619" s="4"/>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4">
      <c r="A620" s="4"/>
      <c r="B620" s="4"/>
      <c r="C620" s="4"/>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4">
      <c r="A621" s="4"/>
      <c r="B621" s="4"/>
      <c r="C621" s="4"/>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4">
      <c r="A622" s="4"/>
      <c r="B622" s="4"/>
      <c r="C622" s="4"/>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4">
      <c r="A623" s="4"/>
      <c r="B623" s="4"/>
      <c r="C623" s="4"/>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4">
      <c r="A624" s="4"/>
      <c r="B624" s="4"/>
      <c r="C624" s="4"/>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4">
      <c r="A625" s="4"/>
      <c r="B625" s="4"/>
      <c r="C625" s="4"/>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4">
      <c r="A626" s="4"/>
      <c r="B626" s="4"/>
      <c r="C626" s="4"/>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4">
      <c r="A627" s="4"/>
      <c r="B627" s="4"/>
      <c r="C627" s="4"/>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4">
      <c r="A628" s="4"/>
      <c r="B628" s="4"/>
      <c r="C628" s="4"/>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4">
      <c r="A629" s="4"/>
      <c r="B629" s="4"/>
      <c r="C629" s="4"/>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4">
      <c r="A630" s="4"/>
      <c r="B630" s="4"/>
      <c r="C630" s="4"/>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4">
      <c r="A631" s="4"/>
      <c r="B631" s="4"/>
      <c r="C631" s="4"/>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4">
      <c r="A632" s="4"/>
      <c r="B632" s="4"/>
      <c r="C632" s="4"/>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4">
      <c r="A633" s="4"/>
      <c r="B633" s="4"/>
      <c r="C633" s="4"/>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4">
      <c r="A634" s="4"/>
      <c r="B634" s="4"/>
      <c r="C634" s="4"/>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4">
      <c r="A635" s="4"/>
      <c r="B635" s="4"/>
      <c r="C635" s="4"/>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4">
      <c r="A636" s="4"/>
      <c r="B636" s="4"/>
      <c r="C636" s="4"/>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4">
      <c r="A637" s="4"/>
      <c r="B637" s="4"/>
      <c r="C637" s="4"/>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4">
      <c r="A638" s="4"/>
      <c r="B638" s="4"/>
      <c r="C638" s="4"/>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4">
      <c r="A639" s="4"/>
      <c r="B639" s="4"/>
      <c r="C639" s="4"/>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4">
      <c r="A640" s="4"/>
      <c r="B640" s="4"/>
      <c r="C640" s="4"/>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4">
      <c r="A641" s="4"/>
      <c r="B641" s="4"/>
      <c r="C641" s="4"/>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4">
      <c r="A642" s="4"/>
      <c r="B642" s="4"/>
      <c r="C642" s="4"/>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4">
      <c r="A643" s="4"/>
      <c r="B643" s="4"/>
      <c r="C643" s="4"/>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4">
      <c r="A644" s="4"/>
      <c r="B644" s="4"/>
      <c r="C644" s="4"/>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4">
      <c r="A645" s="4"/>
      <c r="B645" s="4"/>
      <c r="C645" s="4"/>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4">
      <c r="A646" s="4"/>
      <c r="B646" s="4"/>
      <c r="C646" s="4"/>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4">
      <c r="A647" s="4"/>
      <c r="B647" s="4"/>
      <c r="C647" s="4"/>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4">
      <c r="A648" s="4"/>
      <c r="B648" s="4"/>
      <c r="C648" s="4"/>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4">
      <c r="A649" s="4"/>
      <c r="B649" s="4"/>
      <c r="C649" s="4"/>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4">
      <c r="A650" s="4"/>
      <c r="B650" s="4"/>
      <c r="C650" s="4"/>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4">
      <c r="A651" s="4"/>
      <c r="B651" s="4"/>
      <c r="C651" s="4"/>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4">
      <c r="A652" s="4"/>
      <c r="B652" s="4"/>
      <c r="C652" s="4"/>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4">
      <c r="A653" s="4"/>
      <c r="B653" s="4"/>
      <c r="C653" s="4"/>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4">
      <c r="A654" s="4"/>
      <c r="B654" s="4"/>
      <c r="C654" s="4"/>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4">
      <c r="A655" s="4"/>
      <c r="B655" s="4"/>
      <c r="C655" s="4"/>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4">
      <c r="A656" s="4"/>
      <c r="B656" s="4"/>
      <c r="C656" s="4"/>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4">
      <c r="A657" s="4"/>
      <c r="B657" s="4"/>
      <c r="C657" s="4"/>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4">
      <c r="A658" s="4"/>
      <c r="B658" s="4"/>
      <c r="C658" s="4"/>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4">
      <c r="A659" s="4"/>
      <c r="B659" s="4"/>
      <c r="C659" s="4"/>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4">
      <c r="A660" s="4"/>
      <c r="B660" s="4"/>
      <c r="C660" s="4"/>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4">
      <c r="A661" s="4"/>
      <c r="B661" s="4"/>
      <c r="C661" s="4"/>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4">
      <c r="A662" s="4"/>
      <c r="B662" s="4"/>
      <c r="C662" s="4"/>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4">
      <c r="A663" s="4"/>
      <c r="B663" s="4"/>
      <c r="C663" s="4"/>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4">
      <c r="A664" s="4"/>
      <c r="B664" s="4"/>
      <c r="C664" s="4"/>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4">
      <c r="A665" s="4"/>
      <c r="B665" s="4"/>
      <c r="C665" s="4"/>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4">
      <c r="A666" s="4"/>
      <c r="B666" s="4"/>
      <c r="C666" s="4"/>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4">
      <c r="A667" s="4"/>
      <c r="B667" s="4"/>
      <c r="C667" s="4"/>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4">
      <c r="A668" s="4"/>
      <c r="B668" s="4"/>
      <c r="C668" s="4"/>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4">
      <c r="A669" s="4"/>
      <c r="B669" s="4"/>
      <c r="C669" s="4"/>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4">
      <c r="A670" s="4"/>
      <c r="B670" s="4"/>
      <c r="C670" s="4"/>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4">
      <c r="A671" s="4"/>
      <c r="B671" s="4"/>
      <c r="C671" s="4"/>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4">
      <c r="A672" s="4"/>
      <c r="B672" s="4"/>
      <c r="C672" s="4"/>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4">
      <c r="A673" s="4"/>
      <c r="B673" s="4"/>
      <c r="C673" s="4"/>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4">
      <c r="A674" s="4"/>
      <c r="B674" s="4"/>
      <c r="C674" s="4"/>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4">
      <c r="A675" s="4"/>
      <c r="B675" s="4"/>
      <c r="C675" s="4"/>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4">
      <c r="A676" s="4"/>
      <c r="B676" s="4"/>
      <c r="C676" s="4"/>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4">
      <c r="A677" s="4"/>
      <c r="B677" s="4"/>
      <c r="C677" s="4"/>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4">
      <c r="A678" s="4"/>
      <c r="B678" s="4"/>
      <c r="C678" s="4"/>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4">
      <c r="A679" s="4"/>
      <c r="B679" s="4"/>
      <c r="C679" s="4"/>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4">
      <c r="A680" s="4"/>
      <c r="B680" s="4"/>
      <c r="C680" s="4"/>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4">
      <c r="A681" s="4"/>
      <c r="B681" s="4"/>
      <c r="C681" s="4"/>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4">
      <c r="A682" s="4"/>
      <c r="B682" s="4"/>
      <c r="C682" s="4"/>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4">
      <c r="A683" s="4"/>
      <c r="B683" s="4"/>
      <c r="C683" s="4"/>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4">
      <c r="A684" s="4"/>
      <c r="B684" s="4"/>
      <c r="C684" s="4"/>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4">
      <c r="A685" s="4"/>
      <c r="B685" s="4"/>
      <c r="C685" s="4"/>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4">
      <c r="A686" s="4"/>
      <c r="B686" s="4"/>
      <c r="C686" s="4"/>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4">
      <c r="A687" s="4"/>
      <c r="B687" s="4"/>
      <c r="C687" s="4"/>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4">
      <c r="A688" s="4"/>
      <c r="B688" s="4"/>
      <c r="C688" s="4"/>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4">
      <c r="A689" s="4"/>
      <c r="B689" s="4"/>
      <c r="C689" s="4"/>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4">
      <c r="A690" s="4"/>
      <c r="B690" s="4"/>
      <c r="C690" s="4"/>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4">
      <c r="A691" s="4"/>
      <c r="B691" s="4"/>
      <c r="C691" s="4"/>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4">
      <c r="A692" s="4"/>
      <c r="B692" s="4"/>
      <c r="C692" s="4"/>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4">
      <c r="A693" s="4"/>
      <c r="B693" s="4"/>
      <c r="C693" s="4"/>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4">
      <c r="A694" s="4"/>
      <c r="B694" s="4"/>
      <c r="C694" s="4"/>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4">
      <c r="A695" s="4"/>
      <c r="B695" s="4"/>
      <c r="C695" s="4"/>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4">
      <c r="A696" s="4"/>
      <c r="B696" s="4"/>
      <c r="C696" s="4"/>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4">
      <c r="A697" s="4"/>
      <c r="B697" s="4"/>
      <c r="C697" s="4"/>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4">
      <c r="A698" s="4"/>
      <c r="B698" s="4"/>
      <c r="C698" s="4"/>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4">
      <c r="A699" s="4"/>
      <c r="B699" s="4"/>
      <c r="C699" s="4"/>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4">
      <c r="A700" s="4"/>
      <c r="B700" s="4"/>
      <c r="C700" s="4"/>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4">
      <c r="A701" s="4"/>
      <c r="B701" s="4"/>
      <c r="C701" s="4"/>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4">
      <c r="A702" s="4"/>
      <c r="B702" s="4"/>
      <c r="C702" s="4"/>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4">
      <c r="A703" s="4"/>
      <c r="B703" s="4"/>
      <c r="C703" s="4"/>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4">
      <c r="A704" s="4"/>
      <c r="B704" s="4"/>
      <c r="C704" s="4"/>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4">
      <c r="A705" s="4"/>
      <c r="B705" s="4"/>
      <c r="C705" s="4"/>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4">
      <c r="A706" s="4"/>
      <c r="B706" s="4"/>
      <c r="C706" s="4"/>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4">
      <c r="A707" s="4"/>
      <c r="B707" s="4"/>
      <c r="C707" s="4"/>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4">
      <c r="A708" s="4"/>
      <c r="B708" s="4"/>
      <c r="C708" s="4"/>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4">
      <c r="A709" s="4"/>
      <c r="B709" s="4"/>
      <c r="C709" s="4"/>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4">
      <c r="A710" s="4"/>
      <c r="B710" s="4"/>
      <c r="C710" s="4"/>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4">
      <c r="A711" s="4"/>
      <c r="B711" s="4"/>
      <c r="C711" s="4"/>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4">
      <c r="A712" s="4"/>
      <c r="B712" s="4"/>
      <c r="C712" s="4"/>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4">
      <c r="A713" s="4"/>
      <c r="B713" s="4"/>
      <c r="C713" s="4"/>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4">
      <c r="A714" s="4"/>
      <c r="B714" s="4"/>
      <c r="C714" s="4"/>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4">
      <c r="A715" s="4"/>
      <c r="B715" s="4"/>
      <c r="C715" s="4"/>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4">
      <c r="A716" s="4"/>
      <c r="B716" s="4"/>
      <c r="C716" s="4"/>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4">
      <c r="A717" s="4"/>
      <c r="B717" s="4"/>
      <c r="C717" s="4"/>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4">
      <c r="A718" s="4"/>
      <c r="B718" s="4"/>
      <c r="C718" s="4"/>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4">
      <c r="A719" s="4"/>
      <c r="B719" s="4"/>
      <c r="C719" s="4"/>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4">
      <c r="A720" s="4"/>
      <c r="B720" s="4"/>
      <c r="C720" s="4"/>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4">
      <c r="A721" s="4"/>
      <c r="B721" s="4"/>
      <c r="C721" s="4"/>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4">
      <c r="A722" s="4"/>
      <c r="B722" s="4"/>
      <c r="C722" s="4"/>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4">
      <c r="A723" s="4"/>
      <c r="B723" s="4"/>
      <c r="C723" s="4"/>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4">
      <c r="A724" s="4"/>
      <c r="B724" s="4"/>
      <c r="C724" s="4"/>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4">
      <c r="A725" s="4"/>
      <c r="B725" s="4"/>
      <c r="C725" s="4"/>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4">
      <c r="A726" s="4"/>
      <c r="B726" s="4"/>
      <c r="C726" s="4"/>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4">
      <c r="A727" s="4"/>
      <c r="B727" s="4"/>
      <c r="C727" s="4"/>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4">
      <c r="A728" s="4"/>
      <c r="B728" s="4"/>
      <c r="C728" s="4"/>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4">
      <c r="A729" s="4"/>
      <c r="B729" s="4"/>
      <c r="C729" s="4"/>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4">
      <c r="A730" s="4"/>
      <c r="B730" s="4"/>
      <c r="C730" s="4"/>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4">
      <c r="A731" s="4"/>
      <c r="B731" s="4"/>
      <c r="C731" s="4"/>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4">
      <c r="A732" s="4"/>
      <c r="B732" s="4"/>
      <c r="C732" s="4"/>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4">
      <c r="A733" s="4"/>
      <c r="B733" s="4"/>
      <c r="C733" s="4"/>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4">
      <c r="A734" s="4"/>
      <c r="B734" s="4"/>
      <c r="C734" s="4"/>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4">
      <c r="A735" s="4"/>
      <c r="B735" s="4"/>
      <c r="C735" s="4"/>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4">
      <c r="A736" s="4"/>
      <c r="B736" s="4"/>
      <c r="C736" s="4"/>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4">
      <c r="A737" s="4"/>
      <c r="B737" s="4"/>
      <c r="C737" s="4"/>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4">
      <c r="A738" s="4"/>
      <c r="B738" s="4"/>
      <c r="C738" s="4"/>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4">
      <c r="A739" s="4"/>
      <c r="B739" s="4"/>
      <c r="C739" s="4"/>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4">
      <c r="A740" s="4"/>
      <c r="B740" s="4"/>
      <c r="C740" s="4"/>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4">
      <c r="A741" s="4"/>
      <c r="B741" s="4"/>
      <c r="C741" s="4"/>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4">
      <c r="A742" s="4"/>
      <c r="B742" s="4"/>
      <c r="C742" s="4"/>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4">
      <c r="A743" s="4"/>
      <c r="B743" s="4"/>
      <c r="C743" s="4"/>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4">
      <c r="A744" s="4"/>
      <c r="B744" s="4"/>
      <c r="C744" s="4"/>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4">
      <c r="A745" s="4"/>
      <c r="B745" s="4"/>
      <c r="C745" s="4"/>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4">
      <c r="A746" s="4"/>
      <c r="B746" s="4"/>
      <c r="C746" s="4"/>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4">
      <c r="A747" s="4"/>
      <c r="B747" s="4"/>
      <c r="C747" s="4"/>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4">
      <c r="A748" s="4"/>
      <c r="B748" s="4"/>
      <c r="C748" s="4"/>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4">
      <c r="A749" s="4"/>
      <c r="B749" s="4"/>
      <c r="C749" s="4"/>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4">
      <c r="A750" s="4"/>
      <c r="B750" s="4"/>
      <c r="C750" s="4"/>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4">
      <c r="A751" s="4"/>
      <c r="B751" s="4"/>
      <c r="C751" s="4"/>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4">
      <c r="A752" s="4"/>
      <c r="B752" s="4"/>
      <c r="C752" s="4"/>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4">
      <c r="A753" s="4"/>
      <c r="B753" s="4"/>
      <c r="C753" s="4"/>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4">
      <c r="A754" s="4"/>
      <c r="B754" s="4"/>
      <c r="C754" s="4"/>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4">
      <c r="A755" s="4"/>
      <c r="B755" s="4"/>
      <c r="C755" s="4"/>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4">
      <c r="A756" s="4"/>
      <c r="B756" s="4"/>
      <c r="C756" s="4"/>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4">
      <c r="A757" s="4"/>
      <c r="B757" s="4"/>
      <c r="C757" s="4"/>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4">
      <c r="A758" s="4"/>
      <c r="B758" s="4"/>
      <c r="C758" s="4"/>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4">
      <c r="A759" s="4"/>
      <c r="B759" s="4"/>
      <c r="C759" s="4"/>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4">
      <c r="A760" s="4"/>
      <c r="B760" s="4"/>
      <c r="C760" s="4"/>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4">
      <c r="A761" s="4"/>
      <c r="B761" s="4"/>
      <c r="C761" s="4"/>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4">
      <c r="A762" s="4"/>
      <c r="B762" s="4"/>
      <c r="C762" s="4"/>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4">
      <c r="A763" s="4"/>
      <c r="B763" s="4"/>
      <c r="C763" s="4"/>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4">
      <c r="A764" s="4"/>
      <c r="B764" s="4"/>
      <c r="C764" s="4"/>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4">
      <c r="A765" s="4"/>
      <c r="B765" s="4"/>
      <c r="C765" s="4"/>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4">
      <c r="A766" s="4"/>
      <c r="B766" s="4"/>
      <c r="C766" s="4"/>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4">
      <c r="A767" s="4"/>
      <c r="B767" s="4"/>
      <c r="C767" s="4"/>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4">
      <c r="A768" s="4"/>
      <c r="B768" s="4"/>
      <c r="C768" s="4"/>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4">
      <c r="A769" s="4"/>
      <c r="B769" s="4"/>
      <c r="C769" s="4"/>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4">
      <c r="A770" s="4"/>
      <c r="B770" s="4"/>
      <c r="C770" s="4"/>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4">
      <c r="A771" s="4"/>
      <c r="B771" s="4"/>
      <c r="C771" s="4"/>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4">
      <c r="A772" s="4"/>
      <c r="B772" s="4"/>
      <c r="C772" s="4"/>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4">
      <c r="A773" s="4"/>
      <c r="B773" s="4"/>
      <c r="C773" s="4"/>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4">
      <c r="A774" s="4"/>
      <c r="B774" s="4"/>
      <c r="C774" s="4"/>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4">
      <c r="A775" s="4"/>
      <c r="B775" s="4"/>
      <c r="C775" s="4"/>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4">
      <c r="A776" s="4"/>
      <c r="B776" s="4"/>
      <c r="C776" s="4"/>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4">
      <c r="A777" s="4"/>
      <c r="B777" s="4"/>
      <c r="C777" s="4"/>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4">
      <c r="A778" s="4"/>
      <c r="B778" s="4"/>
      <c r="C778" s="4"/>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4">
      <c r="A779" s="4"/>
      <c r="B779" s="4"/>
      <c r="C779" s="4"/>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4">
      <c r="A780" s="4"/>
      <c r="B780" s="4"/>
      <c r="C780" s="4"/>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4">
      <c r="A781" s="4"/>
      <c r="B781" s="4"/>
      <c r="C781" s="4"/>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4">
      <c r="A782" s="4"/>
      <c r="B782" s="4"/>
      <c r="C782" s="4"/>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4">
      <c r="A783" s="4"/>
      <c r="B783" s="4"/>
      <c r="C783" s="4"/>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4">
      <c r="A784" s="4"/>
      <c r="B784" s="4"/>
      <c r="C784" s="4"/>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4">
      <c r="A785" s="4"/>
      <c r="B785" s="4"/>
      <c r="C785" s="4"/>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4">
      <c r="A786" s="4"/>
      <c r="B786" s="4"/>
      <c r="C786" s="4"/>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4">
      <c r="A787" s="4"/>
      <c r="B787" s="4"/>
      <c r="C787" s="4"/>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4">
      <c r="A788" s="4"/>
      <c r="B788" s="4"/>
      <c r="C788" s="4"/>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4">
      <c r="A789" s="4"/>
      <c r="B789" s="4"/>
      <c r="C789" s="4"/>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4">
      <c r="A790" s="4"/>
      <c r="B790" s="4"/>
      <c r="C790" s="4"/>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4">
      <c r="A791" s="4"/>
      <c r="B791" s="4"/>
      <c r="C791" s="4"/>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4">
      <c r="A792" s="4"/>
      <c r="B792" s="4"/>
      <c r="C792" s="4"/>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4">
      <c r="A793" s="4"/>
      <c r="B793" s="4"/>
      <c r="C793" s="4"/>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4">
      <c r="A794" s="4"/>
      <c r="B794" s="4"/>
      <c r="C794" s="4"/>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4">
      <c r="A795" s="4"/>
      <c r="B795" s="4"/>
      <c r="C795" s="4"/>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4">
      <c r="A796" s="4"/>
      <c r="B796" s="4"/>
      <c r="C796" s="4"/>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4">
      <c r="A797" s="4"/>
      <c r="B797" s="4"/>
      <c r="C797" s="4"/>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4">
      <c r="A798" s="4"/>
      <c r="B798" s="4"/>
      <c r="C798" s="4"/>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4">
      <c r="A799" s="4"/>
      <c r="B799" s="4"/>
      <c r="C799" s="4"/>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4">
      <c r="A800" s="4"/>
      <c r="B800" s="4"/>
      <c r="C800" s="4"/>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4">
      <c r="A801" s="4"/>
      <c r="B801" s="4"/>
      <c r="C801" s="4"/>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4">
      <c r="A802" s="4"/>
      <c r="B802" s="4"/>
      <c r="C802" s="4"/>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4">
      <c r="A803" s="4"/>
      <c r="B803" s="4"/>
      <c r="C803" s="4"/>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4">
      <c r="A804" s="4"/>
      <c r="B804" s="4"/>
      <c r="C804" s="4"/>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4">
      <c r="A805" s="4"/>
      <c r="B805" s="4"/>
      <c r="C805" s="4"/>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4">
      <c r="A806" s="4"/>
      <c r="B806" s="4"/>
      <c r="C806" s="4"/>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4">
      <c r="A807" s="4"/>
      <c r="B807" s="4"/>
      <c r="C807" s="4"/>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4">
      <c r="A808" s="4"/>
      <c r="B808" s="4"/>
      <c r="C808" s="4"/>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4">
      <c r="A809" s="4"/>
      <c r="B809" s="4"/>
      <c r="C809" s="4"/>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4">
      <c r="A810" s="4"/>
      <c r="B810" s="4"/>
      <c r="C810" s="4"/>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4">
      <c r="A811" s="4"/>
      <c r="B811" s="4"/>
      <c r="C811" s="4"/>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4">
      <c r="A812" s="4"/>
      <c r="B812" s="4"/>
      <c r="C812" s="4"/>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4">
      <c r="A813" s="4"/>
      <c r="B813" s="4"/>
      <c r="C813" s="4"/>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4">
      <c r="A814" s="4"/>
      <c r="B814" s="4"/>
      <c r="C814" s="4"/>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4">
      <c r="A815" s="4"/>
      <c r="B815" s="4"/>
      <c r="C815" s="4"/>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4">
      <c r="A816" s="4"/>
      <c r="B816" s="4"/>
      <c r="C816" s="4"/>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4">
      <c r="A817" s="4"/>
      <c r="B817" s="4"/>
      <c r="C817" s="4"/>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4">
      <c r="A818" s="4"/>
      <c r="B818" s="4"/>
      <c r="C818" s="4"/>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4">
      <c r="A819" s="4"/>
      <c r="B819" s="4"/>
      <c r="C819" s="4"/>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4">
      <c r="A820" s="4"/>
      <c r="B820" s="4"/>
      <c r="C820" s="4"/>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4">
      <c r="A821" s="4"/>
      <c r="B821" s="4"/>
      <c r="C821" s="4"/>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4">
      <c r="A822" s="4"/>
      <c r="B822" s="4"/>
      <c r="C822" s="4"/>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4">
      <c r="A823" s="4"/>
      <c r="B823" s="4"/>
      <c r="C823" s="4"/>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4">
      <c r="A824" s="4"/>
      <c r="B824" s="4"/>
      <c r="C824" s="4"/>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4">
      <c r="A825" s="4"/>
      <c r="B825" s="4"/>
      <c r="C825" s="4"/>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4">
      <c r="A826" s="4"/>
      <c r="B826" s="4"/>
      <c r="C826" s="4"/>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4">
      <c r="A827" s="4"/>
      <c r="B827" s="4"/>
      <c r="C827" s="4"/>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4">
      <c r="A828" s="4"/>
      <c r="B828" s="4"/>
      <c r="C828" s="4"/>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4">
      <c r="A829" s="4"/>
      <c r="B829" s="4"/>
      <c r="C829" s="4"/>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4">
      <c r="A830" s="4"/>
      <c r="B830" s="4"/>
      <c r="C830" s="4"/>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4">
      <c r="A831" s="4"/>
      <c r="B831" s="4"/>
      <c r="C831" s="4"/>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4">
      <c r="A832" s="4"/>
      <c r="B832" s="4"/>
      <c r="C832" s="4"/>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4">
      <c r="A833" s="4"/>
      <c r="B833" s="4"/>
      <c r="C833" s="4"/>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4">
      <c r="A834" s="4"/>
      <c r="B834" s="4"/>
      <c r="C834" s="4"/>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4">
      <c r="A835" s="4"/>
      <c r="B835" s="4"/>
      <c r="C835" s="4"/>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4">
      <c r="A836" s="4"/>
      <c r="B836" s="4"/>
      <c r="C836" s="4"/>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4">
      <c r="A837" s="4"/>
      <c r="B837" s="4"/>
      <c r="C837" s="4"/>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4">
      <c r="A838" s="4"/>
      <c r="B838" s="4"/>
      <c r="C838" s="4"/>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4">
      <c r="A839" s="4"/>
      <c r="B839" s="4"/>
      <c r="C839" s="4"/>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4">
      <c r="A840" s="4"/>
      <c r="B840" s="4"/>
      <c r="C840" s="4"/>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4">
      <c r="A841" s="4"/>
      <c r="B841" s="4"/>
      <c r="C841" s="4"/>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4">
      <c r="A842" s="4"/>
      <c r="B842" s="4"/>
      <c r="C842" s="4"/>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4">
      <c r="A843" s="4"/>
      <c r="B843" s="4"/>
      <c r="C843" s="4"/>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4">
      <c r="A844" s="4"/>
      <c r="B844" s="4"/>
      <c r="C844" s="4"/>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4">
      <c r="A845" s="4"/>
      <c r="B845" s="4"/>
      <c r="C845" s="4"/>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4">
      <c r="A846" s="4"/>
      <c r="B846" s="4"/>
      <c r="C846" s="4"/>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4">
      <c r="A847" s="4"/>
      <c r="B847" s="4"/>
      <c r="C847" s="4"/>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4">
      <c r="A848" s="4"/>
      <c r="B848" s="4"/>
      <c r="C848" s="4"/>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4">
      <c r="A849" s="4"/>
      <c r="B849" s="4"/>
      <c r="C849" s="4"/>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4">
      <c r="A850" s="4"/>
      <c r="B850" s="4"/>
      <c r="C850" s="4"/>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4">
      <c r="A851" s="4"/>
      <c r="B851" s="4"/>
      <c r="C851" s="4"/>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4">
      <c r="A852" s="4"/>
      <c r="B852" s="4"/>
      <c r="C852" s="4"/>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4">
      <c r="A853" s="4"/>
      <c r="B853" s="4"/>
      <c r="C853" s="4"/>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4">
      <c r="A854" s="4"/>
      <c r="B854" s="4"/>
      <c r="C854" s="4"/>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4">
      <c r="A855" s="4"/>
      <c r="B855" s="4"/>
      <c r="C855" s="4"/>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4">
      <c r="A856" s="4"/>
      <c r="B856" s="4"/>
      <c r="C856" s="4"/>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4">
      <c r="A857" s="4"/>
      <c r="B857" s="4"/>
      <c r="C857" s="4"/>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4">
      <c r="A858" s="4"/>
      <c r="B858" s="4"/>
      <c r="C858" s="4"/>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4">
      <c r="A859" s="4"/>
      <c r="B859" s="4"/>
      <c r="C859" s="4"/>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4">
      <c r="A860" s="4"/>
      <c r="B860" s="4"/>
      <c r="C860" s="4"/>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4">
      <c r="A861" s="4"/>
      <c r="B861" s="4"/>
      <c r="C861" s="4"/>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4">
      <c r="A862" s="4"/>
      <c r="B862" s="4"/>
      <c r="C862" s="4"/>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4">
      <c r="A863" s="4"/>
      <c r="B863" s="4"/>
      <c r="C863" s="4"/>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4">
      <c r="A864" s="4"/>
      <c r="B864" s="4"/>
      <c r="C864" s="4"/>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4">
      <c r="A865" s="4"/>
      <c r="B865" s="4"/>
      <c r="C865" s="4"/>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4">
      <c r="A866" s="4"/>
      <c r="B866" s="4"/>
      <c r="C866" s="4"/>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4">
      <c r="A867" s="4"/>
      <c r="B867" s="4"/>
      <c r="C867" s="4"/>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4">
      <c r="A868" s="4"/>
      <c r="B868" s="4"/>
      <c r="C868" s="4"/>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4">
      <c r="A869" s="4"/>
      <c r="B869" s="4"/>
      <c r="C869" s="4"/>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4">
      <c r="A870" s="4"/>
      <c r="B870" s="4"/>
      <c r="C870" s="4"/>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4">
      <c r="A871" s="4"/>
      <c r="B871" s="4"/>
      <c r="C871" s="4"/>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4">
      <c r="A872" s="4"/>
      <c r="B872" s="4"/>
      <c r="C872" s="4"/>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4">
      <c r="A873" s="4"/>
      <c r="B873" s="4"/>
      <c r="C873" s="4"/>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4">
      <c r="A874" s="4"/>
      <c r="B874" s="4"/>
      <c r="C874" s="4"/>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4">
      <c r="A875" s="4"/>
      <c r="B875" s="4"/>
      <c r="C875" s="4"/>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4">
      <c r="A876" s="4"/>
      <c r="B876" s="4"/>
      <c r="C876" s="4"/>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4">
      <c r="A877" s="4"/>
      <c r="B877" s="4"/>
      <c r="C877" s="4"/>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4">
      <c r="A878" s="4"/>
      <c r="B878" s="4"/>
      <c r="C878" s="4"/>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4">
      <c r="A879" s="4"/>
      <c r="B879" s="4"/>
      <c r="C879" s="4"/>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4">
      <c r="A880" s="4"/>
      <c r="B880" s="4"/>
      <c r="C880" s="4"/>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4">
      <c r="A881" s="4"/>
      <c r="B881" s="4"/>
      <c r="C881" s="4"/>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4">
      <c r="A882" s="4"/>
      <c r="B882" s="4"/>
      <c r="C882" s="4"/>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4">
      <c r="A883" s="4"/>
      <c r="B883" s="4"/>
      <c r="C883" s="4"/>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4">
      <c r="A884" s="4"/>
      <c r="B884" s="4"/>
      <c r="C884" s="4"/>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4">
      <c r="A885" s="4"/>
      <c r="B885" s="4"/>
      <c r="C885" s="4"/>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4">
      <c r="A886" s="4"/>
      <c r="B886" s="4"/>
      <c r="C886" s="4"/>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4">
      <c r="A887" s="4"/>
      <c r="B887" s="4"/>
      <c r="C887" s="4"/>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4">
      <c r="A888" s="4"/>
      <c r="B888" s="4"/>
      <c r="C888" s="4"/>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4">
      <c r="A889" s="4"/>
      <c r="B889" s="4"/>
      <c r="C889" s="4"/>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4">
      <c r="A890" s="4"/>
      <c r="B890" s="4"/>
      <c r="C890" s="4"/>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4">
      <c r="A891" s="4"/>
      <c r="B891" s="4"/>
      <c r="C891" s="4"/>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4">
      <c r="A892" s="4"/>
      <c r="B892" s="4"/>
      <c r="C892" s="4"/>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4">
      <c r="A893" s="4"/>
      <c r="B893" s="4"/>
      <c r="C893" s="4"/>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4">
      <c r="A894" s="4"/>
      <c r="B894" s="4"/>
      <c r="C894" s="4"/>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4">
      <c r="A895" s="4"/>
      <c r="B895" s="4"/>
      <c r="C895" s="4"/>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4">
      <c r="A896" s="4"/>
      <c r="B896" s="4"/>
      <c r="C896" s="4"/>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4">
      <c r="A897" s="4"/>
      <c r="B897" s="4"/>
      <c r="C897" s="4"/>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4">
      <c r="A898" s="4"/>
      <c r="B898" s="4"/>
      <c r="C898" s="4"/>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4">
      <c r="A899" s="4"/>
      <c r="B899" s="4"/>
      <c r="C899" s="4"/>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4">
      <c r="A900" s="4"/>
      <c r="B900" s="4"/>
      <c r="C900" s="4"/>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4">
      <c r="A901" s="4"/>
      <c r="B901" s="4"/>
      <c r="C901" s="4"/>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4">
      <c r="A902" s="4"/>
      <c r="B902" s="4"/>
      <c r="C902" s="4"/>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4">
      <c r="A903" s="4"/>
      <c r="B903" s="4"/>
      <c r="C903" s="4"/>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4">
      <c r="A904" s="4"/>
      <c r="B904" s="4"/>
      <c r="C904" s="4"/>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4">
      <c r="A905" s="4"/>
      <c r="B905" s="4"/>
      <c r="C905" s="4"/>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4">
      <c r="A906" s="4"/>
      <c r="B906" s="4"/>
      <c r="C906" s="4"/>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4">
      <c r="A907" s="4"/>
      <c r="B907" s="4"/>
      <c r="C907" s="4"/>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4">
      <c r="A908" s="4"/>
      <c r="B908" s="4"/>
      <c r="C908" s="4"/>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4">
      <c r="A909" s="4"/>
      <c r="B909" s="4"/>
      <c r="C909" s="4"/>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4">
      <c r="A910" s="4"/>
      <c r="B910" s="4"/>
      <c r="C910" s="4"/>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4">
      <c r="A911" s="4"/>
      <c r="B911" s="4"/>
      <c r="C911" s="4"/>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4">
      <c r="A912" s="4"/>
      <c r="B912" s="4"/>
      <c r="C912" s="4"/>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4">
      <c r="A913" s="4"/>
      <c r="B913" s="4"/>
      <c r="C913" s="4"/>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4">
      <c r="A914" s="4"/>
      <c r="B914" s="4"/>
      <c r="C914" s="4"/>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4">
      <c r="A915" s="4"/>
      <c r="B915" s="4"/>
      <c r="C915" s="4"/>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4">
      <c r="A916" s="4"/>
      <c r="B916" s="4"/>
      <c r="C916" s="4"/>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4">
      <c r="A917" s="4"/>
      <c r="B917" s="4"/>
      <c r="C917" s="4"/>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4">
      <c r="A918" s="4"/>
      <c r="B918" s="4"/>
      <c r="C918" s="4"/>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4">
      <c r="A919" s="4"/>
      <c r="B919" s="4"/>
      <c r="C919" s="4"/>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4">
      <c r="A920" s="4"/>
      <c r="B920" s="4"/>
      <c r="C920" s="4"/>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4">
      <c r="A921" s="4"/>
      <c r="B921" s="4"/>
      <c r="C921" s="4"/>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4">
      <c r="A922" s="4"/>
      <c r="B922" s="4"/>
      <c r="C922" s="4"/>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4">
      <c r="A923" s="4"/>
      <c r="B923" s="4"/>
      <c r="C923" s="4"/>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4">
      <c r="A924" s="4"/>
      <c r="B924" s="4"/>
      <c r="C924" s="4"/>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4">
      <c r="A925" s="4"/>
      <c r="B925" s="4"/>
      <c r="C925" s="4"/>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4">
      <c r="A926" s="4"/>
      <c r="B926" s="4"/>
      <c r="C926" s="4"/>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4">
      <c r="A927" s="4"/>
      <c r="B927" s="4"/>
      <c r="C927" s="4"/>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4">
      <c r="A928" s="4"/>
      <c r="B928" s="4"/>
      <c r="C928" s="4"/>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4">
      <c r="A929" s="4"/>
      <c r="B929" s="4"/>
      <c r="C929" s="4"/>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4">
      <c r="A930" s="4"/>
      <c r="B930" s="4"/>
      <c r="C930" s="4"/>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4">
      <c r="A931" s="4"/>
      <c r="B931" s="4"/>
      <c r="C931" s="4"/>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4">
      <c r="A932" s="4"/>
      <c r="B932" s="4"/>
      <c r="C932" s="4"/>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4">
      <c r="A933" s="4"/>
      <c r="B933" s="4"/>
      <c r="C933" s="4"/>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4">
      <c r="A934" s="4"/>
      <c r="B934" s="4"/>
      <c r="C934" s="4"/>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4">
      <c r="A935" s="4"/>
      <c r="B935" s="4"/>
      <c r="C935" s="4"/>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4">
      <c r="A936" s="4"/>
      <c r="B936" s="4"/>
      <c r="C936" s="4"/>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4">
      <c r="A937" s="4"/>
      <c r="B937" s="4"/>
      <c r="C937" s="4"/>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4">
      <c r="A938" s="4"/>
      <c r="B938" s="4"/>
      <c r="C938" s="4"/>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4">
      <c r="A939" s="4"/>
      <c r="B939" s="4"/>
      <c r="C939" s="4"/>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4">
      <c r="A940" s="4"/>
      <c r="B940" s="4"/>
      <c r="C940" s="4"/>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4">
      <c r="A941" s="4"/>
      <c r="B941" s="4"/>
      <c r="C941" s="4"/>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4">
      <c r="A942" s="4"/>
      <c r="B942" s="4"/>
      <c r="C942" s="4"/>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4">
      <c r="A943" s="4"/>
      <c r="B943" s="4"/>
      <c r="C943" s="4"/>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4">
      <c r="A944" s="4"/>
      <c r="B944" s="4"/>
      <c r="C944" s="4"/>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4">
      <c r="A945" s="4"/>
      <c r="B945" s="4"/>
      <c r="C945" s="4"/>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4">
      <c r="A946" s="4"/>
      <c r="B946" s="4"/>
      <c r="C946" s="4"/>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4">
      <c r="A947" s="4"/>
      <c r="B947" s="4"/>
      <c r="C947" s="4"/>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4">
      <c r="A948" s="4"/>
      <c r="B948" s="4"/>
      <c r="C948" s="4"/>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4">
      <c r="A949" s="4"/>
      <c r="B949" s="4"/>
      <c r="C949" s="4"/>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4">
      <c r="A950" s="4"/>
      <c r="B950" s="4"/>
      <c r="C950" s="4"/>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4">
      <c r="A951" s="4"/>
      <c r="B951" s="4"/>
      <c r="C951" s="4"/>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4">
      <c r="A952" s="4"/>
      <c r="B952" s="4"/>
      <c r="C952" s="4"/>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4">
      <c r="A953" s="4"/>
      <c r="B953" s="4"/>
      <c r="C953" s="4"/>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4">
      <c r="A954" s="4"/>
      <c r="B954" s="4"/>
      <c r="C954" s="4"/>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4">
      <c r="A955" s="4"/>
      <c r="B955" s="4"/>
      <c r="C955" s="4"/>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4">
      <c r="A956" s="4"/>
      <c r="B956" s="4"/>
      <c r="C956" s="4"/>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4">
      <c r="A957" s="4"/>
      <c r="B957" s="4"/>
      <c r="C957" s="4"/>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4">
      <c r="A958" s="4"/>
      <c r="B958" s="4"/>
      <c r="C958" s="4"/>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4">
      <c r="A959" s="4"/>
      <c r="B959" s="4"/>
      <c r="C959" s="4"/>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4">
      <c r="A960" s="4"/>
      <c r="B960" s="4"/>
      <c r="C960" s="4"/>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4">
      <c r="A961" s="4"/>
      <c r="B961" s="4"/>
      <c r="C961" s="4"/>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4">
      <c r="A962" s="4"/>
      <c r="B962" s="4"/>
      <c r="C962" s="4"/>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4">
      <c r="A963" s="4"/>
      <c r="B963" s="4"/>
      <c r="C963" s="4"/>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4">
      <c r="A964" s="4"/>
      <c r="B964" s="4"/>
      <c r="C964" s="4"/>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4">
      <c r="A965" s="4"/>
      <c r="B965" s="4"/>
      <c r="C965" s="4"/>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4">
      <c r="A966" s="4"/>
      <c r="B966" s="4"/>
      <c r="C966" s="4"/>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4">
      <c r="A967" s="4"/>
      <c r="B967" s="4"/>
      <c r="C967" s="4"/>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4">
      <c r="A968" s="4"/>
      <c r="B968" s="4"/>
      <c r="C968" s="4"/>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4">
      <c r="A969" s="4"/>
      <c r="B969" s="4"/>
      <c r="C969" s="4"/>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4">
      <c r="A970" s="4"/>
      <c r="B970" s="4"/>
      <c r="C970" s="4"/>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4">
      <c r="A971" s="4"/>
      <c r="B971" s="4"/>
      <c r="C971" s="4"/>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4">
      <c r="A972" s="4"/>
      <c r="B972" s="4"/>
      <c r="C972" s="4"/>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4">
      <c r="A973" s="4"/>
      <c r="B973" s="4"/>
      <c r="C973" s="4"/>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4">
      <c r="A974" s="4"/>
      <c r="B974" s="4"/>
      <c r="C974" s="4"/>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4">
      <c r="A975" s="4"/>
      <c r="B975" s="4"/>
      <c r="C975" s="4"/>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4">
      <c r="A976" s="4"/>
      <c r="B976" s="4"/>
      <c r="C976" s="4"/>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4">
      <c r="A977" s="4"/>
      <c r="B977" s="4"/>
      <c r="C977" s="4"/>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4">
      <c r="A978" s="4"/>
      <c r="B978" s="4"/>
      <c r="C978" s="4"/>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4">
      <c r="A979" s="4"/>
      <c r="B979" s="4"/>
      <c r="C979" s="4"/>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4">
      <c r="A980" s="4"/>
      <c r="B980" s="4"/>
      <c r="C980" s="4"/>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4">
      <c r="A981" s="4"/>
      <c r="B981" s="4"/>
      <c r="C981" s="4"/>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4">
      <c r="A982" s="4"/>
      <c r="B982" s="4"/>
      <c r="C982" s="4"/>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4">
      <c r="A983" s="4"/>
      <c r="B983" s="4"/>
      <c r="C983" s="4"/>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4">
      <c r="A984" s="4"/>
      <c r="B984" s="4"/>
      <c r="C984" s="4"/>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4">
      <c r="A985" s="4"/>
      <c r="B985" s="4"/>
      <c r="C985" s="4"/>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4">
      <c r="A986" s="4"/>
      <c r="B986" s="4"/>
      <c r="C986" s="4"/>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4">
      <c r="A987" s="4"/>
      <c r="B987" s="4"/>
      <c r="C987" s="4"/>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4">
      <c r="A988" s="4"/>
      <c r="B988" s="4"/>
      <c r="C988" s="4"/>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4">
      <c r="A989" s="4"/>
      <c r="B989" s="4"/>
      <c r="C989" s="4"/>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4">
      <c r="A990" s="4"/>
      <c r="B990" s="4"/>
      <c r="C990" s="4"/>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4">
      <c r="A991" s="4"/>
      <c r="B991" s="4"/>
      <c r="C991" s="4"/>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4">
      <c r="A992" s="4"/>
      <c r="B992" s="4"/>
      <c r="C992" s="4"/>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4">
      <c r="A993" s="4"/>
      <c r="B993" s="4"/>
      <c r="C993" s="4"/>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4">
      <c r="A994" s="4"/>
      <c r="B994" s="4"/>
      <c r="C994" s="4"/>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4">
      <c r="A995" s="4"/>
      <c r="B995" s="4"/>
      <c r="C995" s="4"/>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4">
      <c r="A996" s="4"/>
      <c r="B996" s="4"/>
      <c r="C996" s="4"/>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4">
      <c r="A997" s="4"/>
      <c r="B997" s="4"/>
      <c r="C997" s="4"/>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4">
      <c r="A998" s="4"/>
      <c r="B998" s="4"/>
      <c r="C998" s="4"/>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4">
      <c r="A999" s="4"/>
      <c r="B999" s="4"/>
      <c r="C999" s="4"/>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4">
      <c r="A1000" s="4"/>
      <c r="B1000" s="4"/>
      <c r="C1000" s="4"/>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4">
      <c r="A1001" s="4"/>
      <c r="B1001" s="4"/>
      <c r="C1001" s="4"/>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4">
      <c r="A1002" s="4"/>
      <c r="B1002" s="4"/>
      <c r="C1002" s="4"/>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4.4">
      <c r="A1003" s="4"/>
      <c r="B1003" s="4"/>
      <c r="C1003" s="4"/>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4.4">
      <c r="A1004" s="4"/>
      <c r="B1004" s="4"/>
      <c r="C1004" s="4"/>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4.4">
      <c r="A1005" s="4"/>
      <c r="B1005" s="4"/>
      <c r="C1005" s="4"/>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4.4">
      <c r="A1006" s="4"/>
      <c r="B1006" s="4"/>
      <c r="C1006" s="4"/>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4.4">
      <c r="A1007" s="4"/>
      <c r="B1007" s="4"/>
      <c r="C1007" s="4"/>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4.4">
      <c r="A1008" s="4"/>
      <c r="B1008" s="4"/>
      <c r="C1008" s="4"/>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20">
    <mergeCell ref="C15:C18"/>
    <mergeCell ref="A1:A4"/>
    <mergeCell ref="C1:C4"/>
    <mergeCell ref="A5:A11"/>
    <mergeCell ref="C5:C11"/>
    <mergeCell ref="A12:A14"/>
    <mergeCell ref="C12:C14"/>
    <mergeCell ref="A36:A37"/>
    <mergeCell ref="A39:A40"/>
    <mergeCell ref="C19:C24"/>
    <mergeCell ref="C26:C31"/>
    <mergeCell ref="C32:C33"/>
    <mergeCell ref="C34:C35"/>
    <mergeCell ref="C36:C37"/>
    <mergeCell ref="C39:C40"/>
    <mergeCell ref="A15:A18"/>
    <mergeCell ref="A19:A24"/>
    <mergeCell ref="A26:A31"/>
    <mergeCell ref="A32:A33"/>
    <mergeCell ref="A34:A35"/>
  </mergeCells>
  <hyperlinks>
    <hyperlink ref="C1" r:id="rId1" xr:uid="{00000000-0004-0000-0000-000000000000}"/>
    <hyperlink ref="C5" r:id="rId2" xr:uid="{00000000-0004-0000-0000-000001000000}"/>
    <hyperlink ref="C12" r:id="rId3" xr:uid="{00000000-0004-0000-0000-000002000000}"/>
    <hyperlink ref="C19" r:id="rId4" xr:uid="{00000000-0004-0000-0000-000003000000}"/>
    <hyperlink ref="C26" r:id="rId5" xr:uid="{00000000-0004-0000-0000-000004000000}"/>
    <hyperlink ref="C36" r:id="rId6" xr:uid="{00000000-0004-0000-0000-000005000000}"/>
    <hyperlink ref="C39" r:id="rId7" xr:uid="{00000000-0004-0000-0000-000006000000}"/>
  </hyperlinks>
  <printOptions horizontalCentered="1" gridLines="1"/>
  <pageMargins left="0.7" right="0.7" top="0.75" bottom="0.75" header="0" footer="0"/>
  <pageSetup paperSize="9" fitToHeight="0" pageOrder="overThenDown"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31"/>
  <sheetViews>
    <sheetView topLeftCell="A100" workbookViewId="0">
      <selection activeCell="A2" sqref="A2:C114"/>
    </sheetView>
  </sheetViews>
  <sheetFormatPr defaultColWidth="14.44140625" defaultRowHeight="15" customHeight="1"/>
  <cols>
    <col min="1" max="1" width="32.6640625" customWidth="1"/>
    <col min="2" max="2" width="87.33203125" customWidth="1"/>
    <col min="3" max="3" width="53.44140625" customWidth="1"/>
  </cols>
  <sheetData>
    <row r="1" spans="1:26">
      <c r="A1" s="5" t="s">
        <v>62</v>
      </c>
      <c r="B1" s="5" t="s">
        <v>63</v>
      </c>
      <c r="C1" s="5" t="s">
        <v>64</v>
      </c>
      <c r="D1" s="2"/>
      <c r="E1" s="2"/>
      <c r="F1" s="2"/>
      <c r="G1" s="2"/>
      <c r="H1" s="2"/>
      <c r="I1" s="2"/>
      <c r="J1" s="2"/>
      <c r="K1" s="2"/>
      <c r="L1" s="2"/>
      <c r="M1" s="2"/>
      <c r="N1" s="2"/>
      <c r="O1" s="2"/>
      <c r="P1" s="2"/>
      <c r="Q1" s="2"/>
      <c r="R1" s="2"/>
      <c r="S1" s="2"/>
      <c r="T1" s="2"/>
      <c r="U1" s="2"/>
      <c r="V1" s="2"/>
      <c r="W1" s="2"/>
      <c r="X1" s="2"/>
      <c r="Y1" s="2"/>
      <c r="Z1" s="2"/>
    </row>
    <row r="2" spans="1:26">
      <c r="A2" s="30" t="s">
        <v>65</v>
      </c>
      <c r="B2" s="1" t="s">
        <v>66</v>
      </c>
      <c r="C2" s="29" t="s">
        <v>67</v>
      </c>
      <c r="D2" s="2"/>
      <c r="E2" s="2"/>
      <c r="F2" s="2"/>
      <c r="G2" s="2"/>
      <c r="H2" s="2"/>
      <c r="I2" s="2"/>
      <c r="J2" s="2"/>
      <c r="K2" s="2"/>
      <c r="L2" s="2"/>
      <c r="M2" s="2"/>
      <c r="N2" s="2"/>
      <c r="O2" s="2"/>
      <c r="P2" s="2"/>
      <c r="Q2" s="2"/>
      <c r="R2" s="2"/>
      <c r="S2" s="2"/>
      <c r="T2" s="2"/>
      <c r="U2" s="2"/>
      <c r="V2" s="2"/>
      <c r="W2" s="2"/>
      <c r="X2" s="2"/>
      <c r="Y2" s="2"/>
      <c r="Z2" s="2"/>
    </row>
    <row r="3" spans="1:26">
      <c r="A3" s="25"/>
      <c r="B3" s="1" t="s">
        <v>68</v>
      </c>
      <c r="C3" s="25"/>
      <c r="D3" s="2"/>
      <c r="E3" s="2"/>
      <c r="F3" s="2"/>
      <c r="G3" s="2"/>
      <c r="H3" s="2"/>
      <c r="I3" s="2"/>
      <c r="J3" s="2"/>
      <c r="K3" s="2"/>
      <c r="L3" s="2"/>
      <c r="M3" s="2"/>
      <c r="N3" s="2"/>
      <c r="O3" s="2"/>
      <c r="P3" s="2"/>
      <c r="Q3" s="2"/>
      <c r="R3" s="2"/>
      <c r="S3" s="2"/>
      <c r="T3" s="2"/>
      <c r="U3" s="2"/>
      <c r="V3" s="2"/>
      <c r="W3" s="2"/>
      <c r="X3" s="2"/>
      <c r="Y3" s="2"/>
      <c r="Z3" s="2"/>
    </row>
    <row r="4" spans="1:26">
      <c r="A4" s="25"/>
      <c r="B4" s="1" t="s">
        <v>69</v>
      </c>
      <c r="C4" s="25"/>
      <c r="D4" s="2"/>
      <c r="E4" s="2"/>
      <c r="F4" s="2"/>
      <c r="G4" s="2"/>
      <c r="H4" s="2"/>
      <c r="I4" s="2"/>
      <c r="J4" s="2"/>
      <c r="K4" s="2"/>
      <c r="L4" s="2"/>
      <c r="M4" s="2"/>
      <c r="N4" s="2"/>
      <c r="O4" s="2"/>
      <c r="P4" s="2"/>
      <c r="Q4" s="2"/>
      <c r="R4" s="2"/>
      <c r="S4" s="2"/>
      <c r="T4" s="2"/>
      <c r="U4" s="2"/>
      <c r="V4" s="2"/>
      <c r="W4" s="2"/>
      <c r="X4" s="2"/>
      <c r="Y4" s="2"/>
      <c r="Z4" s="2"/>
    </row>
    <row r="5" spans="1:26">
      <c r="A5" s="25"/>
      <c r="B5" s="1" t="s">
        <v>70</v>
      </c>
      <c r="C5" s="25"/>
      <c r="D5" s="2"/>
      <c r="E5" s="2"/>
      <c r="F5" s="2"/>
      <c r="G5" s="2"/>
      <c r="H5" s="2"/>
      <c r="I5" s="2"/>
      <c r="J5" s="2"/>
      <c r="K5" s="2"/>
      <c r="L5" s="2"/>
      <c r="M5" s="2"/>
      <c r="N5" s="2"/>
      <c r="O5" s="2"/>
      <c r="P5" s="2"/>
      <c r="Q5" s="2"/>
      <c r="R5" s="2"/>
      <c r="S5" s="2"/>
      <c r="T5" s="2"/>
      <c r="U5" s="2"/>
      <c r="V5" s="2"/>
      <c r="W5" s="2"/>
      <c r="X5" s="2"/>
      <c r="Y5" s="2"/>
      <c r="Z5" s="2"/>
    </row>
    <row r="6" spans="1:26">
      <c r="A6" s="25"/>
      <c r="B6" s="1" t="s">
        <v>71</v>
      </c>
      <c r="C6" s="25"/>
      <c r="D6" s="2"/>
      <c r="E6" s="2"/>
      <c r="F6" s="2"/>
      <c r="G6" s="2"/>
      <c r="H6" s="2"/>
      <c r="I6" s="2"/>
      <c r="J6" s="2"/>
      <c r="K6" s="2"/>
      <c r="L6" s="2"/>
      <c r="M6" s="2"/>
      <c r="N6" s="2"/>
      <c r="O6" s="2"/>
      <c r="P6" s="2"/>
      <c r="Q6" s="2"/>
      <c r="R6" s="2"/>
      <c r="S6" s="2"/>
      <c r="T6" s="2"/>
      <c r="U6" s="2"/>
      <c r="V6" s="2"/>
      <c r="W6" s="2"/>
      <c r="X6" s="2"/>
      <c r="Y6" s="2"/>
      <c r="Z6" s="2"/>
    </row>
    <row r="7" spans="1:26">
      <c r="A7" s="25"/>
      <c r="B7" s="1" t="s">
        <v>72</v>
      </c>
      <c r="C7" s="25"/>
      <c r="D7" s="2"/>
      <c r="E7" s="2"/>
      <c r="F7" s="2"/>
      <c r="G7" s="2"/>
      <c r="H7" s="2"/>
      <c r="I7" s="2"/>
      <c r="J7" s="2"/>
      <c r="K7" s="2"/>
      <c r="L7" s="2"/>
      <c r="M7" s="2"/>
      <c r="N7" s="2"/>
      <c r="O7" s="2"/>
      <c r="P7" s="2"/>
      <c r="Q7" s="2"/>
      <c r="R7" s="2"/>
      <c r="S7" s="2"/>
      <c r="T7" s="2"/>
      <c r="U7" s="2"/>
      <c r="V7" s="2"/>
      <c r="W7" s="2"/>
      <c r="X7" s="2"/>
      <c r="Y7" s="2"/>
      <c r="Z7" s="2"/>
    </row>
    <row r="8" spans="1:26">
      <c r="A8" s="25"/>
      <c r="B8" s="6" t="s">
        <v>73</v>
      </c>
      <c r="C8" s="25"/>
      <c r="D8" s="2"/>
      <c r="E8" s="2"/>
      <c r="F8" s="2"/>
      <c r="G8" s="2"/>
      <c r="H8" s="2"/>
      <c r="I8" s="2"/>
      <c r="J8" s="2"/>
      <c r="K8" s="2"/>
      <c r="L8" s="2"/>
      <c r="M8" s="2"/>
      <c r="N8" s="2"/>
      <c r="O8" s="2"/>
      <c r="P8" s="2"/>
      <c r="Q8" s="2"/>
      <c r="R8" s="2"/>
      <c r="S8" s="2"/>
      <c r="T8" s="2"/>
      <c r="U8" s="2"/>
      <c r="V8" s="2"/>
      <c r="W8" s="2"/>
      <c r="X8" s="2"/>
      <c r="Y8" s="2"/>
      <c r="Z8" s="2"/>
    </row>
    <row r="9" spans="1:26">
      <c r="A9" s="25"/>
      <c r="B9" s="1" t="s">
        <v>74</v>
      </c>
      <c r="C9" s="25"/>
      <c r="D9" s="2"/>
      <c r="E9" s="2"/>
      <c r="F9" s="2"/>
      <c r="G9" s="2"/>
      <c r="H9" s="2"/>
      <c r="I9" s="2"/>
      <c r="J9" s="2"/>
      <c r="K9" s="2"/>
      <c r="L9" s="2"/>
      <c r="M9" s="2"/>
      <c r="N9" s="2"/>
      <c r="O9" s="2"/>
      <c r="P9" s="2"/>
      <c r="Q9" s="2"/>
      <c r="R9" s="2"/>
      <c r="S9" s="2"/>
      <c r="T9" s="2"/>
      <c r="U9" s="2"/>
      <c r="V9" s="2"/>
      <c r="W9" s="2"/>
      <c r="X9" s="2"/>
      <c r="Y9" s="2"/>
      <c r="Z9" s="2"/>
    </row>
    <row r="10" spans="1:26">
      <c r="A10" s="25"/>
      <c r="B10" s="1" t="s">
        <v>75</v>
      </c>
      <c r="C10" s="25"/>
      <c r="D10" s="2"/>
      <c r="E10" s="2"/>
      <c r="F10" s="2"/>
      <c r="G10" s="2"/>
      <c r="H10" s="2"/>
      <c r="I10" s="2"/>
      <c r="J10" s="2"/>
      <c r="K10" s="2"/>
      <c r="L10" s="2"/>
      <c r="M10" s="2"/>
      <c r="N10" s="2"/>
      <c r="O10" s="2"/>
      <c r="P10" s="2"/>
      <c r="Q10" s="2"/>
      <c r="R10" s="2"/>
      <c r="S10" s="2"/>
      <c r="T10" s="2"/>
      <c r="U10" s="2"/>
      <c r="V10" s="2"/>
      <c r="W10" s="2"/>
      <c r="X10" s="2"/>
      <c r="Y10" s="2"/>
      <c r="Z10" s="2"/>
    </row>
    <row r="11" spans="1:26">
      <c r="A11" s="25"/>
      <c r="B11" s="1" t="s">
        <v>76</v>
      </c>
      <c r="C11" s="25"/>
      <c r="D11" s="2"/>
      <c r="E11" s="2"/>
      <c r="F11" s="2"/>
      <c r="G11" s="2"/>
      <c r="H11" s="2"/>
      <c r="I11" s="2"/>
      <c r="J11" s="2"/>
      <c r="K11" s="2"/>
      <c r="L11" s="2"/>
      <c r="M11" s="2"/>
      <c r="N11" s="2"/>
      <c r="O11" s="2"/>
      <c r="P11" s="2"/>
      <c r="Q11" s="2"/>
      <c r="R11" s="2"/>
      <c r="S11" s="2"/>
      <c r="T11" s="2"/>
      <c r="U11" s="2"/>
      <c r="V11" s="2"/>
      <c r="W11" s="2"/>
      <c r="X11" s="2"/>
      <c r="Y11" s="2"/>
      <c r="Z11" s="2"/>
    </row>
    <row r="12" spans="1:26">
      <c r="A12" s="25"/>
      <c r="B12" s="1" t="s">
        <v>77</v>
      </c>
      <c r="C12" s="25"/>
      <c r="D12" s="2"/>
      <c r="E12" s="2"/>
      <c r="F12" s="2"/>
      <c r="G12" s="2"/>
      <c r="H12" s="2"/>
      <c r="I12" s="2"/>
      <c r="J12" s="2"/>
      <c r="K12" s="2"/>
      <c r="L12" s="2"/>
      <c r="M12" s="2"/>
      <c r="N12" s="2"/>
      <c r="O12" s="2"/>
      <c r="P12" s="2"/>
      <c r="Q12" s="2"/>
      <c r="R12" s="2"/>
      <c r="S12" s="2"/>
      <c r="T12" s="2"/>
      <c r="U12" s="2"/>
      <c r="V12" s="2"/>
      <c r="W12" s="2"/>
      <c r="X12" s="2"/>
      <c r="Y12" s="2"/>
      <c r="Z12" s="2"/>
    </row>
    <row r="13" spans="1:26">
      <c r="A13" s="25"/>
      <c r="B13" s="1" t="s">
        <v>78</v>
      </c>
      <c r="C13" s="25"/>
      <c r="D13" s="2"/>
      <c r="E13" s="2"/>
      <c r="F13" s="2"/>
      <c r="G13" s="2"/>
      <c r="H13" s="2"/>
      <c r="I13" s="2"/>
      <c r="J13" s="2"/>
      <c r="K13" s="2"/>
      <c r="L13" s="2"/>
      <c r="M13" s="2"/>
      <c r="N13" s="2"/>
      <c r="O13" s="2"/>
      <c r="P13" s="2"/>
      <c r="Q13" s="2"/>
      <c r="R13" s="2"/>
      <c r="S13" s="2"/>
      <c r="T13" s="2"/>
      <c r="U13" s="2"/>
      <c r="V13" s="2"/>
      <c r="W13" s="2"/>
      <c r="X13" s="2"/>
      <c r="Y13" s="2"/>
      <c r="Z13" s="2"/>
    </row>
    <row r="14" spans="1:26">
      <c r="A14" s="26"/>
      <c r="B14" s="1" t="s">
        <v>79</v>
      </c>
      <c r="C14" s="26"/>
      <c r="D14" s="2"/>
      <c r="E14" s="2"/>
      <c r="F14" s="2"/>
      <c r="G14" s="2"/>
      <c r="H14" s="2"/>
      <c r="I14" s="2"/>
      <c r="J14" s="2"/>
      <c r="K14" s="2"/>
      <c r="L14" s="2"/>
      <c r="M14" s="2"/>
      <c r="N14" s="2"/>
      <c r="O14" s="2"/>
      <c r="P14" s="2"/>
      <c r="Q14" s="2"/>
      <c r="R14" s="2"/>
      <c r="S14" s="2"/>
      <c r="T14" s="2"/>
      <c r="U14" s="2"/>
      <c r="V14" s="2"/>
      <c r="W14" s="2"/>
      <c r="X14" s="2"/>
      <c r="Y14" s="2"/>
      <c r="Z14" s="2"/>
    </row>
    <row r="15" spans="1:26">
      <c r="A15" s="24" t="s">
        <v>80</v>
      </c>
      <c r="B15" s="4" t="s">
        <v>81</v>
      </c>
      <c r="C15" s="24" t="s">
        <v>82</v>
      </c>
      <c r="D15" s="2"/>
      <c r="E15" s="2"/>
      <c r="F15" s="2"/>
      <c r="G15" s="2"/>
      <c r="H15" s="2"/>
      <c r="I15" s="2"/>
      <c r="J15" s="2"/>
      <c r="K15" s="2"/>
      <c r="L15" s="2"/>
      <c r="M15" s="2"/>
      <c r="N15" s="2"/>
      <c r="O15" s="2"/>
      <c r="P15" s="2"/>
      <c r="Q15" s="2"/>
      <c r="R15" s="2"/>
      <c r="S15" s="2"/>
      <c r="T15" s="2"/>
      <c r="U15" s="2"/>
      <c r="V15" s="2"/>
      <c r="W15" s="2"/>
      <c r="X15" s="2"/>
      <c r="Y15" s="2"/>
      <c r="Z15" s="2"/>
    </row>
    <row r="16" spans="1:26">
      <c r="A16" s="25"/>
      <c r="B16" s="4" t="s">
        <v>83</v>
      </c>
      <c r="C16" s="25"/>
      <c r="D16" s="2"/>
      <c r="E16" s="2"/>
      <c r="F16" s="2"/>
      <c r="G16" s="2"/>
      <c r="H16" s="2"/>
      <c r="I16" s="2"/>
      <c r="J16" s="2"/>
      <c r="K16" s="2"/>
      <c r="L16" s="2"/>
      <c r="M16" s="2"/>
      <c r="N16" s="2"/>
      <c r="O16" s="2"/>
      <c r="P16" s="2"/>
      <c r="Q16" s="2"/>
      <c r="R16" s="2"/>
      <c r="S16" s="2"/>
      <c r="T16" s="2"/>
      <c r="U16" s="2"/>
      <c r="V16" s="2"/>
      <c r="W16" s="2"/>
      <c r="X16" s="2"/>
      <c r="Y16" s="2"/>
      <c r="Z16" s="2"/>
    </row>
    <row r="17" spans="1:26">
      <c r="A17" s="26"/>
      <c r="B17" s="4" t="s">
        <v>84</v>
      </c>
      <c r="C17" s="26"/>
      <c r="D17" s="2"/>
      <c r="E17" s="2"/>
      <c r="F17" s="2"/>
      <c r="G17" s="2"/>
      <c r="H17" s="2"/>
      <c r="I17" s="2"/>
      <c r="J17" s="2"/>
      <c r="K17" s="2"/>
      <c r="L17" s="2"/>
      <c r="M17" s="2"/>
      <c r="N17" s="2"/>
      <c r="O17" s="2"/>
      <c r="P17" s="2"/>
      <c r="Q17" s="2"/>
      <c r="R17" s="2"/>
      <c r="S17" s="2"/>
      <c r="T17" s="2"/>
      <c r="U17" s="2"/>
      <c r="V17" s="2"/>
      <c r="W17" s="2"/>
      <c r="X17" s="2"/>
      <c r="Y17" s="2"/>
      <c r="Z17" s="2"/>
    </row>
    <row r="18" spans="1:26">
      <c r="A18" s="24" t="s">
        <v>85</v>
      </c>
      <c r="B18" s="4" t="s">
        <v>86</v>
      </c>
      <c r="C18" s="24" t="s">
        <v>87</v>
      </c>
      <c r="D18" s="2"/>
      <c r="E18" s="2"/>
      <c r="F18" s="2"/>
      <c r="G18" s="2"/>
      <c r="H18" s="2"/>
      <c r="I18" s="2"/>
      <c r="J18" s="2"/>
      <c r="K18" s="2"/>
      <c r="L18" s="2"/>
      <c r="M18" s="2"/>
      <c r="N18" s="2"/>
      <c r="O18" s="2"/>
      <c r="P18" s="2"/>
      <c r="Q18" s="2"/>
      <c r="R18" s="2"/>
      <c r="S18" s="2"/>
      <c r="T18" s="2"/>
      <c r="U18" s="2"/>
      <c r="V18" s="2"/>
      <c r="W18" s="2"/>
      <c r="X18" s="2"/>
      <c r="Y18" s="2"/>
      <c r="Z18" s="2"/>
    </row>
    <row r="19" spans="1:26">
      <c r="A19" s="25"/>
      <c r="B19" s="4" t="s">
        <v>88</v>
      </c>
      <c r="C19" s="25"/>
      <c r="D19" s="2"/>
      <c r="E19" s="2"/>
      <c r="F19" s="2"/>
      <c r="G19" s="2"/>
      <c r="H19" s="2"/>
      <c r="I19" s="2"/>
      <c r="J19" s="2"/>
      <c r="K19" s="2"/>
      <c r="L19" s="2"/>
      <c r="M19" s="2"/>
      <c r="N19" s="2"/>
      <c r="O19" s="2"/>
      <c r="P19" s="2"/>
      <c r="Q19" s="2"/>
      <c r="R19" s="2"/>
      <c r="S19" s="2"/>
      <c r="T19" s="2"/>
      <c r="U19" s="2"/>
      <c r="V19" s="2"/>
      <c r="W19" s="2"/>
      <c r="X19" s="2"/>
      <c r="Y19" s="2"/>
      <c r="Z19" s="2"/>
    </row>
    <row r="20" spans="1:26">
      <c r="A20" s="26"/>
      <c r="B20" s="4" t="s">
        <v>89</v>
      </c>
      <c r="C20" s="26"/>
      <c r="D20" s="2"/>
      <c r="E20" s="2"/>
      <c r="F20" s="2"/>
      <c r="G20" s="2"/>
      <c r="H20" s="2"/>
      <c r="I20" s="2"/>
      <c r="J20" s="2"/>
      <c r="K20" s="2"/>
      <c r="L20" s="2"/>
      <c r="M20" s="2"/>
      <c r="N20" s="2"/>
      <c r="O20" s="2"/>
      <c r="P20" s="2"/>
      <c r="Q20" s="2"/>
      <c r="R20" s="2"/>
      <c r="S20" s="2"/>
      <c r="T20" s="2"/>
      <c r="U20" s="2"/>
      <c r="V20" s="2"/>
      <c r="W20" s="2"/>
      <c r="X20" s="2"/>
      <c r="Y20" s="2"/>
      <c r="Z20" s="2"/>
    </row>
    <row r="21" spans="1:26">
      <c r="A21" s="24" t="s">
        <v>90</v>
      </c>
      <c r="B21" s="4" t="s">
        <v>91</v>
      </c>
      <c r="C21" s="27" t="s">
        <v>92</v>
      </c>
      <c r="D21" s="2"/>
      <c r="E21" s="2"/>
      <c r="F21" s="2"/>
      <c r="G21" s="2"/>
      <c r="H21" s="2"/>
      <c r="I21" s="2"/>
      <c r="J21" s="2"/>
      <c r="K21" s="2"/>
      <c r="L21" s="2"/>
      <c r="M21" s="2"/>
      <c r="N21" s="2"/>
      <c r="O21" s="2"/>
      <c r="P21" s="2"/>
      <c r="Q21" s="2"/>
      <c r="R21" s="2"/>
      <c r="S21" s="2"/>
      <c r="T21" s="2"/>
      <c r="U21" s="2"/>
      <c r="V21" s="2"/>
      <c r="W21" s="2"/>
      <c r="X21" s="2"/>
      <c r="Y21" s="2"/>
      <c r="Z21" s="2"/>
    </row>
    <row r="22" spans="1:26">
      <c r="A22" s="26"/>
      <c r="B22" s="4" t="s">
        <v>93</v>
      </c>
      <c r="C22" s="26"/>
      <c r="D22" s="2"/>
      <c r="E22" s="2"/>
      <c r="F22" s="2"/>
      <c r="G22" s="2"/>
      <c r="H22" s="2"/>
      <c r="I22" s="2"/>
      <c r="J22" s="2"/>
      <c r="K22" s="2"/>
      <c r="L22" s="2"/>
      <c r="M22" s="2"/>
      <c r="N22" s="2"/>
      <c r="O22" s="2"/>
      <c r="P22" s="2"/>
      <c r="Q22" s="2"/>
      <c r="R22" s="2"/>
      <c r="S22" s="2"/>
      <c r="T22" s="2"/>
      <c r="U22" s="2"/>
      <c r="V22" s="2"/>
      <c r="W22" s="2"/>
      <c r="X22" s="2"/>
      <c r="Y22" s="2"/>
      <c r="Z22" s="2"/>
    </row>
    <row r="23" spans="1:26">
      <c r="A23" s="24" t="s">
        <v>94</v>
      </c>
      <c r="B23" s="4" t="s">
        <v>95</v>
      </c>
      <c r="C23" s="31" t="s">
        <v>96</v>
      </c>
      <c r="D23" s="2"/>
      <c r="E23" s="2"/>
      <c r="F23" s="2"/>
      <c r="G23" s="2"/>
      <c r="H23" s="2"/>
      <c r="I23" s="2"/>
      <c r="J23" s="2"/>
      <c r="K23" s="2"/>
      <c r="L23" s="2"/>
      <c r="M23" s="2"/>
      <c r="N23" s="2"/>
      <c r="O23" s="2"/>
      <c r="P23" s="2"/>
      <c r="Q23" s="2"/>
      <c r="R23" s="2"/>
      <c r="S23" s="2"/>
      <c r="T23" s="2"/>
      <c r="U23" s="2"/>
      <c r="V23" s="2"/>
      <c r="W23" s="2"/>
      <c r="X23" s="2"/>
      <c r="Y23" s="2"/>
      <c r="Z23" s="2"/>
    </row>
    <row r="24" spans="1:26">
      <c r="A24" s="25"/>
      <c r="B24" s="4" t="s">
        <v>97</v>
      </c>
      <c r="C24" s="25"/>
      <c r="D24" s="2"/>
      <c r="E24" s="2"/>
      <c r="F24" s="2"/>
      <c r="G24" s="2"/>
      <c r="H24" s="2"/>
      <c r="I24" s="2"/>
      <c r="J24" s="2"/>
      <c r="K24" s="2"/>
      <c r="L24" s="2"/>
      <c r="M24" s="2"/>
      <c r="N24" s="2"/>
      <c r="O24" s="2"/>
      <c r="P24" s="2"/>
      <c r="Q24" s="2"/>
      <c r="R24" s="2"/>
      <c r="S24" s="2"/>
      <c r="T24" s="2"/>
      <c r="U24" s="2"/>
      <c r="V24" s="2"/>
      <c r="W24" s="2"/>
      <c r="X24" s="2"/>
      <c r="Y24" s="2"/>
      <c r="Z24" s="2"/>
    </row>
    <row r="25" spans="1:26">
      <c r="A25" s="25"/>
      <c r="B25" s="4" t="s">
        <v>98</v>
      </c>
      <c r="C25" s="25"/>
      <c r="D25" s="2"/>
      <c r="E25" s="2"/>
      <c r="F25" s="2"/>
      <c r="G25" s="2"/>
      <c r="H25" s="2"/>
      <c r="I25" s="2"/>
      <c r="J25" s="2"/>
      <c r="K25" s="2"/>
      <c r="L25" s="2"/>
      <c r="M25" s="2"/>
      <c r="N25" s="2"/>
      <c r="O25" s="2"/>
      <c r="P25" s="2"/>
      <c r="Q25" s="2"/>
      <c r="R25" s="2"/>
      <c r="S25" s="2"/>
      <c r="T25" s="2"/>
      <c r="U25" s="2"/>
      <c r="V25" s="2"/>
      <c r="W25" s="2"/>
      <c r="X25" s="2"/>
      <c r="Y25" s="2"/>
      <c r="Z25" s="2"/>
    </row>
    <row r="26" spans="1:26">
      <c r="A26" s="25"/>
      <c r="B26" s="4" t="s">
        <v>99</v>
      </c>
      <c r="C26" s="25"/>
      <c r="D26" s="2"/>
      <c r="E26" s="2"/>
      <c r="F26" s="2"/>
      <c r="G26" s="2"/>
      <c r="H26" s="2"/>
      <c r="I26" s="2"/>
      <c r="J26" s="2"/>
      <c r="K26" s="2"/>
      <c r="L26" s="2"/>
      <c r="M26" s="2"/>
      <c r="N26" s="2"/>
      <c r="O26" s="2"/>
      <c r="P26" s="2"/>
      <c r="Q26" s="2"/>
      <c r="R26" s="2"/>
      <c r="S26" s="2"/>
      <c r="T26" s="2"/>
      <c r="U26" s="2"/>
      <c r="V26" s="2"/>
      <c r="W26" s="2"/>
      <c r="X26" s="2"/>
      <c r="Y26" s="2"/>
      <c r="Z26" s="2"/>
    </row>
    <row r="27" spans="1:26">
      <c r="A27" s="25"/>
      <c r="B27" s="4" t="s">
        <v>100</v>
      </c>
      <c r="C27" s="25"/>
      <c r="D27" s="2"/>
      <c r="E27" s="2"/>
      <c r="F27" s="2"/>
      <c r="G27" s="2"/>
      <c r="H27" s="2"/>
      <c r="I27" s="2"/>
      <c r="J27" s="2"/>
      <c r="K27" s="2"/>
      <c r="L27" s="2"/>
      <c r="M27" s="2"/>
      <c r="N27" s="2"/>
      <c r="O27" s="2"/>
      <c r="P27" s="2"/>
      <c r="Q27" s="2"/>
      <c r="R27" s="2"/>
      <c r="S27" s="2"/>
      <c r="T27" s="2"/>
      <c r="U27" s="2"/>
      <c r="V27" s="2"/>
      <c r="W27" s="2"/>
      <c r="X27" s="2"/>
      <c r="Y27" s="2"/>
      <c r="Z27" s="2"/>
    </row>
    <row r="28" spans="1:26">
      <c r="A28" s="25"/>
      <c r="B28" s="4" t="s">
        <v>101</v>
      </c>
      <c r="C28" s="25"/>
      <c r="D28" s="2"/>
      <c r="E28" s="2"/>
      <c r="F28" s="2"/>
      <c r="G28" s="2"/>
      <c r="H28" s="2"/>
      <c r="I28" s="2"/>
      <c r="J28" s="2"/>
      <c r="K28" s="2"/>
      <c r="L28" s="2"/>
      <c r="M28" s="2"/>
      <c r="N28" s="2"/>
      <c r="O28" s="2"/>
      <c r="P28" s="2"/>
      <c r="Q28" s="2"/>
      <c r="R28" s="2"/>
      <c r="S28" s="2"/>
      <c r="T28" s="2"/>
      <c r="U28" s="2"/>
      <c r="V28" s="2"/>
      <c r="W28" s="2"/>
      <c r="X28" s="2"/>
      <c r="Y28" s="2"/>
      <c r="Z28" s="2"/>
    </row>
    <row r="29" spans="1:26">
      <c r="A29" s="25"/>
      <c r="B29" s="4" t="s">
        <v>102</v>
      </c>
      <c r="C29" s="25"/>
      <c r="D29" s="2"/>
      <c r="E29" s="2"/>
      <c r="F29" s="2"/>
      <c r="G29" s="2"/>
      <c r="H29" s="2"/>
      <c r="I29" s="2"/>
      <c r="J29" s="2"/>
      <c r="K29" s="2"/>
      <c r="L29" s="2"/>
      <c r="M29" s="2"/>
      <c r="N29" s="2"/>
      <c r="O29" s="2"/>
      <c r="P29" s="2"/>
      <c r="Q29" s="2"/>
      <c r="R29" s="2"/>
      <c r="S29" s="2"/>
      <c r="T29" s="2"/>
      <c r="U29" s="2"/>
      <c r="V29" s="2"/>
      <c r="W29" s="2"/>
      <c r="X29" s="2"/>
      <c r="Y29" s="2"/>
      <c r="Z29" s="2"/>
    </row>
    <row r="30" spans="1:26">
      <c r="A30" s="25"/>
      <c r="B30" s="4" t="s">
        <v>98</v>
      </c>
      <c r="C30" s="25"/>
      <c r="D30" s="2"/>
      <c r="E30" s="2"/>
      <c r="F30" s="2"/>
      <c r="G30" s="2"/>
      <c r="H30" s="2"/>
      <c r="I30" s="2"/>
      <c r="J30" s="2"/>
      <c r="K30" s="2"/>
      <c r="L30" s="2"/>
      <c r="M30" s="2"/>
      <c r="N30" s="2"/>
      <c r="O30" s="2"/>
      <c r="P30" s="2"/>
      <c r="Q30" s="2"/>
      <c r="R30" s="2"/>
      <c r="S30" s="2"/>
      <c r="T30" s="2"/>
      <c r="U30" s="2"/>
      <c r="V30" s="2"/>
      <c r="W30" s="2"/>
      <c r="X30" s="2"/>
      <c r="Y30" s="2"/>
      <c r="Z30" s="2"/>
    </row>
    <row r="31" spans="1:26">
      <c r="A31" s="25"/>
      <c r="B31" s="4" t="s">
        <v>103</v>
      </c>
      <c r="C31" s="25"/>
      <c r="D31" s="2"/>
      <c r="E31" s="2"/>
      <c r="F31" s="2"/>
      <c r="G31" s="2"/>
      <c r="H31" s="2"/>
      <c r="I31" s="2"/>
      <c r="J31" s="2"/>
      <c r="K31" s="2"/>
      <c r="L31" s="2"/>
      <c r="M31" s="2"/>
      <c r="N31" s="2"/>
      <c r="O31" s="2"/>
      <c r="P31" s="2"/>
      <c r="Q31" s="2"/>
      <c r="R31" s="2"/>
      <c r="S31" s="2"/>
      <c r="T31" s="2"/>
      <c r="U31" s="2"/>
      <c r="V31" s="2"/>
      <c r="W31" s="2"/>
      <c r="X31" s="2"/>
      <c r="Y31" s="2"/>
      <c r="Z31" s="2"/>
    </row>
    <row r="32" spans="1:26">
      <c r="A32" s="25"/>
      <c r="B32" s="4"/>
      <c r="C32" s="26"/>
      <c r="D32" s="2"/>
      <c r="E32" s="2"/>
      <c r="F32" s="2"/>
      <c r="G32" s="2"/>
      <c r="H32" s="2"/>
      <c r="I32" s="2"/>
      <c r="J32" s="2"/>
      <c r="K32" s="2"/>
      <c r="L32" s="2"/>
      <c r="M32" s="2"/>
      <c r="N32" s="2"/>
      <c r="O32" s="2"/>
      <c r="P32" s="2"/>
      <c r="Q32" s="2"/>
      <c r="R32" s="2"/>
      <c r="S32" s="2"/>
      <c r="T32" s="2"/>
      <c r="U32" s="2"/>
      <c r="V32" s="2"/>
      <c r="W32" s="2"/>
      <c r="X32" s="2"/>
      <c r="Y32" s="2"/>
      <c r="Z32" s="2"/>
    </row>
    <row r="33" spans="1:26">
      <c r="A33" s="26"/>
      <c r="B33" s="4"/>
      <c r="C33" s="4"/>
      <c r="D33" s="2"/>
      <c r="E33" s="2"/>
      <c r="F33" s="2"/>
      <c r="G33" s="2"/>
      <c r="H33" s="2"/>
      <c r="I33" s="2"/>
      <c r="J33" s="2"/>
      <c r="K33" s="2"/>
      <c r="L33" s="2"/>
      <c r="M33" s="2"/>
      <c r="N33" s="2"/>
      <c r="O33" s="2"/>
      <c r="P33" s="2"/>
      <c r="Q33" s="2"/>
      <c r="R33" s="2"/>
      <c r="S33" s="2"/>
      <c r="T33" s="2"/>
      <c r="U33" s="2"/>
      <c r="V33" s="2"/>
      <c r="W33" s="2"/>
      <c r="X33" s="2"/>
      <c r="Y33" s="2"/>
      <c r="Z33" s="2"/>
    </row>
    <row r="34" spans="1:26">
      <c r="A34" s="24" t="s">
        <v>104</v>
      </c>
      <c r="B34" s="4" t="s">
        <v>101</v>
      </c>
      <c r="C34" s="27" t="s">
        <v>105</v>
      </c>
      <c r="D34" s="2"/>
      <c r="E34" s="2"/>
      <c r="F34" s="2"/>
      <c r="G34" s="2"/>
      <c r="H34" s="2"/>
      <c r="I34" s="2"/>
      <c r="J34" s="2"/>
      <c r="K34" s="2"/>
      <c r="L34" s="2"/>
      <c r="M34" s="2"/>
      <c r="N34" s="2"/>
      <c r="O34" s="2"/>
      <c r="P34" s="2"/>
      <c r="Q34" s="2"/>
      <c r="R34" s="2"/>
      <c r="S34" s="2"/>
      <c r="T34" s="2"/>
      <c r="U34" s="2"/>
      <c r="V34" s="2"/>
      <c r="W34" s="2"/>
      <c r="X34" s="2"/>
      <c r="Y34" s="2"/>
      <c r="Z34" s="2"/>
    </row>
    <row r="35" spans="1:26">
      <c r="A35" s="25"/>
      <c r="B35" s="7" t="s">
        <v>106</v>
      </c>
      <c r="C35" s="25"/>
      <c r="D35" s="2"/>
      <c r="E35" s="2"/>
      <c r="F35" s="2"/>
      <c r="G35" s="2"/>
      <c r="H35" s="2"/>
      <c r="I35" s="2"/>
      <c r="J35" s="2"/>
      <c r="K35" s="2"/>
      <c r="L35" s="2"/>
      <c r="M35" s="2"/>
      <c r="N35" s="2"/>
      <c r="O35" s="2"/>
      <c r="P35" s="2"/>
      <c r="Q35" s="2"/>
      <c r="R35" s="2"/>
      <c r="S35" s="2"/>
      <c r="T35" s="2"/>
      <c r="U35" s="2"/>
      <c r="V35" s="2"/>
      <c r="W35" s="2"/>
      <c r="X35" s="2"/>
      <c r="Y35" s="2"/>
      <c r="Z35" s="2"/>
    </row>
    <row r="36" spans="1:26">
      <c r="A36" s="25"/>
      <c r="B36" s="4" t="s">
        <v>107</v>
      </c>
      <c r="C36" s="25"/>
      <c r="D36" s="2"/>
      <c r="E36" s="2"/>
      <c r="F36" s="2"/>
      <c r="G36" s="2"/>
      <c r="H36" s="2"/>
      <c r="I36" s="2"/>
      <c r="J36" s="2"/>
      <c r="K36" s="2"/>
      <c r="L36" s="2"/>
      <c r="M36" s="2"/>
      <c r="N36" s="2"/>
      <c r="O36" s="2"/>
      <c r="P36" s="2"/>
      <c r="Q36" s="2"/>
      <c r="R36" s="2"/>
      <c r="S36" s="2"/>
      <c r="T36" s="2"/>
      <c r="U36" s="2"/>
      <c r="V36" s="2"/>
      <c r="W36" s="2"/>
      <c r="X36" s="2"/>
      <c r="Y36" s="2"/>
      <c r="Z36" s="2"/>
    </row>
    <row r="37" spans="1:26">
      <c r="A37" s="26"/>
      <c r="B37" s="4" t="s">
        <v>108</v>
      </c>
      <c r="C37" s="26"/>
      <c r="D37" s="2"/>
      <c r="E37" s="2"/>
      <c r="F37" s="2"/>
      <c r="G37" s="2"/>
      <c r="H37" s="2"/>
      <c r="I37" s="2"/>
      <c r="J37" s="2"/>
      <c r="K37" s="2"/>
      <c r="L37" s="2"/>
      <c r="M37" s="2"/>
      <c r="N37" s="2"/>
      <c r="O37" s="2"/>
      <c r="P37" s="2"/>
      <c r="Q37" s="2"/>
      <c r="R37" s="2"/>
      <c r="S37" s="2"/>
      <c r="T37" s="2"/>
      <c r="U37" s="2"/>
      <c r="V37" s="2"/>
      <c r="W37" s="2"/>
      <c r="X37" s="2"/>
      <c r="Y37" s="2"/>
      <c r="Z37" s="2"/>
    </row>
    <row r="38" spans="1:26">
      <c r="A38" s="24" t="s">
        <v>109</v>
      </c>
      <c r="B38" s="4" t="s">
        <v>110</v>
      </c>
      <c r="C38" s="24" t="s">
        <v>111</v>
      </c>
      <c r="D38" s="2"/>
      <c r="E38" s="2"/>
      <c r="F38" s="2"/>
      <c r="G38" s="2"/>
      <c r="H38" s="2"/>
      <c r="I38" s="2"/>
      <c r="J38" s="2"/>
      <c r="K38" s="2"/>
      <c r="L38" s="2"/>
      <c r="M38" s="2"/>
      <c r="N38" s="2"/>
      <c r="O38" s="2"/>
      <c r="P38" s="2"/>
      <c r="Q38" s="2"/>
      <c r="R38" s="2"/>
      <c r="S38" s="2"/>
      <c r="T38" s="2"/>
      <c r="U38" s="2"/>
      <c r="V38" s="2"/>
      <c r="W38" s="2"/>
      <c r="X38" s="2"/>
      <c r="Y38" s="2"/>
      <c r="Z38" s="2"/>
    </row>
    <row r="39" spans="1:26">
      <c r="A39" s="25"/>
      <c r="B39" s="4" t="s">
        <v>112</v>
      </c>
      <c r="C39" s="25"/>
      <c r="D39" s="2"/>
      <c r="E39" s="2"/>
      <c r="F39" s="2"/>
      <c r="G39" s="2"/>
      <c r="H39" s="2"/>
      <c r="I39" s="2"/>
      <c r="J39" s="2"/>
      <c r="K39" s="2"/>
      <c r="L39" s="2"/>
      <c r="M39" s="2"/>
      <c r="N39" s="2"/>
      <c r="O39" s="2"/>
      <c r="P39" s="2"/>
      <c r="Q39" s="2"/>
      <c r="R39" s="2"/>
      <c r="S39" s="2"/>
      <c r="T39" s="2"/>
      <c r="U39" s="2"/>
      <c r="V39" s="2"/>
      <c r="W39" s="2"/>
      <c r="X39" s="2"/>
      <c r="Y39" s="2"/>
      <c r="Z39" s="2"/>
    </row>
    <row r="40" spans="1:26">
      <c r="A40" s="25"/>
      <c r="B40" s="4" t="s">
        <v>113</v>
      </c>
      <c r="C40" s="25"/>
      <c r="D40" s="2"/>
      <c r="E40" s="2"/>
      <c r="F40" s="2"/>
      <c r="G40" s="2"/>
      <c r="H40" s="2"/>
      <c r="I40" s="2"/>
      <c r="J40" s="2"/>
      <c r="K40" s="2"/>
      <c r="L40" s="2"/>
      <c r="M40" s="2"/>
      <c r="N40" s="2"/>
      <c r="O40" s="2"/>
      <c r="P40" s="2"/>
      <c r="Q40" s="2"/>
      <c r="R40" s="2"/>
      <c r="S40" s="2"/>
      <c r="T40" s="2"/>
      <c r="U40" s="2"/>
      <c r="V40" s="2"/>
      <c r="W40" s="2"/>
      <c r="X40" s="2"/>
      <c r="Y40" s="2"/>
      <c r="Z40" s="2"/>
    </row>
    <row r="41" spans="1:26">
      <c r="A41" s="25"/>
      <c r="B41" s="4" t="s">
        <v>114</v>
      </c>
      <c r="C41" s="25"/>
      <c r="D41" s="2"/>
      <c r="E41" s="2"/>
      <c r="F41" s="2"/>
      <c r="G41" s="2"/>
      <c r="H41" s="2"/>
      <c r="I41" s="2"/>
      <c r="J41" s="2"/>
      <c r="K41" s="2"/>
      <c r="L41" s="2"/>
      <c r="M41" s="2"/>
      <c r="N41" s="2"/>
      <c r="O41" s="2"/>
      <c r="P41" s="2"/>
      <c r="Q41" s="2"/>
      <c r="R41" s="2"/>
      <c r="S41" s="2"/>
      <c r="T41" s="2"/>
      <c r="U41" s="2"/>
      <c r="V41" s="2"/>
      <c r="W41" s="2"/>
      <c r="X41" s="2"/>
      <c r="Y41" s="2"/>
      <c r="Z41" s="2"/>
    </row>
    <row r="42" spans="1:26">
      <c r="A42" s="26"/>
      <c r="B42" s="4" t="s">
        <v>115</v>
      </c>
      <c r="C42" s="26"/>
      <c r="D42" s="2"/>
      <c r="E42" s="2"/>
      <c r="F42" s="2"/>
      <c r="G42" s="2"/>
      <c r="H42" s="2"/>
      <c r="I42" s="2"/>
      <c r="J42" s="2"/>
      <c r="K42" s="2"/>
      <c r="L42" s="2"/>
      <c r="M42" s="2"/>
      <c r="N42" s="2"/>
      <c r="O42" s="2"/>
      <c r="P42" s="2"/>
      <c r="Q42" s="2"/>
      <c r="R42" s="2"/>
      <c r="S42" s="2"/>
      <c r="T42" s="2"/>
      <c r="U42" s="2"/>
      <c r="V42" s="2"/>
      <c r="W42" s="2"/>
      <c r="X42" s="2"/>
      <c r="Y42" s="2"/>
      <c r="Z42" s="2"/>
    </row>
    <row r="43" spans="1:26">
      <c r="A43" s="24" t="s">
        <v>116</v>
      </c>
      <c r="B43" s="4" t="s">
        <v>117</v>
      </c>
      <c r="C43" s="27" t="s">
        <v>118</v>
      </c>
      <c r="D43" s="2"/>
      <c r="E43" s="2"/>
      <c r="F43" s="2"/>
      <c r="G43" s="2"/>
      <c r="H43" s="2"/>
      <c r="I43" s="2"/>
      <c r="J43" s="2"/>
      <c r="K43" s="2"/>
      <c r="L43" s="2"/>
      <c r="M43" s="2"/>
      <c r="N43" s="2"/>
      <c r="O43" s="2"/>
      <c r="P43" s="2"/>
      <c r="Q43" s="2"/>
      <c r="R43" s="2"/>
      <c r="S43" s="2"/>
      <c r="T43" s="2"/>
      <c r="U43" s="2"/>
      <c r="V43" s="2"/>
      <c r="W43" s="2"/>
      <c r="X43" s="2"/>
      <c r="Y43" s="2"/>
      <c r="Z43" s="2"/>
    </row>
    <row r="44" spans="1:26">
      <c r="A44" s="25"/>
      <c r="B44" s="4" t="s">
        <v>119</v>
      </c>
      <c r="C44" s="25"/>
      <c r="D44" s="2"/>
      <c r="E44" s="2"/>
      <c r="F44" s="2"/>
      <c r="G44" s="2"/>
      <c r="H44" s="2"/>
      <c r="I44" s="2"/>
      <c r="J44" s="2"/>
      <c r="K44" s="2"/>
      <c r="L44" s="2"/>
      <c r="M44" s="2"/>
      <c r="N44" s="2"/>
      <c r="O44" s="2"/>
      <c r="P44" s="2"/>
      <c r="Q44" s="2"/>
      <c r="R44" s="2"/>
      <c r="S44" s="2"/>
      <c r="T44" s="2"/>
      <c r="U44" s="2"/>
      <c r="V44" s="2"/>
      <c r="W44" s="2"/>
      <c r="X44" s="2"/>
      <c r="Y44" s="2"/>
      <c r="Z44" s="2"/>
    </row>
    <row r="45" spans="1:26">
      <c r="A45" s="25"/>
      <c r="B45" s="4" t="s">
        <v>117</v>
      </c>
      <c r="C45" s="25"/>
      <c r="D45" s="2"/>
      <c r="E45" s="2"/>
      <c r="F45" s="2"/>
      <c r="G45" s="2"/>
      <c r="H45" s="2"/>
      <c r="I45" s="2"/>
      <c r="J45" s="2"/>
      <c r="K45" s="2"/>
      <c r="L45" s="2"/>
      <c r="M45" s="2"/>
      <c r="N45" s="2"/>
      <c r="O45" s="2"/>
      <c r="P45" s="2"/>
      <c r="Q45" s="2"/>
      <c r="R45" s="2"/>
      <c r="S45" s="2"/>
      <c r="T45" s="2"/>
      <c r="U45" s="2"/>
      <c r="V45" s="2"/>
      <c r="W45" s="2"/>
      <c r="X45" s="2"/>
      <c r="Y45" s="2"/>
      <c r="Z45" s="2"/>
    </row>
    <row r="46" spans="1:26">
      <c r="A46" s="25"/>
      <c r="B46" s="4" t="s">
        <v>120</v>
      </c>
      <c r="C46" s="25"/>
      <c r="D46" s="2"/>
      <c r="E46" s="2"/>
      <c r="F46" s="2"/>
      <c r="G46" s="2"/>
      <c r="H46" s="2"/>
      <c r="I46" s="2"/>
      <c r="J46" s="2"/>
      <c r="K46" s="2"/>
      <c r="L46" s="2"/>
      <c r="M46" s="2"/>
      <c r="N46" s="2"/>
      <c r="O46" s="2"/>
      <c r="P46" s="2"/>
      <c r="Q46" s="2"/>
      <c r="R46" s="2"/>
      <c r="S46" s="2"/>
      <c r="T46" s="2"/>
      <c r="U46" s="2"/>
      <c r="V46" s="2"/>
      <c r="W46" s="2"/>
      <c r="X46" s="2"/>
      <c r="Y46" s="2"/>
      <c r="Z46" s="2"/>
    </row>
    <row r="47" spans="1:26">
      <c r="A47" s="25"/>
      <c r="B47" s="4" t="s">
        <v>121</v>
      </c>
      <c r="C47" s="25"/>
      <c r="D47" s="2"/>
      <c r="E47" s="2"/>
      <c r="F47" s="2"/>
      <c r="G47" s="2"/>
      <c r="H47" s="2"/>
      <c r="I47" s="2"/>
      <c r="J47" s="2"/>
      <c r="K47" s="2"/>
      <c r="L47" s="2"/>
      <c r="M47" s="2"/>
      <c r="N47" s="2"/>
      <c r="O47" s="2"/>
      <c r="P47" s="2"/>
      <c r="Q47" s="2"/>
      <c r="R47" s="2"/>
      <c r="S47" s="2"/>
      <c r="T47" s="2"/>
      <c r="U47" s="2"/>
      <c r="V47" s="2"/>
      <c r="W47" s="2"/>
      <c r="X47" s="2"/>
      <c r="Y47" s="2"/>
      <c r="Z47" s="2"/>
    </row>
    <row r="48" spans="1:26">
      <c r="A48" s="25"/>
      <c r="B48" s="4" t="s">
        <v>122</v>
      </c>
      <c r="C48" s="25"/>
      <c r="D48" s="2"/>
      <c r="E48" s="2"/>
      <c r="F48" s="2"/>
      <c r="G48" s="2"/>
      <c r="H48" s="2"/>
      <c r="I48" s="2"/>
      <c r="J48" s="2"/>
      <c r="K48" s="2"/>
      <c r="L48" s="2"/>
      <c r="M48" s="2"/>
      <c r="N48" s="2"/>
      <c r="O48" s="2"/>
      <c r="P48" s="2"/>
      <c r="Q48" s="2"/>
      <c r="R48" s="2"/>
      <c r="S48" s="2"/>
      <c r="T48" s="2"/>
      <c r="U48" s="2"/>
      <c r="V48" s="2"/>
      <c r="W48" s="2"/>
      <c r="X48" s="2"/>
      <c r="Y48" s="2"/>
      <c r="Z48" s="2"/>
    </row>
    <row r="49" spans="1:26">
      <c r="A49" s="25"/>
      <c r="B49" s="4" t="s">
        <v>123</v>
      </c>
      <c r="C49" s="25"/>
      <c r="D49" s="2"/>
      <c r="E49" s="2"/>
      <c r="F49" s="2"/>
      <c r="G49" s="2"/>
      <c r="H49" s="2"/>
      <c r="I49" s="2"/>
      <c r="J49" s="2"/>
      <c r="K49" s="2"/>
      <c r="L49" s="2"/>
      <c r="M49" s="2"/>
      <c r="N49" s="2"/>
      <c r="O49" s="2"/>
      <c r="P49" s="2"/>
      <c r="Q49" s="2"/>
      <c r="R49" s="2"/>
      <c r="S49" s="2"/>
      <c r="T49" s="2"/>
      <c r="U49" s="2"/>
      <c r="V49" s="2"/>
      <c r="W49" s="2"/>
      <c r="X49" s="2"/>
      <c r="Y49" s="2"/>
      <c r="Z49" s="2"/>
    </row>
    <row r="50" spans="1:26">
      <c r="A50" s="26"/>
      <c r="B50" s="4" t="s">
        <v>124</v>
      </c>
      <c r="C50" s="26"/>
      <c r="D50" s="2"/>
      <c r="E50" s="2"/>
      <c r="F50" s="2"/>
      <c r="G50" s="2"/>
      <c r="H50" s="2"/>
      <c r="I50" s="2"/>
      <c r="J50" s="2"/>
      <c r="K50" s="2"/>
      <c r="L50" s="2"/>
      <c r="M50" s="2"/>
      <c r="N50" s="2"/>
      <c r="O50" s="2"/>
      <c r="P50" s="2"/>
      <c r="Q50" s="2"/>
      <c r="R50" s="2"/>
      <c r="S50" s="2"/>
      <c r="T50" s="2"/>
      <c r="U50" s="2"/>
      <c r="V50" s="2"/>
      <c r="W50" s="2"/>
      <c r="X50" s="2"/>
      <c r="Y50" s="2"/>
      <c r="Z50" s="2"/>
    </row>
    <row r="51" spans="1:26">
      <c r="A51" s="24" t="s">
        <v>125</v>
      </c>
      <c r="B51" s="4" t="s">
        <v>126</v>
      </c>
      <c r="C51" s="27" t="s">
        <v>127</v>
      </c>
      <c r="D51" s="2"/>
      <c r="E51" s="2"/>
      <c r="F51" s="2"/>
      <c r="G51" s="2"/>
      <c r="H51" s="2"/>
      <c r="I51" s="2"/>
      <c r="J51" s="2"/>
      <c r="K51" s="2"/>
      <c r="L51" s="2"/>
      <c r="M51" s="2"/>
      <c r="N51" s="2"/>
      <c r="O51" s="2"/>
      <c r="P51" s="2"/>
      <c r="Q51" s="2"/>
      <c r="R51" s="2"/>
      <c r="S51" s="2"/>
      <c r="T51" s="2"/>
      <c r="U51" s="2"/>
      <c r="V51" s="2"/>
      <c r="W51" s="2"/>
      <c r="X51" s="2"/>
      <c r="Y51" s="2"/>
      <c r="Z51" s="2"/>
    </row>
    <row r="52" spans="1:26">
      <c r="A52" s="25"/>
      <c r="B52" s="4" t="s">
        <v>128</v>
      </c>
      <c r="C52" s="25"/>
      <c r="D52" s="2"/>
      <c r="E52" s="2"/>
      <c r="F52" s="2"/>
      <c r="G52" s="2"/>
      <c r="H52" s="2"/>
      <c r="I52" s="2"/>
      <c r="J52" s="2"/>
      <c r="K52" s="2"/>
      <c r="L52" s="2"/>
      <c r="M52" s="2"/>
      <c r="N52" s="2"/>
      <c r="O52" s="2"/>
      <c r="P52" s="2"/>
      <c r="Q52" s="2"/>
      <c r="R52" s="2"/>
      <c r="S52" s="2"/>
      <c r="T52" s="2"/>
      <c r="U52" s="2"/>
      <c r="V52" s="2"/>
      <c r="W52" s="2"/>
      <c r="X52" s="2"/>
      <c r="Y52" s="2"/>
      <c r="Z52" s="2"/>
    </row>
    <row r="53" spans="1:26">
      <c r="A53" s="25"/>
      <c r="B53" s="4" t="s">
        <v>129</v>
      </c>
      <c r="C53" s="25"/>
      <c r="D53" s="2"/>
      <c r="E53" s="2"/>
      <c r="F53" s="2"/>
      <c r="G53" s="2"/>
      <c r="H53" s="2"/>
      <c r="I53" s="2"/>
      <c r="J53" s="2"/>
      <c r="K53" s="2"/>
      <c r="L53" s="2"/>
      <c r="M53" s="2"/>
      <c r="N53" s="2"/>
      <c r="O53" s="2"/>
      <c r="P53" s="2"/>
      <c r="Q53" s="2"/>
      <c r="R53" s="2"/>
      <c r="S53" s="2"/>
      <c r="T53" s="2"/>
      <c r="U53" s="2"/>
      <c r="V53" s="2"/>
      <c r="W53" s="2"/>
      <c r="X53" s="2"/>
      <c r="Y53" s="2"/>
      <c r="Z53" s="2"/>
    </row>
    <row r="54" spans="1:26">
      <c r="A54" s="25"/>
      <c r="B54" s="4" t="s">
        <v>130</v>
      </c>
      <c r="C54" s="25"/>
      <c r="D54" s="2"/>
      <c r="E54" s="2"/>
      <c r="F54" s="2"/>
      <c r="G54" s="2"/>
      <c r="H54" s="2"/>
      <c r="I54" s="2"/>
      <c r="J54" s="2"/>
      <c r="K54" s="2"/>
      <c r="L54" s="2"/>
      <c r="M54" s="2"/>
      <c r="N54" s="2"/>
      <c r="O54" s="2"/>
      <c r="P54" s="2"/>
      <c r="Q54" s="2"/>
      <c r="R54" s="2"/>
      <c r="S54" s="2"/>
      <c r="T54" s="2"/>
      <c r="U54" s="2"/>
      <c r="V54" s="2"/>
      <c r="W54" s="2"/>
      <c r="X54" s="2"/>
      <c r="Y54" s="2"/>
      <c r="Z54" s="2"/>
    </row>
    <row r="55" spans="1:26">
      <c r="A55" s="26"/>
      <c r="B55" s="4" t="s">
        <v>131</v>
      </c>
      <c r="C55" s="26"/>
      <c r="D55" s="2"/>
      <c r="E55" s="2"/>
      <c r="F55" s="2"/>
      <c r="G55" s="2"/>
      <c r="H55" s="2"/>
      <c r="I55" s="2"/>
      <c r="J55" s="2"/>
      <c r="K55" s="2"/>
      <c r="L55" s="2"/>
      <c r="M55" s="2"/>
      <c r="N55" s="2"/>
      <c r="O55" s="2"/>
      <c r="P55" s="2"/>
      <c r="Q55" s="2"/>
      <c r="R55" s="2"/>
      <c r="S55" s="2"/>
      <c r="T55" s="2"/>
      <c r="U55" s="2"/>
      <c r="V55" s="2"/>
      <c r="W55" s="2"/>
      <c r="X55" s="2"/>
      <c r="Y55" s="2"/>
      <c r="Z55" s="2"/>
    </row>
    <row r="56" spans="1:26">
      <c r="A56" s="24" t="s">
        <v>132</v>
      </c>
      <c r="B56" s="4" t="s">
        <v>133</v>
      </c>
      <c r="C56" s="27" t="s">
        <v>134</v>
      </c>
      <c r="D56" s="2"/>
      <c r="E56" s="2"/>
      <c r="F56" s="2"/>
      <c r="G56" s="2"/>
      <c r="H56" s="2"/>
      <c r="I56" s="2"/>
      <c r="J56" s="2"/>
      <c r="K56" s="2"/>
      <c r="L56" s="2"/>
      <c r="M56" s="2"/>
      <c r="N56" s="2"/>
      <c r="O56" s="2"/>
      <c r="P56" s="2"/>
      <c r="Q56" s="2"/>
      <c r="R56" s="2"/>
      <c r="S56" s="2"/>
      <c r="T56" s="2"/>
      <c r="U56" s="2"/>
      <c r="V56" s="2"/>
      <c r="W56" s="2"/>
      <c r="X56" s="2"/>
      <c r="Y56" s="2"/>
      <c r="Z56" s="2"/>
    </row>
    <row r="57" spans="1:26">
      <c r="A57" s="25"/>
      <c r="B57" s="4" t="s">
        <v>135</v>
      </c>
      <c r="C57" s="25"/>
      <c r="D57" s="2"/>
      <c r="E57" s="2"/>
      <c r="F57" s="2"/>
      <c r="G57" s="2"/>
      <c r="H57" s="2"/>
      <c r="I57" s="2"/>
      <c r="J57" s="2"/>
      <c r="K57" s="2"/>
      <c r="L57" s="2"/>
      <c r="M57" s="2"/>
      <c r="N57" s="2"/>
      <c r="O57" s="2"/>
      <c r="P57" s="2"/>
      <c r="Q57" s="2"/>
      <c r="R57" s="2"/>
      <c r="S57" s="2"/>
      <c r="T57" s="2"/>
      <c r="U57" s="2"/>
      <c r="V57" s="2"/>
      <c r="W57" s="2"/>
      <c r="X57" s="2"/>
      <c r="Y57" s="2"/>
      <c r="Z57" s="2"/>
    </row>
    <row r="58" spans="1:26">
      <c r="A58" s="25"/>
      <c r="B58" s="4" t="s">
        <v>136</v>
      </c>
      <c r="C58" s="25"/>
      <c r="D58" s="2"/>
      <c r="E58" s="2"/>
      <c r="F58" s="2"/>
      <c r="G58" s="2"/>
      <c r="H58" s="2"/>
      <c r="I58" s="2"/>
      <c r="J58" s="2"/>
      <c r="K58" s="2"/>
      <c r="L58" s="2"/>
      <c r="M58" s="2"/>
      <c r="N58" s="2"/>
      <c r="O58" s="2"/>
      <c r="P58" s="2"/>
      <c r="Q58" s="2"/>
      <c r="R58" s="2"/>
      <c r="S58" s="2"/>
      <c r="T58" s="2"/>
      <c r="U58" s="2"/>
      <c r="V58" s="2"/>
      <c r="W58" s="2"/>
      <c r="X58" s="2"/>
      <c r="Y58" s="2"/>
      <c r="Z58" s="2"/>
    </row>
    <row r="59" spans="1:26">
      <c r="A59" s="26"/>
      <c r="B59" s="4" t="s">
        <v>137</v>
      </c>
      <c r="C59" s="26"/>
      <c r="D59" s="2"/>
      <c r="E59" s="2"/>
      <c r="F59" s="2"/>
      <c r="G59" s="2"/>
      <c r="H59" s="2"/>
      <c r="I59" s="2"/>
      <c r="J59" s="2"/>
      <c r="K59" s="2"/>
      <c r="L59" s="2"/>
      <c r="M59" s="2"/>
      <c r="N59" s="2"/>
      <c r="O59" s="2"/>
      <c r="P59" s="2"/>
      <c r="Q59" s="2"/>
      <c r="R59" s="2"/>
      <c r="S59" s="2"/>
      <c r="T59" s="2"/>
      <c r="U59" s="2"/>
      <c r="V59" s="2"/>
      <c r="W59" s="2"/>
      <c r="X59" s="2"/>
      <c r="Y59" s="2"/>
      <c r="Z59" s="2"/>
    </row>
    <row r="60" spans="1:26">
      <c r="A60" s="24" t="s">
        <v>138</v>
      </c>
      <c r="B60" s="4" t="s">
        <v>139</v>
      </c>
      <c r="C60" s="24" t="s">
        <v>140</v>
      </c>
      <c r="D60" s="2"/>
      <c r="E60" s="2"/>
      <c r="F60" s="2"/>
      <c r="G60" s="2"/>
      <c r="H60" s="2"/>
      <c r="I60" s="2"/>
      <c r="J60" s="2"/>
      <c r="K60" s="2"/>
      <c r="L60" s="2"/>
      <c r="M60" s="2"/>
      <c r="N60" s="2"/>
      <c r="O60" s="2"/>
      <c r="P60" s="2"/>
      <c r="Q60" s="2"/>
      <c r="R60" s="2"/>
      <c r="S60" s="2"/>
      <c r="T60" s="2"/>
      <c r="U60" s="2"/>
      <c r="V60" s="2"/>
      <c r="W60" s="2"/>
      <c r="X60" s="2"/>
      <c r="Y60" s="2"/>
      <c r="Z60" s="2"/>
    </row>
    <row r="61" spans="1:26">
      <c r="A61" s="25"/>
      <c r="B61" s="4" t="s">
        <v>141</v>
      </c>
      <c r="C61" s="25"/>
      <c r="D61" s="2"/>
      <c r="E61" s="2"/>
      <c r="F61" s="2"/>
      <c r="G61" s="2"/>
      <c r="H61" s="2"/>
      <c r="I61" s="2"/>
      <c r="J61" s="2"/>
      <c r="K61" s="2"/>
      <c r="L61" s="2"/>
      <c r="M61" s="2"/>
      <c r="N61" s="2"/>
      <c r="O61" s="2"/>
      <c r="P61" s="2"/>
      <c r="Q61" s="2"/>
      <c r="R61" s="2"/>
      <c r="S61" s="2"/>
      <c r="T61" s="2"/>
      <c r="U61" s="2"/>
      <c r="V61" s="2"/>
      <c r="W61" s="2"/>
      <c r="X61" s="2"/>
      <c r="Y61" s="2"/>
      <c r="Z61" s="2"/>
    </row>
    <row r="62" spans="1:26">
      <c r="A62" s="26"/>
      <c r="B62" s="4" t="s">
        <v>142</v>
      </c>
      <c r="C62" s="26"/>
      <c r="D62" s="2"/>
      <c r="E62" s="2"/>
      <c r="F62" s="2"/>
      <c r="G62" s="2"/>
      <c r="H62" s="2"/>
      <c r="I62" s="2"/>
      <c r="J62" s="2"/>
      <c r="K62" s="2"/>
      <c r="L62" s="2"/>
      <c r="M62" s="2"/>
      <c r="N62" s="2"/>
      <c r="O62" s="2"/>
      <c r="P62" s="2"/>
      <c r="Q62" s="2"/>
      <c r="R62" s="2"/>
      <c r="S62" s="2"/>
      <c r="T62" s="2"/>
      <c r="U62" s="2"/>
      <c r="V62" s="2"/>
      <c r="W62" s="2"/>
      <c r="X62" s="2"/>
      <c r="Y62" s="2"/>
      <c r="Z62" s="2"/>
    </row>
    <row r="63" spans="1:26">
      <c r="A63" s="24" t="s">
        <v>143</v>
      </c>
      <c r="B63" s="4" t="s">
        <v>144</v>
      </c>
      <c r="C63" s="27" t="s">
        <v>145</v>
      </c>
      <c r="D63" s="2"/>
      <c r="E63" s="2"/>
      <c r="F63" s="2"/>
      <c r="G63" s="2"/>
      <c r="H63" s="2"/>
      <c r="I63" s="2"/>
      <c r="J63" s="2"/>
      <c r="K63" s="2"/>
      <c r="L63" s="2"/>
      <c r="M63" s="2"/>
      <c r="N63" s="2"/>
      <c r="O63" s="2"/>
      <c r="P63" s="2"/>
      <c r="Q63" s="2"/>
      <c r="R63" s="2"/>
      <c r="S63" s="2"/>
      <c r="T63" s="2"/>
      <c r="U63" s="2"/>
      <c r="V63" s="2"/>
      <c r="W63" s="2"/>
      <c r="X63" s="2"/>
      <c r="Y63" s="2"/>
      <c r="Z63" s="2"/>
    </row>
    <row r="64" spans="1:26">
      <c r="A64" s="25"/>
      <c r="B64" s="4" t="s">
        <v>146</v>
      </c>
      <c r="C64" s="25"/>
      <c r="D64" s="2"/>
      <c r="E64" s="2"/>
      <c r="F64" s="2"/>
      <c r="G64" s="2"/>
      <c r="H64" s="2"/>
      <c r="I64" s="2"/>
      <c r="J64" s="2"/>
      <c r="K64" s="2"/>
      <c r="L64" s="2"/>
      <c r="M64" s="2"/>
      <c r="N64" s="2"/>
      <c r="O64" s="2"/>
      <c r="P64" s="2"/>
      <c r="Q64" s="2"/>
      <c r="R64" s="2"/>
      <c r="S64" s="2"/>
      <c r="T64" s="2"/>
      <c r="U64" s="2"/>
      <c r="V64" s="2"/>
      <c r="W64" s="2"/>
      <c r="X64" s="2"/>
      <c r="Y64" s="2"/>
      <c r="Z64" s="2"/>
    </row>
    <row r="65" spans="1:26">
      <c r="A65" s="25"/>
      <c r="B65" s="4" t="s">
        <v>147</v>
      </c>
      <c r="C65" s="25"/>
      <c r="D65" s="2"/>
      <c r="E65" s="2"/>
      <c r="F65" s="2"/>
      <c r="G65" s="2"/>
      <c r="H65" s="2"/>
      <c r="I65" s="2"/>
      <c r="J65" s="2"/>
      <c r="K65" s="2"/>
      <c r="L65" s="2"/>
      <c r="M65" s="2"/>
      <c r="N65" s="2"/>
      <c r="O65" s="2"/>
      <c r="P65" s="2"/>
      <c r="Q65" s="2"/>
      <c r="R65" s="2"/>
      <c r="S65" s="2"/>
      <c r="T65" s="2"/>
      <c r="U65" s="2"/>
      <c r="V65" s="2"/>
      <c r="W65" s="2"/>
      <c r="X65" s="2"/>
      <c r="Y65" s="2"/>
      <c r="Z65" s="2"/>
    </row>
    <row r="66" spans="1:26">
      <c r="A66" s="25"/>
      <c r="B66" s="4" t="s">
        <v>148</v>
      </c>
      <c r="C66" s="25"/>
      <c r="D66" s="2"/>
      <c r="E66" s="2"/>
      <c r="F66" s="2"/>
      <c r="G66" s="2"/>
      <c r="H66" s="2"/>
      <c r="I66" s="2"/>
      <c r="J66" s="2"/>
      <c r="K66" s="2"/>
      <c r="L66" s="2"/>
      <c r="M66" s="2"/>
      <c r="N66" s="2"/>
      <c r="O66" s="2"/>
      <c r="P66" s="2"/>
      <c r="Q66" s="2"/>
      <c r="R66" s="2"/>
      <c r="S66" s="2"/>
      <c r="T66" s="2"/>
      <c r="U66" s="2"/>
      <c r="V66" s="2"/>
      <c r="W66" s="2"/>
      <c r="X66" s="2"/>
      <c r="Y66" s="2"/>
      <c r="Z66" s="2"/>
    </row>
    <row r="67" spans="1:26">
      <c r="A67" s="26"/>
      <c r="B67" s="4" t="s">
        <v>149</v>
      </c>
      <c r="C67" s="26"/>
      <c r="D67" s="2"/>
      <c r="E67" s="2"/>
      <c r="F67" s="2"/>
      <c r="G67" s="2"/>
      <c r="H67" s="2"/>
      <c r="I67" s="2"/>
      <c r="J67" s="2"/>
      <c r="K67" s="2"/>
      <c r="L67" s="2"/>
      <c r="M67" s="2"/>
      <c r="N67" s="2"/>
      <c r="O67" s="2"/>
      <c r="P67" s="2"/>
      <c r="Q67" s="2"/>
      <c r="R67" s="2"/>
      <c r="S67" s="2"/>
      <c r="T67" s="2"/>
      <c r="U67" s="2"/>
      <c r="V67" s="2"/>
      <c r="W67" s="2"/>
      <c r="X67" s="2"/>
      <c r="Y67" s="2"/>
      <c r="Z67" s="2"/>
    </row>
    <row r="68" spans="1:26">
      <c r="A68" s="24" t="s">
        <v>150</v>
      </c>
      <c r="B68" s="4" t="s">
        <v>151</v>
      </c>
      <c r="C68" s="24" t="s">
        <v>152</v>
      </c>
      <c r="D68" s="2"/>
      <c r="E68" s="2"/>
      <c r="F68" s="2"/>
      <c r="G68" s="2"/>
      <c r="H68" s="2"/>
      <c r="I68" s="2"/>
      <c r="J68" s="2"/>
      <c r="K68" s="2"/>
      <c r="L68" s="2"/>
      <c r="M68" s="2"/>
      <c r="N68" s="2"/>
      <c r="O68" s="2"/>
      <c r="P68" s="2"/>
      <c r="Q68" s="2"/>
      <c r="R68" s="2"/>
      <c r="S68" s="2"/>
      <c r="T68" s="2"/>
      <c r="U68" s="2"/>
      <c r="V68" s="2"/>
      <c r="W68" s="2"/>
      <c r="X68" s="2"/>
      <c r="Y68" s="2"/>
      <c r="Z68" s="2"/>
    </row>
    <row r="69" spans="1:26">
      <c r="A69" s="25"/>
      <c r="B69" s="4" t="s">
        <v>153</v>
      </c>
      <c r="C69" s="25"/>
      <c r="D69" s="2"/>
      <c r="E69" s="2"/>
      <c r="F69" s="2"/>
      <c r="G69" s="2"/>
      <c r="H69" s="2"/>
      <c r="I69" s="2"/>
      <c r="J69" s="2"/>
      <c r="K69" s="2"/>
      <c r="L69" s="2"/>
      <c r="M69" s="2"/>
      <c r="N69" s="2"/>
      <c r="O69" s="2"/>
      <c r="P69" s="2"/>
      <c r="Q69" s="2"/>
      <c r="R69" s="2"/>
      <c r="S69" s="2"/>
      <c r="T69" s="2"/>
      <c r="U69" s="2"/>
      <c r="V69" s="2"/>
      <c r="W69" s="2"/>
      <c r="X69" s="2"/>
      <c r="Y69" s="2"/>
      <c r="Z69" s="2"/>
    </row>
    <row r="70" spans="1:26">
      <c r="A70" s="25"/>
      <c r="B70" s="4" t="s">
        <v>154</v>
      </c>
      <c r="C70" s="25"/>
      <c r="D70" s="2"/>
      <c r="E70" s="2"/>
      <c r="F70" s="2"/>
      <c r="G70" s="2"/>
      <c r="H70" s="2"/>
      <c r="I70" s="2"/>
      <c r="J70" s="2"/>
      <c r="K70" s="2"/>
      <c r="L70" s="2"/>
      <c r="M70" s="2"/>
      <c r="N70" s="2"/>
      <c r="O70" s="2"/>
      <c r="P70" s="2"/>
      <c r="Q70" s="2"/>
      <c r="R70" s="2"/>
      <c r="S70" s="2"/>
      <c r="T70" s="2"/>
      <c r="U70" s="2"/>
      <c r="V70" s="2"/>
      <c r="W70" s="2"/>
      <c r="X70" s="2"/>
      <c r="Y70" s="2"/>
      <c r="Z70" s="2"/>
    </row>
    <row r="71" spans="1:26">
      <c r="A71" s="26"/>
      <c r="B71" s="4" t="s">
        <v>155</v>
      </c>
      <c r="C71" s="26"/>
      <c r="D71" s="2"/>
      <c r="E71" s="2"/>
      <c r="F71" s="2"/>
      <c r="G71" s="2"/>
      <c r="H71" s="2"/>
      <c r="I71" s="2"/>
      <c r="J71" s="2"/>
      <c r="K71" s="2"/>
      <c r="L71" s="2"/>
      <c r="M71" s="2"/>
      <c r="N71" s="2"/>
      <c r="O71" s="2"/>
      <c r="P71" s="2"/>
      <c r="Q71" s="2"/>
      <c r="R71" s="2"/>
      <c r="S71" s="2"/>
      <c r="T71" s="2"/>
      <c r="U71" s="2"/>
      <c r="V71" s="2"/>
      <c r="W71" s="2"/>
      <c r="X71" s="2"/>
      <c r="Y71" s="2"/>
      <c r="Z71" s="2"/>
    </row>
    <row r="72" spans="1:26">
      <c r="A72" s="24" t="s">
        <v>156</v>
      </c>
      <c r="B72" s="4" t="s">
        <v>157</v>
      </c>
      <c r="C72" s="27" t="s">
        <v>158</v>
      </c>
      <c r="D72" s="2"/>
      <c r="E72" s="2"/>
      <c r="F72" s="2"/>
      <c r="G72" s="2"/>
      <c r="H72" s="2"/>
      <c r="I72" s="2"/>
      <c r="J72" s="2"/>
      <c r="K72" s="2"/>
      <c r="L72" s="2"/>
      <c r="M72" s="2"/>
      <c r="N72" s="2"/>
      <c r="O72" s="2"/>
      <c r="P72" s="2"/>
      <c r="Q72" s="2"/>
      <c r="R72" s="2"/>
      <c r="S72" s="2"/>
      <c r="T72" s="2"/>
      <c r="U72" s="2"/>
      <c r="V72" s="2"/>
      <c r="W72" s="2"/>
      <c r="X72" s="2"/>
      <c r="Y72" s="2"/>
      <c r="Z72" s="2"/>
    </row>
    <row r="73" spans="1:26">
      <c r="A73" s="25"/>
      <c r="B73" s="4" t="s">
        <v>159</v>
      </c>
      <c r="C73" s="25"/>
      <c r="D73" s="2"/>
      <c r="E73" s="2"/>
      <c r="F73" s="2"/>
      <c r="G73" s="2"/>
      <c r="H73" s="2"/>
      <c r="I73" s="2"/>
      <c r="J73" s="2"/>
      <c r="K73" s="2"/>
      <c r="L73" s="2"/>
      <c r="M73" s="2"/>
      <c r="N73" s="2"/>
      <c r="O73" s="2"/>
      <c r="P73" s="2"/>
      <c r="Q73" s="2"/>
      <c r="R73" s="2"/>
      <c r="S73" s="2"/>
      <c r="T73" s="2"/>
      <c r="U73" s="2"/>
      <c r="V73" s="2"/>
      <c r="W73" s="2"/>
      <c r="X73" s="2"/>
      <c r="Y73" s="2"/>
      <c r="Z73" s="2"/>
    </row>
    <row r="74" spans="1:26">
      <c r="A74" s="25"/>
      <c r="B74" s="4" t="s">
        <v>160</v>
      </c>
      <c r="C74" s="25"/>
      <c r="D74" s="2"/>
      <c r="E74" s="2"/>
      <c r="F74" s="2"/>
      <c r="G74" s="2"/>
      <c r="H74" s="2"/>
      <c r="I74" s="2"/>
      <c r="J74" s="2"/>
      <c r="K74" s="2"/>
      <c r="L74" s="2"/>
      <c r="M74" s="2"/>
      <c r="N74" s="2"/>
      <c r="O74" s="2"/>
      <c r="P74" s="2"/>
      <c r="Q74" s="2"/>
      <c r="R74" s="2"/>
      <c r="S74" s="2"/>
      <c r="T74" s="2"/>
      <c r="U74" s="2"/>
      <c r="V74" s="2"/>
      <c r="W74" s="2"/>
      <c r="X74" s="2"/>
      <c r="Y74" s="2"/>
      <c r="Z74" s="2"/>
    </row>
    <row r="75" spans="1:26">
      <c r="A75" s="25"/>
      <c r="B75" s="4" t="s">
        <v>161</v>
      </c>
      <c r="C75" s="25"/>
      <c r="D75" s="2"/>
      <c r="E75" s="2"/>
      <c r="F75" s="2"/>
      <c r="G75" s="2"/>
      <c r="H75" s="2"/>
      <c r="I75" s="2"/>
      <c r="J75" s="2"/>
      <c r="K75" s="2"/>
      <c r="L75" s="2"/>
      <c r="M75" s="2"/>
      <c r="N75" s="2"/>
      <c r="O75" s="2"/>
      <c r="P75" s="2"/>
      <c r="Q75" s="2"/>
      <c r="R75" s="2"/>
      <c r="S75" s="2"/>
      <c r="T75" s="2"/>
      <c r="U75" s="2"/>
      <c r="V75" s="2"/>
      <c r="W75" s="2"/>
      <c r="X75" s="2"/>
      <c r="Y75" s="2"/>
      <c r="Z75" s="2"/>
    </row>
    <row r="76" spans="1:26">
      <c r="A76" s="25"/>
      <c r="B76" s="4" t="s">
        <v>162</v>
      </c>
      <c r="C76" s="25"/>
      <c r="D76" s="2"/>
      <c r="E76" s="2"/>
      <c r="F76" s="2"/>
      <c r="G76" s="2"/>
      <c r="H76" s="2"/>
      <c r="I76" s="2"/>
      <c r="J76" s="2"/>
      <c r="K76" s="2"/>
      <c r="L76" s="2"/>
      <c r="M76" s="2"/>
      <c r="N76" s="2"/>
      <c r="O76" s="2"/>
      <c r="P76" s="2"/>
      <c r="Q76" s="2"/>
      <c r="R76" s="2"/>
      <c r="S76" s="2"/>
      <c r="T76" s="2"/>
      <c r="U76" s="2"/>
      <c r="V76" s="2"/>
      <c r="W76" s="2"/>
      <c r="X76" s="2"/>
      <c r="Y76" s="2"/>
      <c r="Z76" s="2"/>
    </row>
    <row r="77" spans="1:26">
      <c r="A77" s="26"/>
      <c r="B77" s="4" t="s">
        <v>163</v>
      </c>
      <c r="C77" s="26"/>
      <c r="D77" s="2"/>
      <c r="E77" s="2"/>
      <c r="F77" s="2"/>
      <c r="G77" s="2"/>
      <c r="H77" s="2"/>
      <c r="I77" s="2"/>
      <c r="J77" s="2"/>
      <c r="K77" s="2"/>
      <c r="L77" s="2"/>
      <c r="M77" s="2"/>
      <c r="N77" s="2"/>
      <c r="O77" s="2"/>
      <c r="P77" s="2"/>
      <c r="Q77" s="2"/>
      <c r="R77" s="2"/>
      <c r="S77" s="2"/>
      <c r="T77" s="2"/>
      <c r="U77" s="2"/>
      <c r="V77" s="2"/>
      <c r="W77" s="2"/>
      <c r="X77" s="2"/>
      <c r="Y77" s="2"/>
      <c r="Z77" s="2"/>
    </row>
    <row r="78" spans="1:26">
      <c r="A78" s="24" t="s">
        <v>164</v>
      </c>
      <c r="B78" s="4" t="s">
        <v>165</v>
      </c>
      <c r="C78" s="24" t="s">
        <v>166</v>
      </c>
      <c r="D78" s="2"/>
      <c r="E78" s="2"/>
      <c r="F78" s="2"/>
      <c r="G78" s="2"/>
      <c r="H78" s="2"/>
      <c r="I78" s="2"/>
      <c r="J78" s="2"/>
      <c r="K78" s="2"/>
      <c r="L78" s="2"/>
      <c r="M78" s="2"/>
      <c r="N78" s="2"/>
      <c r="O78" s="2"/>
      <c r="P78" s="2"/>
      <c r="Q78" s="2"/>
      <c r="R78" s="2"/>
      <c r="S78" s="2"/>
      <c r="T78" s="2"/>
      <c r="U78" s="2"/>
      <c r="V78" s="2"/>
      <c r="W78" s="2"/>
      <c r="X78" s="2"/>
      <c r="Y78" s="2"/>
      <c r="Z78" s="2"/>
    </row>
    <row r="79" spans="1:26">
      <c r="A79" s="25"/>
      <c r="B79" s="4" t="s">
        <v>167</v>
      </c>
      <c r="C79" s="25"/>
      <c r="D79" s="2"/>
      <c r="E79" s="2"/>
      <c r="F79" s="2"/>
      <c r="G79" s="2"/>
      <c r="H79" s="2"/>
      <c r="I79" s="2"/>
      <c r="J79" s="2"/>
      <c r="K79" s="2"/>
      <c r="L79" s="2"/>
      <c r="M79" s="2"/>
      <c r="N79" s="2"/>
      <c r="O79" s="2"/>
      <c r="P79" s="2"/>
      <c r="Q79" s="2"/>
      <c r="R79" s="2"/>
      <c r="S79" s="2"/>
      <c r="T79" s="2"/>
      <c r="U79" s="2"/>
      <c r="V79" s="2"/>
      <c r="W79" s="2"/>
      <c r="X79" s="2"/>
      <c r="Y79" s="2"/>
      <c r="Z79" s="2"/>
    </row>
    <row r="80" spans="1:26">
      <c r="A80" s="25"/>
      <c r="B80" s="4" t="s">
        <v>168</v>
      </c>
      <c r="C80" s="25"/>
      <c r="D80" s="2"/>
      <c r="E80" s="2"/>
      <c r="F80" s="2"/>
      <c r="G80" s="2"/>
      <c r="H80" s="2"/>
      <c r="I80" s="2"/>
      <c r="J80" s="2"/>
      <c r="K80" s="2"/>
      <c r="L80" s="2"/>
      <c r="M80" s="2"/>
      <c r="N80" s="2"/>
      <c r="O80" s="2"/>
      <c r="P80" s="2"/>
      <c r="Q80" s="2"/>
      <c r="R80" s="2"/>
      <c r="S80" s="2"/>
      <c r="T80" s="2"/>
      <c r="U80" s="2"/>
      <c r="V80" s="2"/>
      <c r="W80" s="2"/>
      <c r="X80" s="2"/>
      <c r="Y80" s="2"/>
      <c r="Z80" s="2"/>
    </row>
    <row r="81" spans="1:26">
      <c r="A81" s="25"/>
      <c r="B81" s="1" t="s">
        <v>169</v>
      </c>
      <c r="C81" s="25"/>
      <c r="D81" s="2"/>
      <c r="E81" s="2"/>
      <c r="F81" s="2"/>
      <c r="G81" s="2"/>
      <c r="H81" s="2"/>
      <c r="I81" s="2"/>
      <c r="J81" s="2"/>
      <c r="K81" s="2"/>
      <c r="L81" s="2"/>
      <c r="M81" s="2"/>
      <c r="N81" s="2"/>
      <c r="O81" s="2"/>
      <c r="P81" s="2"/>
      <c r="Q81" s="2"/>
      <c r="R81" s="2"/>
      <c r="S81" s="2"/>
      <c r="T81" s="2"/>
      <c r="U81" s="2"/>
      <c r="V81" s="2"/>
      <c r="W81" s="2"/>
      <c r="X81" s="2"/>
      <c r="Y81" s="2"/>
      <c r="Z81" s="2"/>
    </row>
    <row r="82" spans="1:26">
      <c r="A82" s="25"/>
      <c r="B82" s="32" t="s">
        <v>170</v>
      </c>
      <c r="C82" s="25"/>
      <c r="D82" s="2"/>
      <c r="E82" s="2"/>
      <c r="F82" s="2"/>
      <c r="G82" s="2"/>
      <c r="H82" s="2"/>
      <c r="I82" s="2"/>
      <c r="J82" s="2"/>
      <c r="K82" s="2"/>
      <c r="L82" s="2"/>
      <c r="M82" s="2"/>
      <c r="N82" s="2"/>
      <c r="O82" s="2"/>
      <c r="P82" s="2"/>
      <c r="Q82" s="2"/>
      <c r="R82" s="2"/>
      <c r="S82" s="2"/>
      <c r="T82" s="2"/>
      <c r="U82" s="2"/>
      <c r="V82" s="2"/>
      <c r="W82" s="2"/>
      <c r="X82" s="2"/>
      <c r="Y82" s="2"/>
      <c r="Z82" s="2"/>
    </row>
    <row r="83" spans="1:26">
      <c r="A83" s="25"/>
      <c r="B83" s="26"/>
      <c r="C83" s="25"/>
      <c r="D83" s="2"/>
      <c r="E83" s="2"/>
      <c r="F83" s="2"/>
      <c r="G83" s="2"/>
      <c r="H83" s="2"/>
      <c r="I83" s="2"/>
      <c r="J83" s="2"/>
      <c r="K83" s="2"/>
      <c r="L83" s="2"/>
      <c r="M83" s="2"/>
      <c r="N83" s="2"/>
      <c r="O83" s="2"/>
      <c r="P83" s="2"/>
      <c r="Q83" s="2"/>
      <c r="R83" s="2"/>
      <c r="S83" s="2"/>
      <c r="T83" s="2"/>
      <c r="U83" s="2"/>
      <c r="V83" s="2"/>
      <c r="W83" s="2"/>
      <c r="X83" s="2"/>
      <c r="Y83" s="2"/>
      <c r="Z83" s="2"/>
    </row>
    <row r="84" spans="1:26">
      <c r="A84" s="25"/>
      <c r="B84" s="4" t="s">
        <v>171</v>
      </c>
      <c r="C84" s="25"/>
      <c r="D84" s="2"/>
      <c r="E84" s="2"/>
      <c r="F84" s="2"/>
      <c r="G84" s="2"/>
      <c r="H84" s="2"/>
      <c r="I84" s="2"/>
      <c r="J84" s="2"/>
      <c r="K84" s="2"/>
      <c r="L84" s="2"/>
      <c r="M84" s="2"/>
      <c r="N84" s="2"/>
      <c r="O84" s="2"/>
      <c r="P84" s="2"/>
      <c r="Q84" s="2"/>
      <c r="R84" s="2"/>
      <c r="S84" s="2"/>
      <c r="T84" s="2"/>
      <c r="U84" s="2"/>
      <c r="V84" s="2"/>
      <c r="W84" s="2"/>
      <c r="X84" s="2"/>
      <c r="Y84" s="2"/>
      <c r="Z84" s="2"/>
    </row>
    <row r="85" spans="1:26">
      <c r="A85" s="25"/>
      <c r="B85" s="4" t="s">
        <v>172</v>
      </c>
      <c r="C85" s="25"/>
      <c r="D85" s="2"/>
      <c r="E85" s="2"/>
      <c r="F85" s="2"/>
      <c r="G85" s="2"/>
      <c r="H85" s="2"/>
      <c r="I85" s="2"/>
      <c r="J85" s="2"/>
      <c r="K85" s="2"/>
      <c r="L85" s="2"/>
      <c r="M85" s="2"/>
      <c r="N85" s="2"/>
      <c r="O85" s="2"/>
      <c r="P85" s="2"/>
      <c r="Q85" s="2"/>
      <c r="R85" s="2"/>
      <c r="S85" s="2"/>
      <c r="T85" s="2"/>
      <c r="U85" s="2"/>
      <c r="V85" s="2"/>
      <c r="W85" s="2"/>
      <c r="X85" s="2"/>
      <c r="Y85" s="2"/>
      <c r="Z85" s="2"/>
    </row>
    <row r="86" spans="1:26">
      <c r="A86" s="25"/>
      <c r="B86" s="4" t="s">
        <v>173</v>
      </c>
      <c r="C86" s="25"/>
      <c r="D86" s="2"/>
      <c r="E86" s="2"/>
      <c r="F86" s="2"/>
      <c r="G86" s="2"/>
      <c r="H86" s="2"/>
      <c r="I86" s="2"/>
      <c r="J86" s="2"/>
      <c r="K86" s="2"/>
      <c r="L86" s="2"/>
      <c r="M86" s="2"/>
      <c r="N86" s="2"/>
      <c r="O86" s="2"/>
      <c r="P86" s="2"/>
      <c r="Q86" s="2"/>
      <c r="R86" s="2"/>
      <c r="S86" s="2"/>
      <c r="T86" s="2"/>
      <c r="U86" s="2"/>
      <c r="V86" s="2"/>
      <c r="W86" s="2"/>
      <c r="X86" s="2"/>
      <c r="Y86" s="2"/>
      <c r="Z86" s="2"/>
    </row>
    <row r="87" spans="1:26">
      <c r="A87" s="26"/>
      <c r="B87" s="4" t="s">
        <v>174</v>
      </c>
      <c r="C87" s="26"/>
      <c r="D87" s="2"/>
      <c r="E87" s="2"/>
      <c r="F87" s="2"/>
      <c r="G87" s="2"/>
      <c r="H87" s="2"/>
      <c r="I87" s="2"/>
      <c r="J87" s="2"/>
      <c r="K87" s="2"/>
      <c r="L87" s="2"/>
      <c r="M87" s="2"/>
      <c r="N87" s="2"/>
      <c r="O87" s="2"/>
      <c r="P87" s="2"/>
      <c r="Q87" s="2"/>
      <c r="R87" s="2"/>
      <c r="S87" s="2"/>
      <c r="T87" s="2"/>
      <c r="U87" s="2"/>
      <c r="V87" s="2"/>
      <c r="W87" s="2"/>
      <c r="X87" s="2"/>
      <c r="Y87" s="2"/>
      <c r="Z87" s="2"/>
    </row>
    <row r="88" spans="1:26">
      <c r="A88" s="24" t="s">
        <v>175</v>
      </c>
      <c r="B88" s="4" t="s">
        <v>176</v>
      </c>
      <c r="C88" s="24" t="s">
        <v>177</v>
      </c>
      <c r="D88" s="2"/>
      <c r="E88" s="2"/>
      <c r="F88" s="2"/>
      <c r="G88" s="2"/>
      <c r="H88" s="2"/>
      <c r="I88" s="2"/>
      <c r="J88" s="2"/>
      <c r="K88" s="2"/>
      <c r="L88" s="2"/>
      <c r="M88" s="2"/>
      <c r="N88" s="2"/>
      <c r="O88" s="2"/>
      <c r="P88" s="2"/>
      <c r="Q88" s="2"/>
      <c r="R88" s="2"/>
      <c r="S88" s="2"/>
      <c r="T88" s="2"/>
      <c r="U88" s="2"/>
      <c r="V88" s="2"/>
      <c r="W88" s="2"/>
      <c r="X88" s="2"/>
      <c r="Y88" s="2"/>
      <c r="Z88" s="2"/>
    </row>
    <row r="89" spans="1:26">
      <c r="A89" s="26"/>
      <c r="B89" s="4" t="s">
        <v>178</v>
      </c>
      <c r="C89" s="26"/>
      <c r="D89" s="2"/>
      <c r="E89" s="2"/>
      <c r="F89" s="2"/>
      <c r="G89" s="2"/>
      <c r="H89" s="2"/>
      <c r="I89" s="2"/>
      <c r="J89" s="2"/>
      <c r="K89" s="2"/>
      <c r="L89" s="2"/>
      <c r="M89" s="2"/>
      <c r="N89" s="2"/>
      <c r="O89" s="2"/>
      <c r="P89" s="2"/>
      <c r="Q89" s="2"/>
      <c r="R89" s="2"/>
      <c r="S89" s="2"/>
      <c r="T89" s="2"/>
      <c r="U89" s="2"/>
      <c r="V89" s="2"/>
      <c r="W89" s="2"/>
      <c r="X89" s="2"/>
      <c r="Y89" s="2"/>
      <c r="Z89" s="2"/>
    </row>
    <row r="90" spans="1:26">
      <c r="A90" s="24" t="s">
        <v>179</v>
      </c>
      <c r="B90" s="4" t="s">
        <v>180</v>
      </c>
      <c r="C90" s="24" t="s">
        <v>181</v>
      </c>
      <c r="D90" s="2"/>
      <c r="E90" s="2"/>
      <c r="F90" s="2"/>
      <c r="G90" s="2"/>
      <c r="H90" s="2"/>
      <c r="I90" s="2"/>
      <c r="J90" s="2"/>
      <c r="K90" s="2"/>
      <c r="L90" s="2"/>
      <c r="M90" s="2"/>
      <c r="N90" s="2"/>
      <c r="O90" s="2"/>
      <c r="P90" s="2"/>
      <c r="Q90" s="2"/>
      <c r="R90" s="2"/>
      <c r="S90" s="2"/>
      <c r="T90" s="2"/>
      <c r="U90" s="2"/>
      <c r="V90" s="2"/>
      <c r="W90" s="2"/>
      <c r="X90" s="2"/>
      <c r="Y90" s="2"/>
      <c r="Z90" s="2"/>
    </row>
    <row r="91" spans="1:26">
      <c r="A91" s="26"/>
      <c r="B91" s="4" t="s">
        <v>182</v>
      </c>
      <c r="C91" s="26"/>
      <c r="D91" s="2"/>
      <c r="E91" s="2"/>
      <c r="F91" s="2"/>
      <c r="G91" s="2"/>
      <c r="H91" s="2"/>
      <c r="I91" s="2"/>
      <c r="J91" s="2"/>
      <c r="K91" s="2"/>
      <c r="L91" s="2"/>
      <c r="M91" s="2"/>
      <c r="N91" s="2"/>
      <c r="O91" s="2"/>
      <c r="P91" s="2"/>
      <c r="Q91" s="2"/>
      <c r="R91" s="2"/>
      <c r="S91" s="2"/>
      <c r="T91" s="2"/>
      <c r="U91" s="2"/>
      <c r="V91" s="2"/>
      <c r="W91" s="2"/>
      <c r="X91" s="2"/>
      <c r="Y91" s="2"/>
      <c r="Z91" s="2"/>
    </row>
    <row r="92" spans="1:26">
      <c r="A92" s="24" t="s">
        <v>183</v>
      </c>
      <c r="B92" s="4" t="s">
        <v>184</v>
      </c>
      <c r="C92" s="27" t="s">
        <v>185</v>
      </c>
      <c r="D92" s="2"/>
      <c r="E92" s="2"/>
      <c r="F92" s="2"/>
      <c r="G92" s="2"/>
      <c r="H92" s="2"/>
      <c r="I92" s="2"/>
      <c r="J92" s="2"/>
      <c r="K92" s="2"/>
      <c r="L92" s="2"/>
      <c r="M92" s="2"/>
      <c r="N92" s="2"/>
      <c r="O92" s="2"/>
      <c r="P92" s="2"/>
      <c r="Q92" s="2"/>
      <c r="R92" s="2"/>
      <c r="S92" s="2"/>
      <c r="T92" s="2"/>
      <c r="U92" s="2"/>
      <c r="V92" s="2"/>
      <c r="W92" s="2"/>
      <c r="X92" s="2"/>
      <c r="Y92" s="2"/>
      <c r="Z92" s="2"/>
    </row>
    <row r="93" spans="1:26">
      <c r="A93" s="25"/>
      <c r="B93" s="4" t="s">
        <v>186</v>
      </c>
      <c r="C93" s="25"/>
      <c r="D93" s="2"/>
      <c r="E93" s="2"/>
      <c r="F93" s="2"/>
      <c r="G93" s="2"/>
      <c r="H93" s="2"/>
      <c r="I93" s="2"/>
      <c r="J93" s="2"/>
      <c r="K93" s="2"/>
      <c r="L93" s="2"/>
      <c r="M93" s="2"/>
      <c r="N93" s="2"/>
      <c r="O93" s="2"/>
      <c r="P93" s="2"/>
      <c r="Q93" s="2"/>
      <c r="R93" s="2"/>
      <c r="S93" s="2"/>
      <c r="T93" s="2"/>
      <c r="U93" s="2"/>
      <c r="V93" s="2"/>
      <c r="W93" s="2"/>
      <c r="X93" s="2"/>
      <c r="Y93" s="2"/>
      <c r="Z93" s="2"/>
    </row>
    <row r="94" spans="1:26">
      <c r="A94" s="26"/>
      <c r="B94" s="4" t="s">
        <v>187</v>
      </c>
      <c r="C94" s="26"/>
      <c r="D94" s="2"/>
      <c r="E94" s="2"/>
      <c r="F94" s="2"/>
      <c r="G94" s="2"/>
      <c r="H94" s="2"/>
      <c r="I94" s="2"/>
      <c r="J94" s="2"/>
      <c r="K94" s="2"/>
      <c r="L94" s="2"/>
      <c r="M94" s="2"/>
      <c r="N94" s="2"/>
      <c r="O94" s="2"/>
      <c r="P94" s="2"/>
      <c r="Q94" s="2"/>
      <c r="R94" s="2"/>
      <c r="S94" s="2"/>
      <c r="T94" s="2"/>
      <c r="U94" s="2"/>
      <c r="V94" s="2"/>
      <c r="W94" s="2"/>
      <c r="X94" s="2"/>
      <c r="Y94" s="2"/>
      <c r="Z94" s="2"/>
    </row>
    <row r="95" spans="1:26">
      <c r="A95" s="24" t="s">
        <v>188</v>
      </c>
      <c r="B95" s="4" t="s">
        <v>189</v>
      </c>
      <c r="C95" s="27" t="s">
        <v>190</v>
      </c>
      <c r="D95" s="2"/>
      <c r="E95" s="2"/>
      <c r="F95" s="2"/>
      <c r="G95" s="2"/>
      <c r="H95" s="2"/>
      <c r="I95" s="2"/>
      <c r="J95" s="2"/>
      <c r="K95" s="2"/>
      <c r="L95" s="2"/>
      <c r="M95" s="2"/>
      <c r="N95" s="2"/>
      <c r="O95" s="2"/>
      <c r="P95" s="2"/>
      <c r="Q95" s="2"/>
      <c r="R95" s="2"/>
      <c r="S95" s="2"/>
      <c r="T95" s="2"/>
      <c r="U95" s="2"/>
      <c r="V95" s="2"/>
      <c r="W95" s="2"/>
      <c r="X95" s="2"/>
      <c r="Y95" s="2"/>
      <c r="Z95" s="2"/>
    </row>
    <row r="96" spans="1:26">
      <c r="A96" s="25"/>
      <c r="B96" s="4" t="s">
        <v>191</v>
      </c>
      <c r="C96" s="25"/>
      <c r="D96" s="2"/>
      <c r="E96" s="2"/>
      <c r="F96" s="2"/>
      <c r="G96" s="2"/>
      <c r="H96" s="2"/>
      <c r="I96" s="2"/>
      <c r="J96" s="2"/>
      <c r="K96" s="2"/>
      <c r="L96" s="2"/>
      <c r="M96" s="2"/>
      <c r="N96" s="2"/>
      <c r="O96" s="2"/>
      <c r="P96" s="2"/>
      <c r="Q96" s="2"/>
      <c r="R96" s="2"/>
      <c r="S96" s="2"/>
      <c r="T96" s="2"/>
      <c r="U96" s="2"/>
      <c r="V96" s="2"/>
      <c r="W96" s="2"/>
      <c r="X96" s="2"/>
      <c r="Y96" s="2"/>
      <c r="Z96" s="2"/>
    </row>
    <row r="97" spans="1:26">
      <c r="A97" s="25"/>
      <c r="B97" s="4" t="s">
        <v>192</v>
      </c>
      <c r="C97" s="25"/>
      <c r="D97" s="2"/>
      <c r="E97" s="2"/>
      <c r="F97" s="2"/>
      <c r="G97" s="2"/>
      <c r="H97" s="2"/>
      <c r="I97" s="2"/>
      <c r="J97" s="2"/>
      <c r="K97" s="2"/>
      <c r="L97" s="2"/>
      <c r="M97" s="2"/>
      <c r="N97" s="2"/>
      <c r="O97" s="2"/>
      <c r="P97" s="2"/>
      <c r="Q97" s="2"/>
      <c r="R97" s="2"/>
      <c r="S97" s="2"/>
      <c r="T97" s="2"/>
      <c r="U97" s="2"/>
      <c r="V97" s="2"/>
      <c r="W97" s="2"/>
      <c r="X97" s="2"/>
      <c r="Y97" s="2"/>
      <c r="Z97" s="2"/>
    </row>
    <row r="98" spans="1:26">
      <c r="A98" s="26"/>
      <c r="B98" s="4" t="s">
        <v>193</v>
      </c>
      <c r="C98" s="26"/>
      <c r="D98" s="2"/>
      <c r="E98" s="2"/>
      <c r="F98" s="2"/>
      <c r="G98" s="2"/>
      <c r="H98" s="2"/>
      <c r="I98" s="2"/>
      <c r="J98" s="2"/>
      <c r="K98" s="2"/>
      <c r="L98" s="2"/>
      <c r="M98" s="2"/>
      <c r="N98" s="2"/>
      <c r="O98" s="2"/>
      <c r="P98" s="2"/>
      <c r="Q98" s="2"/>
      <c r="R98" s="2"/>
      <c r="S98" s="2"/>
      <c r="T98" s="2"/>
      <c r="U98" s="2"/>
      <c r="V98" s="2"/>
      <c r="W98" s="2"/>
      <c r="X98" s="2"/>
      <c r="Y98" s="2"/>
      <c r="Z98" s="2"/>
    </row>
    <row r="99" spans="1:26">
      <c r="A99" s="24" t="s">
        <v>194</v>
      </c>
      <c r="B99" s="4" t="s">
        <v>195</v>
      </c>
      <c r="C99" s="24" t="s">
        <v>196</v>
      </c>
      <c r="D99" s="2"/>
      <c r="E99" s="2"/>
      <c r="F99" s="2"/>
      <c r="G99" s="2"/>
      <c r="H99" s="2"/>
      <c r="I99" s="2"/>
      <c r="J99" s="2"/>
      <c r="K99" s="2"/>
      <c r="L99" s="2"/>
      <c r="M99" s="2"/>
      <c r="N99" s="2"/>
      <c r="O99" s="2"/>
      <c r="P99" s="2"/>
      <c r="Q99" s="2"/>
      <c r="R99" s="2"/>
      <c r="S99" s="2"/>
      <c r="T99" s="2"/>
      <c r="U99" s="2"/>
      <c r="V99" s="2"/>
      <c r="W99" s="2"/>
      <c r="X99" s="2"/>
      <c r="Y99" s="2"/>
      <c r="Z99" s="2"/>
    </row>
    <row r="100" spans="1:26">
      <c r="A100" s="25"/>
      <c r="B100" s="4" t="s">
        <v>197</v>
      </c>
      <c r="C100" s="25"/>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5"/>
      <c r="B101" s="4" t="s">
        <v>198</v>
      </c>
      <c r="C101" s="25"/>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6"/>
      <c r="B102" s="4" t="s">
        <v>199</v>
      </c>
      <c r="C102" s="26"/>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4" t="s">
        <v>200</v>
      </c>
      <c r="B103" s="4" t="s">
        <v>201</v>
      </c>
      <c r="C103" s="27" t="s">
        <v>202</v>
      </c>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5"/>
      <c r="B104" s="4" t="s">
        <v>203</v>
      </c>
      <c r="C104" s="25"/>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6"/>
      <c r="B105" s="4" t="s">
        <v>204</v>
      </c>
      <c r="C105" s="26"/>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4" t="s">
        <v>205</v>
      </c>
      <c r="B106" s="4" t="s">
        <v>206</v>
      </c>
      <c r="C106" s="27" t="s">
        <v>207</v>
      </c>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6"/>
      <c r="B107" s="4" t="s">
        <v>208</v>
      </c>
      <c r="C107" s="26"/>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4" t="s">
        <v>209</v>
      </c>
      <c r="B108" s="4" t="s">
        <v>210</v>
      </c>
      <c r="C108" s="27" t="s">
        <v>211</v>
      </c>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5"/>
      <c r="B109" s="4" t="s">
        <v>212</v>
      </c>
      <c r="C109" s="25"/>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5"/>
      <c r="B110" s="4" t="s">
        <v>213</v>
      </c>
      <c r="C110" s="25"/>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5"/>
      <c r="B111" s="4" t="s">
        <v>214</v>
      </c>
      <c r="C111" s="25"/>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6"/>
      <c r="B112" s="4" t="s">
        <v>215</v>
      </c>
      <c r="C112" s="26"/>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4" t="s">
        <v>216</v>
      </c>
      <c r="B113" s="4" t="s">
        <v>217</v>
      </c>
      <c r="C113" s="24" t="s">
        <v>218</v>
      </c>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6"/>
      <c r="B114" s="4" t="s">
        <v>219</v>
      </c>
      <c r="C114" s="26"/>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4"/>
      <c r="B115" s="4"/>
      <c r="C115" s="4"/>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4"/>
      <c r="B116" s="4"/>
      <c r="C116" s="4"/>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4"/>
      <c r="B117" s="4"/>
      <c r="C117" s="4"/>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4"/>
      <c r="B118" s="4"/>
      <c r="C118" s="4"/>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4"/>
      <c r="B119" s="4"/>
      <c r="C119" s="4"/>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4"/>
      <c r="B120" s="4"/>
      <c r="C120" s="4"/>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4"/>
      <c r="B121" s="4"/>
      <c r="C121" s="4"/>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4"/>
      <c r="B122" s="4"/>
      <c r="C122" s="4"/>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4"/>
      <c r="B123" s="4"/>
      <c r="C123" s="4"/>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4"/>
      <c r="B124" s="4"/>
      <c r="C124" s="4"/>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4"/>
      <c r="B125" s="4"/>
      <c r="C125" s="4"/>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4"/>
      <c r="B126" s="4"/>
      <c r="C126" s="4"/>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4"/>
      <c r="B127" s="4"/>
      <c r="C127" s="4"/>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4"/>
      <c r="B128" s="4"/>
      <c r="C128" s="4"/>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4"/>
      <c r="B129" s="4"/>
      <c r="C129" s="4"/>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4"/>
      <c r="B130" s="4"/>
      <c r="C130" s="4"/>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4"/>
      <c r="B131" s="4"/>
      <c r="C131" s="4"/>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4"/>
      <c r="B132" s="4"/>
      <c r="C132" s="4"/>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4"/>
      <c r="B133" s="4"/>
      <c r="C133" s="4"/>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4"/>
      <c r="B134" s="4"/>
      <c r="C134" s="4"/>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4"/>
      <c r="B135" s="4"/>
      <c r="C135" s="4"/>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4"/>
      <c r="B136" s="4"/>
      <c r="C136" s="4"/>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4"/>
      <c r="B137" s="4"/>
      <c r="C137" s="4"/>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4"/>
      <c r="B138" s="4"/>
      <c r="C138" s="4"/>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4"/>
      <c r="B139" s="4"/>
      <c r="C139" s="4"/>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4"/>
      <c r="B140" s="4"/>
      <c r="C140" s="4"/>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4"/>
      <c r="B141" s="4"/>
      <c r="C141" s="4"/>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4"/>
      <c r="B142" s="4"/>
      <c r="C142" s="4"/>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4"/>
      <c r="B143" s="4"/>
      <c r="C143" s="4"/>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4"/>
      <c r="B144" s="4"/>
      <c r="C144" s="4"/>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4"/>
      <c r="B145" s="4"/>
      <c r="C145" s="4"/>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4"/>
      <c r="B146" s="4"/>
      <c r="C146" s="4"/>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4"/>
      <c r="B147" s="4"/>
      <c r="C147" s="4"/>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4"/>
      <c r="B148" s="4"/>
      <c r="C148" s="4"/>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4"/>
      <c r="B149" s="4"/>
      <c r="C149" s="4"/>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4"/>
      <c r="B150" s="4"/>
      <c r="C150" s="4"/>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4"/>
      <c r="B151" s="4"/>
      <c r="C151" s="4"/>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4"/>
      <c r="B152" s="4"/>
      <c r="C152" s="4"/>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4"/>
      <c r="B153" s="4"/>
      <c r="C153" s="4"/>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4"/>
      <c r="B154" s="4"/>
      <c r="C154" s="4"/>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4"/>
      <c r="B155" s="4"/>
      <c r="C155" s="4"/>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4"/>
      <c r="B156" s="4"/>
      <c r="C156" s="4"/>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4"/>
      <c r="B157" s="4"/>
      <c r="C157" s="4"/>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4"/>
      <c r="B158" s="4"/>
      <c r="C158" s="4"/>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4"/>
      <c r="B159" s="4"/>
      <c r="C159" s="4"/>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4"/>
      <c r="B160" s="4"/>
      <c r="C160" s="4"/>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4"/>
      <c r="B161" s="4"/>
      <c r="C161" s="4"/>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4"/>
      <c r="B162" s="4"/>
      <c r="C162" s="4"/>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4"/>
      <c r="B163" s="4"/>
      <c r="C163" s="4"/>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4"/>
      <c r="B164" s="4"/>
      <c r="C164" s="4"/>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4"/>
      <c r="B165" s="4"/>
      <c r="C165" s="4"/>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4"/>
      <c r="B166" s="4"/>
      <c r="C166" s="4"/>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4"/>
      <c r="B167" s="4"/>
      <c r="C167" s="4"/>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4"/>
      <c r="B168" s="4"/>
      <c r="C168" s="4"/>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4"/>
      <c r="B169" s="4"/>
      <c r="C169" s="4"/>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4"/>
      <c r="B170" s="4"/>
      <c r="C170" s="4"/>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4"/>
      <c r="B171" s="4"/>
      <c r="C171" s="4"/>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4"/>
      <c r="B172" s="4"/>
      <c r="C172" s="4"/>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4"/>
      <c r="B173" s="4"/>
      <c r="C173" s="4"/>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4"/>
      <c r="B174" s="4"/>
      <c r="C174" s="4"/>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4"/>
      <c r="B175" s="4"/>
      <c r="C175" s="4"/>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4"/>
      <c r="B176" s="4"/>
      <c r="C176" s="4"/>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4"/>
      <c r="B177" s="4"/>
      <c r="C177" s="4"/>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4"/>
      <c r="B178" s="4"/>
      <c r="C178" s="4"/>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4"/>
      <c r="B179" s="4"/>
      <c r="C179" s="4"/>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4"/>
      <c r="B180" s="4"/>
      <c r="C180" s="4"/>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4"/>
      <c r="B181" s="4"/>
      <c r="C181" s="4"/>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4"/>
      <c r="B182" s="4"/>
      <c r="C182" s="4"/>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4"/>
      <c r="B183" s="4"/>
      <c r="C183" s="4"/>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4"/>
      <c r="B184" s="4"/>
      <c r="C184" s="4"/>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4"/>
      <c r="B185" s="4"/>
      <c r="C185" s="4"/>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4"/>
      <c r="B186" s="4"/>
      <c r="C186" s="4"/>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4"/>
      <c r="B187" s="4"/>
      <c r="C187" s="4"/>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4"/>
      <c r="B188" s="4"/>
      <c r="C188" s="4"/>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4"/>
      <c r="B189" s="4"/>
      <c r="C189" s="4"/>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4"/>
      <c r="B190" s="4"/>
      <c r="C190" s="4"/>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4"/>
      <c r="B191" s="4"/>
      <c r="C191" s="4"/>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4"/>
      <c r="B192" s="4"/>
      <c r="C192" s="4"/>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4"/>
      <c r="B193" s="4"/>
      <c r="C193" s="4"/>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4"/>
      <c r="B194" s="4"/>
      <c r="C194" s="4"/>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4"/>
      <c r="B195" s="4"/>
      <c r="C195" s="4"/>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4"/>
      <c r="B196" s="4"/>
      <c r="C196" s="4"/>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4"/>
      <c r="B197" s="4"/>
      <c r="C197" s="4"/>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4"/>
      <c r="B198" s="4"/>
      <c r="C198" s="4"/>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4"/>
      <c r="B199" s="4"/>
      <c r="C199" s="4"/>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4"/>
      <c r="B200" s="4"/>
      <c r="C200" s="4"/>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4"/>
      <c r="B201" s="4"/>
      <c r="C201" s="4"/>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4"/>
      <c r="B202" s="4"/>
      <c r="C202" s="4"/>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4"/>
      <c r="B203" s="4"/>
      <c r="C203" s="4"/>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4"/>
      <c r="B204" s="4"/>
      <c r="C204" s="4"/>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4"/>
      <c r="B205" s="4"/>
      <c r="C205" s="4"/>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4"/>
      <c r="B206" s="4"/>
      <c r="C206" s="4"/>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4"/>
      <c r="B207" s="4"/>
      <c r="C207" s="4"/>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4"/>
      <c r="B208" s="4"/>
      <c r="C208" s="4"/>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4"/>
      <c r="B209" s="4"/>
      <c r="C209" s="4"/>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4"/>
      <c r="B210" s="4"/>
      <c r="C210" s="4"/>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4"/>
      <c r="B211" s="4"/>
      <c r="C211" s="4"/>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4"/>
      <c r="B212" s="4"/>
      <c r="C212" s="4"/>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4"/>
      <c r="B213" s="4"/>
      <c r="C213" s="4"/>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4"/>
      <c r="B214" s="4"/>
      <c r="C214" s="4"/>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4"/>
      <c r="B215" s="4"/>
      <c r="C215" s="4"/>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4"/>
      <c r="B216" s="4"/>
      <c r="C216" s="4"/>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4"/>
      <c r="B217" s="4"/>
      <c r="C217" s="4"/>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4"/>
      <c r="B218" s="4"/>
      <c r="C218" s="4"/>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4"/>
      <c r="B219" s="4"/>
      <c r="C219" s="4"/>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4"/>
      <c r="B220" s="4"/>
      <c r="C220" s="4"/>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4"/>
      <c r="B221" s="4"/>
      <c r="C221" s="4"/>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4"/>
      <c r="B222" s="4"/>
      <c r="C222" s="4"/>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4"/>
      <c r="B223" s="4"/>
      <c r="C223" s="4"/>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4"/>
      <c r="B224" s="4"/>
      <c r="C224" s="4"/>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4"/>
      <c r="B225" s="4"/>
      <c r="C225" s="4"/>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4"/>
      <c r="B226" s="4"/>
      <c r="C226" s="4"/>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4"/>
      <c r="B227" s="4"/>
      <c r="C227" s="4"/>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4"/>
      <c r="B228" s="4"/>
      <c r="C228" s="4"/>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4"/>
      <c r="B229" s="4"/>
      <c r="C229" s="4"/>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4"/>
      <c r="B230" s="4"/>
      <c r="C230" s="4"/>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4"/>
      <c r="B231" s="4"/>
      <c r="C231" s="4"/>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4"/>
      <c r="B232" s="4"/>
      <c r="C232" s="4"/>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4"/>
      <c r="B233" s="4"/>
      <c r="C233" s="4"/>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4"/>
      <c r="B234" s="4"/>
      <c r="C234" s="4"/>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4"/>
      <c r="B235" s="4"/>
      <c r="C235" s="4"/>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4"/>
      <c r="B236" s="4"/>
      <c r="C236" s="4"/>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4"/>
      <c r="B237" s="4"/>
      <c r="C237" s="4"/>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4"/>
      <c r="B238" s="4"/>
      <c r="C238" s="4"/>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4"/>
      <c r="B239" s="4"/>
      <c r="C239" s="4"/>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4"/>
      <c r="B240" s="4"/>
      <c r="C240" s="4"/>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4"/>
      <c r="B241" s="4"/>
      <c r="C241" s="4"/>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4"/>
      <c r="B242" s="4"/>
      <c r="C242" s="4"/>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4"/>
      <c r="B243" s="4"/>
      <c r="C243" s="4"/>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4"/>
      <c r="B244" s="4"/>
      <c r="C244" s="4"/>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4"/>
      <c r="B245" s="4"/>
      <c r="C245" s="4"/>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4"/>
      <c r="B246" s="4"/>
      <c r="C246" s="4"/>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4"/>
      <c r="B247" s="4"/>
      <c r="C247" s="4"/>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4"/>
      <c r="B248" s="4"/>
      <c r="C248" s="4"/>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4"/>
      <c r="B249" s="4"/>
      <c r="C249" s="4"/>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4"/>
      <c r="B250" s="4"/>
      <c r="C250" s="4"/>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4"/>
      <c r="B251" s="4"/>
      <c r="C251" s="4"/>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4"/>
      <c r="B252" s="4"/>
      <c r="C252" s="4"/>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4"/>
      <c r="B253" s="4"/>
      <c r="C253" s="4"/>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4"/>
      <c r="B254" s="4"/>
      <c r="C254" s="4"/>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4"/>
      <c r="B255" s="4"/>
      <c r="C255" s="4"/>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4"/>
      <c r="B256" s="4"/>
      <c r="C256" s="4"/>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4"/>
      <c r="B257" s="4"/>
      <c r="C257" s="4"/>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4"/>
      <c r="B258" s="4"/>
      <c r="C258" s="4"/>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4"/>
      <c r="B259" s="4"/>
      <c r="C259" s="4"/>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4"/>
      <c r="B260" s="4"/>
      <c r="C260" s="4"/>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4"/>
      <c r="B261" s="4"/>
      <c r="C261" s="4"/>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4"/>
      <c r="B262" s="4"/>
      <c r="C262" s="4"/>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4"/>
      <c r="B263" s="4"/>
      <c r="C263" s="4"/>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4"/>
      <c r="B264" s="4"/>
      <c r="C264" s="4"/>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4"/>
      <c r="B265" s="4"/>
      <c r="C265" s="4"/>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4"/>
      <c r="B266" s="4"/>
      <c r="C266" s="4"/>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4"/>
      <c r="B267" s="4"/>
      <c r="C267" s="4"/>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4"/>
      <c r="B268" s="4"/>
      <c r="C268" s="4"/>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4"/>
      <c r="B269" s="4"/>
      <c r="C269" s="4"/>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4"/>
      <c r="B270" s="4"/>
      <c r="C270" s="4"/>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4"/>
      <c r="B271" s="4"/>
      <c r="C271" s="4"/>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4"/>
      <c r="B272" s="4"/>
      <c r="C272" s="4"/>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4"/>
      <c r="B273" s="4"/>
      <c r="C273" s="4"/>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4"/>
      <c r="B274" s="4"/>
      <c r="C274" s="4"/>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4"/>
      <c r="B275" s="4"/>
      <c r="C275" s="4"/>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4"/>
      <c r="B276" s="4"/>
      <c r="C276" s="4"/>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4"/>
      <c r="B277" s="4"/>
      <c r="C277" s="4"/>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4"/>
      <c r="B278" s="4"/>
      <c r="C278" s="4"/>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4"/>
      <c r="B279" s="4"/>
      <c r="C279" s="4"/>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4"/>
      <c r="B280" s="4"/>
      <c r="C280" s="4"/>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4"/>
      <c r="B281" s="4"/>
      <c r="C281" s="4"/>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4"/>
      <c r="B282" s="4"/>
      <c r="C282" s="4"/>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4"/>
      <c r="B283" s="4"/>
      <c r="C283" s="4"/>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4"/>
      <c r="B284" s="4"/>
      <c r="C284" s="4"/>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4"/>
      <c r="B285" s="4"/>
      <c r="C285" s="4"/>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4"/>
      <c r="B286" s="4"/>
      <c r="C286" s="4"/>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4"/>
      <c r="B287" s="4"/>
      <c r="C287" s="4"/>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4"/>
      <c r="B288" s="4"/>
      <c r="C288" s="4"/>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4"/>
      <c r="B289" s="4"/>
      <c r="C289" s="4"/>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4"/>
      <c r="B290" s="4"/>
      <c r="C290" s="4"/>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4"/>
      <c r="B291" s="4"/>
      <c r="C291" s="4"/>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4"/>
      <c r="B292" s="4"/>
      <c r="C292" s="4"/>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4"/>
      <c r="B293" s="4"/>
      <c r="C293" s="4"/>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4"/>
      <c r="B294" s="4"/>
      <c r="C294" s="4"/>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4"/>
      <c r="B295" s="4"/>
      <c r="C295" s="4"/>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4"/>
      <c r="B296" s="4"/>
      <c r="C296" s="4"/>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4"/>
      <c r="B297" s="4"/>
      <c r="C297" s="4"/>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4"/>
      <c r="B298" s="4"/>
      <c r="C298" s="4"/>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4"/>
      <c r="B299" s="4"/>
      <c r="C299" s="4"/>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4"/>
      <c r="B300" s="4"/>
      <c r="C300" s="4"/>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4"/>
      <c r="B301" s="4"/>
      <c r="C301" s="4"/>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4"/>
      <c r="B302" s="4"/>
      <c r="C302" s="4"/>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4"/>
      <c r="B303" s="4"/>
      <c r="C303" s="4"/>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4"/>
      <c r="B304" s="4"/>
      <c r="C304" s="4"/>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4"/>
      <c r="B305" s="4"/>
      <c r="C305" s="4"/>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4"/>
      <c r="B306" s="4"/>
      <c r="C306" s="4"/>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4"/>
      <c r="B307" s="4"/>
      <c r="C307" s="4"/>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4"/>
      <c r="B308" s="4"/>
      <c r="C308" s="4"/>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4"/>
      <c r="B309" s="4"/>
      <c r="C309" s="4"/>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4"/>
      <c r="B310" s="4"/>
      <c r="C310" s="4"/>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4"/>
      <c r="B311" s="4"/>
      <c r="C311" s="4"/>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4"/>
      <c r="B312" s="4"/>
      <c r="C312" s="4"/>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4"/>
      <c r="B313" s="4"/>
      <c r="C313" s="4"/>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4"/>
      <c r="B314" s="4"/>
      <c r="C314" s="4"/>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4"/>
      <c r="B315" s="4"/>
      <c r="C315" s="4"/>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4"/>
      <c r="B316" s="4"/>
      <c r="C316" s="4"/>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4"/>
      <c r="B317" s="4"/>
      <c r="C317" s="4"/>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4"/>
      <c r="B318" s="4"/>
      <c r="C318" s="4"/>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4"/>
      <c r="B319" s="4"/>
      <c r="C319" s="4"/>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4"/>
      <c r="B320" s="4"/>
      <c r="C320" s="4"/>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4"/>
      <c r="B321" s="4"/>
      <c r="C321" s="4"/>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4"/>
      <c r="B322" s="4"/>
      <c r="C322" s="4"/>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4"/>
      <c r="B323" s="4"/>
      <c r="C323" s="4"/>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4"/>
      <c r="B324" s="4"/>
      <c r="C324" s="4"/>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4"/>
      <c r="B325" s="4"/>
      <c r="C325" s="4"/>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4"/>
      <c r="B326" s="4"/>
      <c r="C326" s="4"/>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4"/>
      <c r="B327" s="4"/>
      <c r="C327" s="4"/>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4"/>
      <c r="B328" s="4"/>
      <c r="C328" s="4"/>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4"/>
      <c r="B329" s="4"/>
      <c r="C329" s="4"/>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4"/>
      <c r="B330" s="4"/>
      <c r="C330" s="4"/>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4"/>
      <c r="B331" s="4"/>
      <c r="C331" s="4"/>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4"/>
      <c r="B332" s="4"/>
      <c r="C332" s="4"/>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4"/>
      <c r="B333" s="4"/>
      <c r="C333" s="4"/>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4"/>
      <c r="B334" s="4"/>
      <c r="C334" s="4"/>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4"/>
      <c r="B335" s="4"/>
      <c r="C335" s="4"/>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4"/>
      <c r="B336" s="4"/>
      <c r="C336" s="4"/>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4"/>
      <c r="B337" s="4"/>
      <c r="C337" s="4"/>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4"/>
      <c r="B338" s="4"/>
      <c r="C338" s="4"/>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4"/>
      <c r="B339" s="4"/>
      <c r="C339" s="4"/>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4"/>
      <c r="B340" s="4"/>
      <c r="C340" s="4"/>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4"/>
      <c r="B341" s="4"/>
      <c r="C341" s="4"/>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4"/>
      <c r="B342" s="4"/>
      <c r="C342" s="4"/>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4"/>
      <c r="B343" s="4"/>
      <c r="C343" s="4"/>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4"/>
      <c r="B344" s="4"/>
      <c r="C344" s="4"/>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4"/>
      <c r="B345" s="4"/>
      <c r="C345" s="4"/>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4"/>
      <c r="B346" s="4"/>
      <c r="C346" s="4"/>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4"/>
      <c r="B347" s="4"/>
      <c r="C347" s="4"/>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4"/>
      <c r="B348" s="4"/>
      <c r="C348" s="4"/>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4"/>
      <c r="B349" s="4"/>
      <c r="C349" s="4"/>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4"/>
      <c r="B350" s="4"/>
      <c r="C350" s="4"/>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4"/>
      <c r="B351" s="4"/>
      <c r="C351" s="4"/>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4"/>
      <c r="B352" s="4"/>
      <c r="C352" s="4"/>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4"/>
      <c r="B353" s="4"/>
      <c r="C353" s="4"/>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4"/>
      <c r="B354" s="4"/>
      <c r="C354" s="4"/>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4"/>
      <c r="B355" s="4"/>
      <c r="C355" s="4"/>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4"/>
      <c r="B356" s="4"/>
      <c r="C356" s="4"/>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4"/>
      <c r="B357" s="4"/>
      <c r="C357" s="4"/>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4"/>
      <c r="B358" s="4"/>
      <c r="C358" s="4"/>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4"/>
      <c r="B359" s="4"/>
      <c r="C359" s="4"/>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4"/>
      <c r="B360" s="4"/>
      <c r="C360" s="4"/>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4"/>
      <c r="B361" s="4"/>
      <c r="C361" s="4"/>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4"/>
      <c r="B362" s="4"/>
      <c r="C362" s="4"/>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4"/>
      <c r="B363" s="4"/>
      <c r="C363" s="4"/>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4"/>
      <c r="B364" s="4"/>
      <c r="C364" s="4"/>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4"/>
      <c r="B365" s="4"/>
      <c r="C365" s="4"/>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4"/>
      <c r="B366" s="4"/>
      <c r="C366" s="4"/>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4"/>
      <c r="B367" s="4"/>
      <c r="C367" s="4"/>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4"/>
      <c r="B368" s="4"/>
      <c r="C368" s="4"/>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4"/>
      <c r="B369" s="4"/>
      <c r="C369" s="4"/>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4"/>
      <c r="B370" s="4"/>
      <c r="C370" s="4"/>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4"/>
      <c r="B371" s="4"/>
      <c r="C371" s="4"/>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4"/>
      <c r="B372" s="4"/>
      <c r="C372" s="4"/>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4"/>
      <c r="B373" s="4"/>
      <c r="C373" s="4"/>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4"/>
      <c r="B374" s="4"/>
      <c r="C374" s="4"/>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4"/>
      <c r="B375" s="4"/>
      <c r="C375" s="4"/>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4"/>
      <c r="B376" s="4"/>
      <c r="C376" s="4"/>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4"/>
      <c r="B377" s="4"/>
      <c r="C377" s="4"/>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4"/>
      <c r="B378" s="4"/>
      <c r="C378" s="4"/>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4"/>
      <c r="B379" s="4"/>
      <c r="C379" s="4"/>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4"/>
      <c r="B380" s="4"/>
      <c r="C380" s="4"/>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4"/>
      <c r="B381" s="4"/>
      <c r="C381" s="4"/>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4"/>
      <c r="B382" s="4"/>
      <c r="C382" s="4"/>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4"/>
      <c r="B383" s="4"/>
      <c r="C383" s="4"/>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4"/>
      <c r="B384" s="4"/>
      <c r="C384" s="4"/>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4"/>
      <c r="B385" s="4"/>
      <c r="C385" s="4"/>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4"/>
      <c r="B386" s="4"/>
      <c r="C386" s="4"/>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4"/>
      <c r="B387" s="4"/>
      <c r="C387" s="4"/>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4"/>
      <c r="B388" s="4"/>
      <c r="C388" s="4"/>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4"/>
      <c r="B389" s="4"/>
      <c r="C389" s="4"/>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4"/>
      <c r="B390" s="4"/>
      <c r="C390" s="4"/>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4"/>
      <c r="B391" s="4"/>
      <c r="C391" s="4"/>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4"/>
      <c r="B392" s="4"/>
      <c r="C392" s="4"/>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4"/>
      <c r="B393" s="4"/>
      <c r="C393" s="4"/>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4"/>
      <c r="B394" s="4"/>
      <c r="C394" s="4"/>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4"/>
      <c r="B395" s="4"/>
      <c r="C395" s="4"/>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4"/>
      <c r="B396" s="4"/>
      <c r="C396" s="4"/>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4"/>
      <c r="B397" s="4"/>
      <c r="C397" s="4"/>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4"/>
      <c r="B398" s="4"/>
      <c r="C398" s="4"/>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4"/>
      <c r="B399" s="4"/>
      <c r="C399" s="4"/>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4"/>
      <c r="B400" s="4"/>
      <c r="C400" s="4"/>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4"/>
      <c r="B401" s="4"/>
      <c r="C401" s="4"/>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4"/>
      <c r="B402" s="4"/>
      <c r="C402" s="4"/>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4"/>
      <c r="B403" s="4"/>
      <c r="C403" s="4"/>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4"/>
      <c r="B404" s="4"/>
      <c r="C404" s="4"/>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4"/>
      <c r="B405" s="4"/>
      <c r="C405" s="4"/>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4"/>
      <c r="B406" s="4"/>
      <c r="C406" s="4"/>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4"/>
      <c r="B407" s="4"/>
      <c r="C407" s="4"/>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4"/>
      <c r="B408" s="4"/>
      <c r="C408" s="4"/>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4"/>
      <c r="B409" s="4"/>
      <c r="C409" s="4"/>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4"/>
      <c r="B410" s="4"/>
      <c r="C410" s="4"/>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4"/>
      <c r="B411" s="4"/>
      <c r="C411" s="4"/>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4"/>
      <c r="B412" s="4"/>
      <c r="C412" s="4"/>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4"/>
      <c r="B413" s="4"/>
      <c r="C413" s="4"/>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4"/>
      <c r="B414" s="4"/>
      <c r="C414" s="4"/>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4"/>
      <c r="B415" s="4"/>
      <c r="C415" s="4"/>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4"/>
      <c r="B416" s="4"/>
      <c r="C416" s="4"/>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4"/>
      <c r="B417" s="4"/>
      <c r="C417" s="4"/>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4"/>
      <c r="B418" s="4"/>
      <c r="C418" s="4"/>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4"/>
      <c r="B419" s="4"/>
      <c r="C419" s="4"/>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4"/>
      <c r="B420" s="4"/>
      <c r="C420" s="4"/>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4"/>
      <c r="B421" s="4"/>
      <c r="C421" s="4"/>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4"/>
      <c r="B422" s="4"/>
      <c r="C422" s="4"/>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4"/>
      <c r="B423" s="4"/>
      <c r="C423" s="4"/>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4"/>
      <c r="B424" s="4"/>
      <c r="C424" s="4"/>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4"/>
      <c r="B425" s="4"/>
      <c r="C425" s="4"/>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4"/>
      <c r="B426" s="4"/>
      <c r="C426" s="4"/>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4"/>
      <c r="B427" s="4"/>
      <c r="C427" s="4"/>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4"/>
      <c r="B428" s="4"/>
      <c r="C428" s="4"/>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4"/>
      <c r="B429" s="4"/>
      <c r="C429" s="4"/>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4"/>
      <c r="B430" s="4"/>
      <c r="C430" s="4"/>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4"/>
      <c r="B431" s="4"/>
      <c r="C431" s="4"/>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4"/>
      <c r="B432" s="4"/>
      <c r="C432" s="4"/>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4"/>
      <c r="B433" s="4"/>
      <c r="C433" s="4"/>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4"/>
      <c r="B434" s="4"/>
      <c r="C434" s="4"/>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4"/>
      <c r="B435" s="4"/>
      <c r="C435" s="4"/>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4"/>
      <c r="B436" s="4"/>
      <c r="C436" s="4"/>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4"/>
      <c r="B437" s="4"/>
      <c r="C437" s="4"/>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4"/>
      <c r="B438" s="4"/>
      <c r="C438" s="4"/>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4"/>
      <c r="B439" s="4"/>
      <c r="C439" s="4"/>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4"/>
      <c r="B440" s="4"/>
      <c r="C440" s="4"/>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4"/>
      <c r="B441" s="4"/>
      <c r="C441" s="4"/>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4"/>
      <c r="B442" s="4"/>
      <c r="C442" s="4"/>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4"/>
      <c r="B443" s="4"/>
      <c r="C443" s="4"/>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4"/>
      <c r="B444" s="4"/>
      <c r="C444" s="4"/>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4"/>
      <c r="B445" s="4"/>
      <c r="C445" s="4"/>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4"/>
      <c r="B446" s="4"/>
      <c r="C446" s="4"/>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4"/>
      <c r="B447" s="4"/>
      <c r="C447" s="4"/>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4"/>
      <c r="B448" s="4"/>
      <c r="C448" s="4"/>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4"/>
      <c r="B449" s="4"/>
      <c r="C449" s="4"/>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4"/>
      <c r="B450" s="4"/>
      <c r="C450" s="4"/>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4"/>
      <c r="B451" s="4"/>
      <c r="C451" s="4"/>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4"/>
      <c r="B452" s="4"/>
      <c r="C452" s="4"/>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4"/>
      <c r="B453" s="4"/>
      <c r="C453" s="4"/>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4"/>
      <c r="B454" s="4"/>
      <c r="C454" s="4"/>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4"/>
      <c r="B455" s="4"/>
      <c r="C455" s="4"/>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4"/>
      <c r="B456" s="4"/>
      <c r="C456" s="4"/>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4"/>
      <c r="B457" s="4"/>
      <c r="C457" s="4"/>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4"/>
      <c r="B458" s="4"/>
      <c r="C458" s="4"/>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4"/>
      <c r="B459" s="4"/>
      <c r="C459" s="4"/>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4"/>
      <c r="B460" s="4"/>
      <c r="C460" s="4"/>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4"/>
      <c r="B461" s="4"/>
      <c r="C461" s="4"/>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4"/>
      <c r="B462" s="4"/>
      <c r="C462" s="4"/>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4"/>
      <c r="B463" s="4"/>
      <c r="C463" s="4"/>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4"/>
      <c r="B464" s="4"/>
      <c r="C464" s="4"/>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4"/>
      <c r="B465" s="4"/>
      <c r="C465" s="4"/>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4"/>
      <c r="B466" s="4"/>
      <c r="C466" s="4"/>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4"/>
      <c r="B467" s="4"/>
      <c r="C467" s="4"/>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4"/>
      <c r="B468" s="4"/>
      <c r="C468" s="4"/>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4"/>
      <c r="B469" s="4"/>
      <c r="C469" s="4"/>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4"/>
      <c r="B470" s="4"/>
      <c r="C470" s="4"/>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4"/>
      <c r="B471" s="4"/>
      <c r="C471" s="4"/>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4"/>
      <c r="B472" s="4"/>
      <c r="C472" s="4"/>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4"/>
      <c r="B473" s="4"/>
      <c r="C473" s="4"/>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4"/>
      <c r="B474" s="4"/>
      <c r="C474" s="4"/>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4"/>
      <c r="B475" s="4"/>
      <c r="C475" s="4"/>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4"/>
      <c r="B476" s="4"/>
      <c r="C476" s="4"/>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4"/>
      <c r="B477" s="4"/>
      <c r="C477" s="4"/>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4"/>
      <c r="B478" s="4"/>
      <c r="C478" s="4"/>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4"/>
      <c r="B479" s="4"/>
      <c r="C479" s="4"/>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4"/>
      <c r="B480" s="4"/>
      <c r="C480" s="4"/>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4"/>
      <c r="B481" s="4"/>
      <c r="C481" s="4"/>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4"/>
      <c r="B482" s="4"/>
      <c r="C482" s="4"/>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4"/>
      <c r="B483" s="4"/>
      <c r="C483" s="4"/>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4"/>
      <c r="B484" s="4"/>
      <c r="C484" s="4"/>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4"/>
      <c r="B485" s="4"/>
      <c r="C485" s="4"/>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4"/>
      <c r="B486" s="4"/>
      <c r="C486" s="4"/>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4"/>
      <c r="B487" s="4"/>
      <c r="C487" s="4"/>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4"/>
      <c r="B488" s="4"/>
      <c r="C488" s="4"/>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4"/>
      <c r="B489" s="4"/>
      <c r="C489" s="4"/>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4"/>
      <c r="B490" s="4"/>
      <c r="C490" s="4"/>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4"/>
      <c r="B491" s="4"/>
      <c r="C491" s="4"/>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4"/>
      <c r="B492" s="4"/>
      <c r="C492" s="4"/>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4"/>
      <c r="B493" s="4"/>
      <c r="C493" s="4"/>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4"/>
      <c r="B494" s="4"/>
      <c r="C494" s="4"/>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4"/>
      <c r="B495" s="4"/>
      <c r="C495" s="4"/>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4"/>
      <c r="B496" s="4"/>
      <c r="C496" s="4"/>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4"/>
      <c r="B497" s="4"/>
      <c r="C497" s="4"/>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4"/>
      <c r="B498" s="4"/>
      <c r="C498" s="4"/>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4"/>
      <c r="B499" s="4"/>
      <c r="C499" s="4"/>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4"/>
      <c r="B500" s="4"/>
      <c r="C500" s="4"/>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4"/>
      <c r="B501" s="4"/>
      <c r="C501" s="4"/>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4"/>
      <c r="B502" s="4"/>
      <c r="C502" s="4"/>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4"/>
      <c r="B503" s="4"/>
      <c r="C503" s="4"/>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4"/>
      <c r="B504" s="4"/>
      <c r="C504" s="4"/>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4"/>
      <c r="B505" s="4"/>
      <c r="C505" s="4"/>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4"/>
      <c r="B506" s="4"/>
      <c r="C506" s="4"/>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4"/>
      <c r="B507" s="4"/>
      <c r="C507" s="4"/>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4"/>
      <c r="B508" s="4"/>
      <c r="C508" s="4"/>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4"/>
      <c r="B509" s="4"/>
      <c r="C509" s="4"/>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4"/>
      <c r="B510" s="4"/>
      <c r="C510" s="4"/>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4"/>
      <c r="B511" s="4"/>
      <c r="C511" s="4"/>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4"/>
      <c r="B512" s="4"/>
      <c r="C512" s="4"/>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4"/>
      <c r="B513" s="4"/>
      <c r="C513" s="4"/>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4"/>
      <c r="B514" s="4"/>
      <c r="C514" s="4"/>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4"/>
      <c r="B515" s="4"/>
      <c r="C515" s="4"/>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4"/>
      <c r="B516" s="4"/>
      <c r="C516" s="4"/>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4"/>
      <c r="B517" s="4"/>
      <c r="C517" s="4"/>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4"/>
      <c r="B518" s="4"/>
      <c r="C518" s="4"/>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4"/>
      <c r="B519" s="4"/>
      <c r="C519" s="4"/>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4"/>
      <c r="B520" s="4"/>
      <c r="C520" s="4"/>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4"/>
      <c r="B521" s="4"/>
      <c r="C521" s="4"/>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4"/>
      <c r="B522" s="4"/>
      <c r="C522" s="4"/>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4"/>
      <c r="B523" s="4"/>
      <c r="C523" s="4"/>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4"/>
      <c r="B524" s="4"/>
      <c r="C524" s="4"/>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4"/>
      <c r="B525" s="4"/>
      <c r="C525" s="4"/>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4"/>
      <c r="B526" s="4"/>
      <c r="C526" s="4"/>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4"/>
      <c r="B527" s="4"/>
      <c r="C527" s="4"/>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4"/>
      <c r="B528" s="4"/>
      <c r="C528" s="4"/>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4"/>
      <c r="B529" s="4"/>
      <c r="C529" s="4"/>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4"/>
      <c r="B530" s="4"/>
      <c r="C530" s="4"/>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4"/>
      <c r="B531" s="4"/>
      <c r="C531" s="4"/>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4"/>
      <c r="B532" s="4"/>
      <c r="C532" s="4"/>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4"/>
      <c r="B533" s="4"/>
      <c r="C533" s="4"/>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4"/>
      <c r="B534" s="4"/>
      <c r="C534" s="4"/>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4"/>
      <c r="B535" s="4"/>
      <c r="C535" s="4"/>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4"/>
      <c r="B536" s="4"/>
      <c r="C536" s="4"/>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4"/>
      <c r="B537" s="4"/>
      <c r="C537" s="4"/>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4"/>
      <c r="B538" s="4"/>
      <c r="C538" s="4"/>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4"/>
      <c r="B539" s="4"/>
      <c r="C539" s="4"/>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4"/>
      <c r="B540" s="4"/>
      <c r="C540" s="4"/>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4"/>
      <c r="B541" s="4"/>
      <c r="C541" s="4"/>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4"/>
      <c r="B542" s="4"/>
      <c r="C542" s="4"/>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4"/>
      <c r="B543" s="4"/>
      <c r="C543" s="4"/>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4"/>
      <c r="B544" s="4"/>
      <c r="C544" s="4"/>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4"/>
      <c r="B545" s="4"/>
      <c r="C545" s="4"/>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4"/>
      <c r="B546" s="4"/>
      <c r="C546" s="4"/>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4"/>
      <c r="B547" s="4"/>
      <c r="C547" s="4"/>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4"/>
      <c r="B548" s="4"/>
      <c r="C548" s="4"/>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4"/>
      <c r="B549" s="4"/>
      <c r="C549" s="4"/>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4"/>
      <c r="B550" s="4"/>
      <c r="C550" s="4"/>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4"/>
      <c r="B551" s="4"/>
      <c r="C551" s="4"/>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4"/>
      <c r="B552" s="4"/>
      <c r="C552" s="4"/>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4"/>
      <c r="B553" s="4"/>
      <c r="C553" s="4"/>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4"/>
      <c r="B554" s="4"/>
      <c r="C554" s="4"/>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4"/>
      <c r="B555" s="4"/>
      <c r="C555" s="4"/>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4"/>
      <c r="B556" s="4"/>
      <c r="C556" s="4"/>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4"/>
      <c r="B557" s="4"/>
      <c r="C557" s="4"/>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4"/>
      <c r="B558" s="4"/>
      <c r="C558" s="4"/>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4"/>
      <c r="B559" s="4"/>
      <c r="C559" s="4"/>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4"/>
      <c r="B560" s="4"/>
      <c r="C560" s="4"/>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4"/>
      <c r="B561" s="4"/>
      <c r="C561" s="4"/>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4"/>
      <c r="B562" s="4"/>
      <c r="C562" s="4"/>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4"/>
      <c r="B563" s="4"/>
      <c r="C563" s="4"/>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4"/>
      <c r="B564" s="4"/>
      <c r="C564" s="4"/>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4"/>
      <c r="B565" s="4"/>
      <c r="C565" s="4"/>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4"/>
      <c r="B566" s="4"/>
      <c r="C566" s="4"/>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4"/>
      <c r="B567" s="4"/>
      <c r="C567" s="4"/>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4"/>
      <c r="B568" s="4"/>
      <c r="C568" s="4"/>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4"/>
      <c r="B569" s="4"/>
      <c r="C569" s="4"/>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4"/>
      <c r="B570" s="4"/>
      <c r="C570" s="4"/>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4"/>
      <c r="B571" s="4"/>
      <c r="C571" s="4"/>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4"/>
      <c r="B572" s="4"/>
      <c r="C572" s="4"/>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4"/>
      <c r="B573" s="4"/>
      <c r="C573" s="4"/>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4"/>
      <c r="B574" s="4"/>
      <c r="C574" s="4"/>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4"/>
      <c r="B575" s="4"/>
      <c r="C575" s="4"/>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4"/>
      <c r="B576" s="4"/>
      <c r="C576" s="4"/>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4"/>
      <c r="B577" s="4"/>
      <c r="C577" s="4"/>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4"/>
      <c r="B578" s="4"/>
      <c r="C578" s="4"/>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4"/>
      <c r="B579" s="4"/>
      <c r="C579" s="4"/>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4"/>
      <c r="B580" s="4"/>
      <c r="C580" s="4"/>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4"/>
      <c r="B581" s="4"/>
      <c r="C581" s="4"/>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4"/>
      <c r="B582" s="4"/>
      <c r="C582" s="4"/>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4"/>
      <c r="B583" s="4"/>
      <c r="C583" s="4"/>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4"/>
      <c r="B584" s="4"/>
      <c r="C584" s="4"/>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4"/>
      <c r="B585" s="4"/>
      <c r="C585" s="4"/>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4"/>
      <c r="B586" s="4"/>
      <c r="C586" s="4"/>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4"/>
      <c r="B587" s="4"/>
      <c r="C587" s="4"/>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4"/>
      <c r="B588" s="4"/>
      <c r="C588" s="4"/>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4"/>
      <c r="B589" s="4"/>
      <c r="C589" s="4"/>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4"/>
      <c r="B590" s="4"/>
      <c r="C590" s="4"/>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4"/>
      <c r="B591" s="4"/>
      <c r="C591" s="4"/>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4"/>
      <c r="B592" s="4"/>
      <c r="C592" s="4"/>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4"/>
      <c r="B593" s="4"/>
      <c r="C593" s="4"/>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4"/>
      <c r="B594" s="4"/>
      <c r="C594" s="4"/>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4"/>
      <c r="B595" s="4"/>
      <c r="C595" s="4"/>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4"/>
      <c r="B596" s="4"/>
      <c r="C596" s="4"/>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4"/>
      <c r="B597" s="4"/>
      <c r="C597" s="4"/>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4"/>
      <c r="B598" s="4"/>
      <c r="C598" s="4"/>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4"/>
      <c r="B599" s="4"/>
      <c r="C599" s="4"/>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4"/>
      <c r="B600" s="4"/>
      <c r="C600" s="4"/>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4"/>
      <c r="B601" s="4"/>
      <c r="C601" s="4"/>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4"/>
      <c r="B602" s="4"/>
      <c r="C602" s="4"/>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4"/>
      <c r="B603" s="4"/>
      <c r="C603" s="4"/>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4"/>
      <c r="B604" s="4"/>
      <c r="C604" s="4"/>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4"/>
      <c r="B605" s="4"/>
      <c r="C605" s="4"/>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4"/>
      <c r="B606" s="4"/>
      <c r="C606" s="4"/>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4"/>
      <c r="B607" s="4"/>
      <c r="C607" s="4"/>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4"/>
      <c r="B608" s="4"/>
      <c r="C608" s="4"/>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4"/>
      <c r="B609" s="4"/>
      <c r="C609" s="4"/>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4"/>
      <c r="B610" s="4"/>
      <c r="C610" s="4"/>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4"/>
      <c r="B611" s="4"/>
      <c r="C611" s="4"/>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4"/>
      <c r="B612" s="4"/>
      <c r="C612" s="4"/>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4"/>
      <c r="B613" s="4"/>
      <c r="C613" s="4"/>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4"/>
      <c r="B614" s="4"/>
      <c r="C614" s="4"/>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4"/>
      <c r="B615" s="4"/>
      <c r="C615" s="4"/>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4"/>
      <c r="B616" s="4"/>
      <c r="C616" s="4"/>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4"/>
      <c r="B617" s="4"/>
      <c r="C617" s="4"/>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4"/>
      <c r="B618" s="4"/>
      <c r="C618" s="4"/>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4"/>
      <c r="B619" s="4"/>
      <c r="C619" s="4"/>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4"/>
      <c r="B620" s="4"/>
      <c r="C620" s="4"/>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4"/>
      <c r="B621" s="4"/>
      <c r="C621" s="4"/>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4"/>
      <c r="B622" s="4"/>
      <c r="C622" s="4"/>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4"/>
      <c r="B623" s="4"/>
      <c r="C623" s="4"/>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4"/>
      <c r="B624" s="4"/>
      <c r="C624" s="4"/>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4"/>
      <c r="B625" s="4"/>
      <c r="C625" s="4"/>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4"/>
      <c r="B626" s="4"/>
      <c r="C626" s="4"/>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4"/>
      <c r="B627" s="4"/>
      <c r="C627" s="4"/>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4"/>
      <c r="B628" s="4"/>
      <c r="C628" s="4"/>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4"/>
      <c r="B629" s="4"/>
      <c r="C629" s="4"/>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4"/>
      <c r="B630" s="4"/>
      <c r="C630" s="4"/>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4"/>
      <c r="B631" s="4"/>
      <c r="C631" s="4"/>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4"/>
      <c r="B632" s="4"/>
      <c r="C632" s="4"/>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4"/>
      <c r="B633" s="4"/>
      <c r="C633" s="4"/>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4"/>
      <c r="B634" s="4"/>
      <c r="C634" s="4"/>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4"/>
      <c r="B635" s="4"/>
      <c r="C635" s="4"/>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4"/>
      <c r="B636" s="4"/>
      <c r="C636" s="4"/>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4"/>
      <c r="B637" s="4"/>
      <c r="C637" s="4"/>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4"/>
      <c r="B638" s="4"/>
      <c r="C638" s="4"/>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4"/>
      <c r="B639" s="4"/>
      <c r="C639" s="4"/>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4"/>
      <c r="B640" s="4"/>
      <c r="C640" s="4"/>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4"/>
      <c r="B641" s="4"/>
      <c r="C641" s="4"/>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4"/>
      <c r="B642" s="4"/>
      <c r="C642" s="4"/>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4"/>
      <c r="B643" s="4"/>
      <c r="C643" s="4"/>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4"/>
      <c r="B644" s="4"/>
      <c r="C644" s="4"/>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4"/>
      <c r="B645" s="4"/>
      <c r="C645" s="4"/>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4"/>
      <c r="B646" s="4"/>
      <c r="C646" s="4"/>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4"/>
      <c r="B647" s="4"/>
      <c r="C647" s="4"/>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4"/>
      <c r="B648" s="4"/>
      <c r="C648" s="4"/>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4"/>
      <c r="B649" s="4"/>
      <c r="C649" s="4"/>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4"/>
      <c r="B650" s="4"/>
      <c r="C650" s="4"/>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4"/>
      <c r="B651" s="4"/>
      <c r="C651" s="4"/>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4"/>
      <c r="B652" s="4"/>
      <c r="C652" s="4"/>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4"/>
      <c r="B653" s="4"/>
      <c r="C653" s="4"/>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4"/>
      <c r="B654" s="4"/>
      <c r="C654" s="4"/>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4"/>
      <c r="B655" s="4"/>
      <c r="C655" s="4"/>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4"/>
      <c r="B656" s="4"/>
      <c r="C656" s="4"/>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4"/>
      <c r="B657" s="4"/>
      <c r="C657" s="4"/>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4"/>
      <c r="B658" s="4"/>
      <c r="C658" s="4"/>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4"/>
      <c r="B659" s="4"/>
      <c r="C659" s="4"/>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4"/>
      <c r="B660" s="4"/>
      <c r="C660" s="4"/>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4"/>
      <c r="B661" s="4"/>
      <c r="C661" s="4"/>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4"/>
      <c r="B662" s="4"/>
      <c r="C662" s="4"/>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4"/>
      <c r="B663" s="4"/>
      <c r="C663" s="4"/>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4"/>
      <c r="B664" s="4"/>
      <c r="C664" s="4"/>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4"/>
      <c r="B665" s="4"/>
      <c r="C665" s="4"/>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4"/>
      <c r="B666" s="4"/>
      <c r="C666" s="4"/>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4"/>
      <c r="B667" s="4"/>
      <c r="C667" s="4"/>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4"/>
      <c r="B668" s="4"/>
      <c r="C668" s="4"/>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4"/>
      <c r="B669" s="4"/>
      <c r="C669" s="4"/>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4"/>
      <c r="B670" s="4"/>
      <c r="C670" s="4"/>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4"/>
      <c r="B671" s="4"/>
      <c r="C671" s="4"/>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4"/>
      <c r="B672" s="4"/>
      <c r="C672" s="4"/>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4"/>
      <c r="B673" s="4"/>
      <c r="C673" s="4"/>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4"/>
      <c r="B674" s="4"/>
      <c r="C674" s="4"/>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4"/>
      <c r="B675" s="4"/>
      <c r="C675" s="4"/>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4"/>
      <c r="B676" s="4"/>
      <c r="C676" s="4"/>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4"/>
      <c r="B677" s="4"/>
      <c r="C677" s="4"/>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4"/>
      <c r="B678" s="4"/>
      <c r="C678" s="4"/>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4"/>
      <c r="B679" s="4"/>
      <c r="C679" s="4"/>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4"/>
      <c r="B680" s="4"/>
      <c r="C680" s="4"/>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4"/>
      <c r="B681" s="4"/>
      <c r="C681" s="4"/>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4"/>
      <c r="B682" s="4"/>
      <c r="C682" s="4"/>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4"/>
      <c r="B683" s="4"/>
      <c r="C683" s="4"/>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4"/>
      <c r="B684" s="4"/>
      <c r="C684" s="4"/>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4"/>
      <c r="B685" s="4"/>
      <c r="C685" s="4"/>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4"/>
      <c r="B686" s="4"/>
      <c r="C686" s="4"/>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4"/>
      <c r="B687" s="4"/>
      <c r="C687" s="4"/>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4"/>
      <c r="B688" s="4"/>
      <c r="C688" s="4"/>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4"/>
      <c r="B689" s="4"/>
      <c r="C689" s="4"/>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4"/>
      <c r="B690" s="4"/>
      <c r="C690" s="4"/>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4"/>
      <c r="B691" s="4"/>
      <c r="C691" s="4"/>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4"/>
      <c r="B692" s="4"/>
      <c r="C692" s="4"/>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4"/>
      <c r="B693" s="4"/>
      <c r="C693" s="4"/>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4"/>
      <c r="B694" s="4"/>
      <c r="C694" s="4"/>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4"/>
      <c r="B695" s="4"/>
      <c r="C695" s="4"/>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4"/>
      <c r="B696" s="4"/>
      <c r="C696" s="4"/>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4"/>
      <c r="B697" s="4"/>
      <c r="C697" s="4"/>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4"/>
      <c r="B698" s="4"/>
      <c r="C698" s="4"/>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4"/>
      <c r="B699" s="4"/>
      <c r="C699" s="4"/>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4"/>
      <c r="B700" s="4"/>
      <c r="C700" s="4"/>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4"/>
      <c r="B701" s="4"/>
      <c r="C701" s="4"/>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4"/>
      <c r="B702" s="4"/>
      <c r="C702" s="4"/>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4"/>
      <c r="B703" s="4"/>
      <c r="C703" s="4"/>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4"/>
      <c r="B704" s="4"/>
      <c r="C704" s="4"/>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4"/>
      <c r="B705" s="4"/>
      <c r="C705" s="4"/>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4"/>
      <c r="B706" s="4"/>
      <c r="C706" s="4"/>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4"/>
      <c r="B707" s="4"/>
      <c r="C707" s="4"/>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4"/>
      <c r="B708" s="4"/>
      <c r="C708" s="4"/>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4"/>
      <c r="B709" s="4"/>
      <c r="C709" s="4"/>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4"/>
      <c r="B710" s="4"/>
      <c r="C710" s="4"/>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4"/>
      <c r="B711" s="4"/>
      <c r="C711" s="4"/>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4"/>
      <c r="B712" s="4"/>
      <c r="C712" s="4"/>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4"/>
      <c r="B713" s="4"/>
      <c r="C713" s="4"/>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4"/>
      <c r="B714" s="4"/>
      <c r="C714" s="4"/>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4"/>
      <c r="B715" s="4"/>
      <c r="C715" s="4"/>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4"/>
      <c r="B716" s="4"/>
      <c r="C716" s="4"/>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4"/>
      <c r="B717" s="4"/>
      <c r="C717" s="4"/>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4"/>
      <c r="B718" s="4"/>
      <c r="C718" s="4"/>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4"/>
      <c r="B719" s="4"/>
      <c r="C719" s="4"/>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4"/>
      <c r="B720" s="4"/>
      <c r="C720" s="4"/>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4"/>
      <c r="B721" s="4"/>
      <c r="C721" s="4"/>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4"/>
      <c r="B722" s="4"/>
      <c r="C722" s="4"/>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4"/>
      <c r="B723" s="4"/>
      <c r="C723" s="4"/>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4"/>
      <c r="B724" s="4"/>
      <c r="C724" s="4"/>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4"/>
      <c r="B725" s="4"/>
      <c r="C725" s="4"/>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4"/>
      <c r="B726" s="4"/>
      <c r="C726" s="4"/>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4"/>
      <c r="B727" s="4"/>
      <c r="C727" s="4"/>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4"/>
      <c r="B728" s="4"/>
      <c r="C728" s="4"/>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4"/>
      <c r="B729" s="4"/>
      <c r="C729" s="4"/>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4"/>
      <c r="B730" s="4"/>
      <c r="C730" s="4"/>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4"/>
      <c r="B731" s="4"/>
      <c r="C731" s="4"/>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4"/>
      <c r="B732" s="4"/>
      <c r="C732" s="4"/>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4"/>
      <c r="B733" s="4"/>
      <c r="C733" s="4"/>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4"/>
      <c r="B734" s="4"/>
      <c r="C734" s="4"/>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4"/>
      <c r="B735" s="4"/>
      <c r="C735" s="4"/>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4"/>
      <c r="B736" s="4"/>
      <c r="C736" s="4"/>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4"/>
      <c r="B737" s="4"/>
      <c r="C737" s="4"/>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4"/>
      <c r="B738" s="4"/>
      <c r="C738" s="4"/>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4"/>
      <c r="B739" s="4"/>
      <c r="C739" s="4"/>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4"/>
      <c r="B740" s="4"/>
      <c r="C740" s="4"/>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4"/>
      <c r="B741" s="4"/>
      <c r="C741" s="4"/>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4"/>
      <c r="B742" s="4"/>
      <c r="C742" s="4"/>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4"/>
      <c r="B743" s="4"/>
      <c r="C743" s="4"/>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4"/>
      <c r="B744" s="4"/>
      <c r="C744" s="4"/>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4"/>
      <c r="B745" s="4"/>
      <c r="C745" s="4"/>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4"/>
      <c r="B746" s="4"/>
      <c r="C746" s="4"/>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4"/>
      <c r="B747" s="4"/>
      <c r="C747" s="4"/>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4"/>
      <c r="B748" s="4"/>
      <c r="C748" s="4"/>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4"/>
      <c r="B749" s="4"/>
      <c r="C749" s="4"/>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4"/>
      <c r="B750" s="4"/>
      <c r="C750" s="4"/>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4"/>
      <c r="B751" s="4"/>
      <c r="C751" s="4"/>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4"/>
      <c r="B752" s="4"/>
      <c r="C752" s="4"/>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4"/>
      <c r="B753" s="4"/>
      <c r="C753" s="4"/>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4"/>
      <c r="B754" s="4"/>
      <c r="C754" s="4"/>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4"/>
      <c r="B755" s="4"/>
      <c r="C755" s="4"/>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4"/>
      <c r="B756" s="4"/>
      <c r="C756" s="4"/>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4"/>
      <c r="B757" s="4"/>
      <c r="C757" s="4"/>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4"/>
      <c r="B758" s="4"/>
      <c r="C758" s="4"/>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4"/>
      <c r="B759" s="4"/>
      <c r="C759" s="4"/>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4"/>
      <c r="B760" s="4"/>
      <c r="C760" s="4"/>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4"/>
      <c r="B761" s="4"/>
      <c r="C761" s="4"/>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4"/>
      <c r="B762" s="4"/>
      <c r="C762" s="4"/>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4"/>
      <c r="B763" s="4"/>
      <c r="C763" s="4"/>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4"/>
      <c r="B764" s="4"/>
      <c r="C764" s="4"/>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4"/>
      <c r="B765" s="4"/>
      <c r="C765" s="4"/>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4"/>
      <c r="B766" s="4"/>
      <c r="C766" s="4"/>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4"/>
      <c r="B767" s="4"/>
      <c r="C767" s="4"/>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4"/>
      <c r="B768" s="4"/>
      <c r="C768" s="4"/>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4"/>
      <c r="B769" s="4"/>
      <c r="C769" s="4"/>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4"/>
      <c r="B770" s="4"/>
      <c r="C770" s="4"/>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4"/>
      <c r="B771" s="4"/>
      <c r="C771" s="4"/>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4"/>
      <c r="B772" s="4"/>
      <c r="C772" s="4"/>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4"/>
      <c r="B773" s="4"/>
      <c r="C773" s="4"/>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4"/>
      <c r="B774" s="4"/>
      <c r="C774" s="4"/>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4"/>
      <c r="B775" s="4"/>
      <c r="C775" s="4"/>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4"/>
      <c r="B776" s="4"/>
      <c r="C776" s="4"/>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4"/>
      <c r="B777" s="4"/>
      <c r="C777" s="4"/>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4"/>
      <c r="B778" s="4"/>
      <c r="C778" s="4"/>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4"/>
      <c r="B779" s="4"/>
      <c r="C779" s="4"/>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4"/>
      <c r="B780" s="4"/>
      <c r="C780" s="4"/>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4"/>
      <c r="B781" s="4"/>
      <c r="C781" s="4"/>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4"/>
      <c r="B782" s="4"/>
      <c r="C782" s="4"/>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4"/>
      <c r="B783" s="4"/>
      <c r="C783" s="4"/>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4"/>
      <c r="B784" s="4"/>
      <c r="C784" s="4"/>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4"/>
      <c r="B785" s="4"/>
      <c r="C785" s="4"/>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4"/>
      <c r="B786" s="4"/>
      <c r="C786" s="4"/>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4"/>
      <c r="B787" s="4"/>
      <c r="C787" s="4"/>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4"/>
      <c r="B788" s="4"/>
      <c r="C788" s="4"/>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4"/>
      <c r="B789" s="4"/>
      <c r="C789" s="4"/>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4"/>
      <c r="B790" s="4"/>
      <c r="C790" s="4"/>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4"/>
      <c r="B791" s="4"/>
      <c r="C791" s="4"/>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4"/>
      <c r="B792" s="4"/>
      <c r="C792" s="4"/>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4"/>
      <c r="B793" s="4"/>
      <c r="C793" s="4"/>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4"/>
      <c r="B794" s="4"/>
      <c r="C794" s="4"/>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4"/>
      <c r="B795" s="4"/>
      <c r="C795" s="4"/>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4"/>
      <c r="B796" s="4"/>
      <c r="C796" s="4"/>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4"/>
      <c r="B797" s="4"/>
      <c r="C797" s="4"/>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4"/>
      <c r="B798" s="4"/>
      <c r="C798" s="4"/>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4"/>
      <c r="B799" s="4"/>
      <c r="C799" s="4"/>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4"/>
      <c r="B800" s="4"/>
      <c r="C800" s="4"/>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4"/>
      <c r="B801" s="4"/>
      <c r="C801" s="4"/>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4"/>
      <c r="B802" s="4"/>
      <c r="C802" s="4"/>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4"/>
      <c r="B803" s="4"/>
      <c r="C803" s="4"/>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4"/>
      <c r="B804" s="4"/>
      <c r="C804" s="4"/>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4"/>
      <c r="B805" s="4"/>
      <c r="C805" s="4"/>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4"/>
      <c r="B806" s="4"/>
      <c r="C806" s="4"/>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4"/>
      <c r="B807" s="4"/>
      <c r="C807" s="4"/>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4"/>
      <c r="B808" s="4"/>
      <c r="C808" s="4"/>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4"/>
      <c r="B809" s="4"/>
      <c r="C809" s="4"/>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4"/>
      <c r="B810" s="4"/>
      <c r="C810" s="4"/>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4"/>
      <c r="B811" s="4"/>
      <c r="C811" s="4"/>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4"/>
      <c r="B812" s="4"/>
      <c r="C812" s="4"/>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4"/>
      <c r="B813" s="4"/>
      <c r="C813" s="4"/>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4"/>
      <c r="B814" s="4"/>
      <c r="C814" s="4"/>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4"/>
      <c r="B815" s="4"/>
      <c r="C815" s="4"/>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4"/>
      <c r="B816" s="4"/>
      <c r="C816" s="4"/>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4"/>
      <c r="B817" s="4"/>
      <c r="C817" s="4"/>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4"/>
      <c r="B818" s="4"/>
      <c r="C818" s="4"/>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4"/>
      <c r="B819" s="4"/>
      <c r="C819" s="4"/>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4"/>
      <c r="B820" s="4"/>
      <c r="C820" s="4"/>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4"/>
      <c r="B821" s="4"/>
      <c r="C821" s="4"/>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4"/>
      <c r="B822" s="4"/>
      <c r="C822" s="4"/>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4"/>
      <c r="B823" s="4"/>
      <c r="C823" s="4"/>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4"/>
      <c r="B824" s="4"/>
      <c r="C824" s="4"/>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4"/>
      <c r="B825" s="4"/>
      <c r="C825" s="4"/>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4"/>
      <c r="B826" s="4"/>
      <c r="C826" s="4"/>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4"/>
      <c r="B827" s="4"/>
      <c r="C827" s="4"/>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4"/>
      <c r="B828" s="4"/>
      <c r="C828" s="4"/>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4"/>
      <c r="B829" s="4"/>
      <c r="C829" s="4"/>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4"/>
      <c r="B830" s="4"/>
      <c r="C830" s="4"/>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4"/>
      <c r="B831" s="4"/>
      <c r="C831" s="4"/>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4"/>
      <c r="B832" s="4"/>
      <c r="C832" s="4"/>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4"/>
      <c r="B833" s="4"/>
      <c r="C833" s="4"/>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4"/>
      <c r="B834" s="4"/>
      <c r="C834" s="4"/>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4"/>
      <c r="B835" s="4"/>
      <c r="C835" s="4"/>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4"/>
      <c r="B836" s="4"/>
      <c r="C836" s="4"/>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4"/>
      <c r="B837" s="4"/>
      <c r="C837" s="4"/>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4"/>
      <c r="B838" s="4"/>
      <c r="C838" s="4"/>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4"/>
      <c r="B839" s="4"/>
      <c r="C839" s="4"/>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4"/>
      <c r="B840" s="4"/>
      <c r="C840" s="4"/>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4"/>
      <c r="B841" s="4"/>
      <c r="C841" s="4"/>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4"/>
      <c r="B842" s="4"/>
      <c r="C842" s="4"/>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4"/>
      <c r="B843" s="4"/>
      <c r="C843" s="4"/>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4"/>
      <c r="B844" s="4"/>
      <c r="C844" s="4"/>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4"/>
      <c r="B845" s="4"/>
      <c r="C845" s="4"/>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4"/>
      <c r="B846" s="4"/>
      <c r="C846" s="4"/>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4"/>
      <c r="B847" s="4"/>
      <c r="C847" s="4"/>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4"/>
      <c r="B848" s="4"/>
      <c r="C848" s="4"/>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4"/>
      <c r="B849" s="4"/>
      <c r="C849" s="4"/>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4"/>
      <c r="B850" s="4"/>
      <c r="C850" s="4"/>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4"/>
      <c r="B851" s="4"/>
      <c r="C851" s="4"/>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4"/>
      <c r="B852" s="4"/>
      <c r="C852" s="4"/>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4"/>
      <c r="B853" s="4"/>
      <c r="C853" s="4"/>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4"/>
      <c r="B854" s="4"/>
      <c r="C854" s="4"/>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4"/>
      <c r="B855" s="4"/>
      <c r="C855" s="4"/>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4"/>
      <c r="B856" s="4"/>
      <c r="C856" s="4"/>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4"/>
      <c r="B857" s="4"/>
      <c r="C857" s="4"/>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4"/>
      <c r="B858" s="4"/>
      <c r="C858" s="4"/>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4"/>
      <c r="B859" s="4"/>
      <c r="C859" s="4"/>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4"/>
      <c r="B860" s="4"/>
      <c r="C860" s="4"/>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4"/>
      <c r="B861" s="4"/>
      <c r="C861" s="4"/>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4"/>
      <c r="B862" s="4"/>
      <c r="C862" s="4"/>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4"/>
      <c r="B863" s="4"/>
      <c r="C863" s="4"/>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4"/>
      <c r="B864" s="4"/>
      <c r="C864" s="4"/>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4"/>
      <c r="B865" s="4"/>
      <c r="C865" s="4"/>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4"/>
      <c r="B866" s="4"/>
      <c r="C866" s="4"/>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4"/>
      <c r="B867" s="4"/>
      <c r="C867" s="4"/>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4"/>
      <c r="B868" s="4"/>
      <c r="C868" s="4"/>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4"/>
      <c r="B869" s="4"/>
      <c r="C869" s="4"/>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4"/>
      <c r="B870" s="4"/>
      <c r="C870" s="4"/>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4"/>
      <c r="B871" s="4"/>
      <c r="C871" s="4"/>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4"/>
      <c r="B872" s="4"/>
      <c r="C872" s="4"/>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4"/>
      <c r="B873" s="4"/>
      <c r="C873" s="4"/>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4"/>
      <c r="B874" s="4"/>
      <c r="C874" s="4"/>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4"/>
      <c r="B875" s="4"/>
      <c r="C875" s="4"/>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4"/>
      <c r="B876" s="4"/>
      <c r="C876" s="4"/>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4"/>
      <c r="B877" s="4"/>
      <c r="C877" s="4"/>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4"/>
      <c r="B878" s="4"/>
      <c r="C878" s="4"/>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4"/>
      <c r="B879" s="4"/>
      <c r="C879" s="4"/>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4"/>
      <c r="B880" s="4"/>
      <c r="C880" s="4"/>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4"/>
      <c r="B881" s="4"/>
      <c r="C881" s="4"/>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4"/>
      <c r="B882" s="4"/>
      <c r="C882" s="4"/>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4"/>
      <c r="B883" s="4"/>
      <c r="C883" s="4"/>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4"/>
      <c r="B884" s="4"/>
      <c r="C884" s="4"/>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4"/>
      <c r="B885" s="4"/>
      <c r="C885" s="4"/>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4"/>
      <c r="B886" s="4"/>
      <c r="C886" s="4"/>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4"/>
      <c r="B887" s="4"/>
      <c r="C887" s="4"/>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4"/>
      <c r="B888" s="4"/>
      <c r="C888" s="4"/>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4"/>
      <c r="B889" s="4"/>
      <c r="C889" s="4"/>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4"/>
      <c r="B890" s="4"/>
      <c r="C890" s="4"/>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4"/>
      <c r="B891" s="4"/>
      <c r="C891" s="4"/>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4"/>
      <c r="B892" s="4"/>
      <c r="C892" s="4"/>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4"/>
      <c r="B893" s="4"/>
      <c r="C893" s="4"/>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4"/>
      <c r="B894" s="4"/>
      <c r="C894" s="4"/>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4"/>
      <c r="B895" s="4"/>
      <c r="C895" s="4"/>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4"/>
      <c r="B896" s="4"/>
      <c r="C896" s="4"/>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4"/>
      <c r="B897" s="4"/>
      <c r="C897" s="4"/>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4"/>
      <c r="B898" s="4"/>
      <c r="C898" s="4"/>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4"/>
      <c r="B899" s="4"/>
      <c r="C899" s="4"/>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4"/>
      <c r="B900" s="4"/>
      <c r="C900" s="4"/>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4"/>
      <c r="B901" s="4"/>
      <c r="C901" s="4"/>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4"/>
      <c r="B902" s="4"/>
      <c r="C902" s="4"/>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4"/>
      <c r="B903" s="4"/>
      <c r="C903" s="4"/>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4"/>
      <c r="B904" s="4"/>
      <c r="C904" s="4"/>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4"/>
      <c r="B905" s="4"/>
      <c r="C905" s="4"/>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4"/>
      <c r="B906" s="4"/>
      <c r="C906" s="4"/>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4"/>
      <c r="B907" s="4"/>
      <c r="C907" s="4"/>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4"/>
      <c r="B908" s="4"/>
      <c r="C908" s="4"/>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4"/>
      <c r="B909" s="4"/>
      <c r="C909" s="4"/>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4"/>
      <c r="B910" s="4"/>
      <c r="C910" s="4"/>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4"/>
      <c r="B911" s="4"/>
      <c r="C911" s="4"/>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4"/>
      <c r="B912" s="4"/>
      <c r="C912" s="4"/>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4"/>
      <c r="B913" s="4"/>
      <c r="C913" s="4"/>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4"/>
      <c r="B914" s="4"/>
      <c r="C914" s="4"/>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4"/>
      <c r="B915" s="4"/>
      <c r="C915" s="4"/>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4"/>
      <c r="B916" s="4"/>
      <c r="C916" s="4"/>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4"/>
      <c r="B917" s="4"/>
      <c r="C917" s="4"/>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4"/>
      <c r="B918" s="4"/>
      <c r="C918" s="4"/>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4"/>
      <c r="B919" s="4"/>
      <c r="C919" s="4"/>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4"/>
      <c r="B920" s="4"/>
      <c r="C920" s="4"/>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4"/>
      <c r="B921" s="4"/>
      <c r="C921" s="4"/>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4"/>
      <c r="B922" s="4"/>
      <c r="C922" s="4"/>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4"/>
      <c r="B923" s="4"/>
      <c r="C923" s="4"/>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4"/>
      <c r="B924" s="4"/>
      <c r="C924" s="4"/>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4"/>
      <c r="B925" s="4"/>
      <c r="C925" s="4"/>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4"/>
      <c r="B926" s="4"/>
      <c r="C926" s="4"/>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4"/>
      <c r="B927" s="4"/>
      <c r="C927" s="4"/>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4"/>
      <c r="B928" s="4"/>
      <c r="C928" s="4"/>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4"/>
      <c r="B929" s="4"/>
      <c r="C929" s="4"/>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4"/>
      <c r="B930" s="4"/>
      <c r="C930" s="4"/>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4"/>
      <c r="B931" s="4"/>
      <c r="C931" s="4"/>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4"/>
      <c r="B932" s="4"/>
      <c r="C932" s="4"/>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4"/>
      <c r="B933" s="4"/>
      <c r="C933" s="4"/>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4"/>
      <c r="B934" s="4"/>
      <c r="C934" s="4"/>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4"/>
      <c r="B935" s="4"/>
      <c r="C935" s="4"/>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4"/>
      <c r="B936" s="4"/>
      <c r="C936" s="4"/>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4"/>
      <c r="B937" s="4"/>
      <c r="C937" s="4"/>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4"/>
      <c r="B938" s="4"/>
      <c r="C938" s="4"/>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4"/>
      <c r="B939" s="4"/>
      <c r="C939" s="4"/>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4"/>
      <c r="B940" s="4"/>
      <c r="C940" s="4"/>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4"/>
      <c r="B941" s="4"/>
      <c r="C941" s="4"/>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4"/>
      <c r="B942" s="4"/>
      <c r="C942" s="4"/>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4"/>
      <c r="B943" s="4"/>
      <c r="C943" s="4"/>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4"/>
      <c r="B944" s="4"/>
      <c r="C944" s="4"/>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4"/>
      <c r="B945" s="4"/>
      <c r="C945" s="4"/>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4"/>
      <c r="B946" s="4"/>
      <c r="C946" s="4"/>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4"/>
      <c r="B947" s="4"/>
      <c r="C947" s="4"/>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4"/>
      <c r="B948" s="4"/>
      <c r="C948" s="4"/>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4"/>
      <c r="B949" s="4"/>
      <c r="C949" s="4"/>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4"/>
      <c r="B950" s="4"/>
      <c r="C950" s="4"/>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4"/>
      <c r="B951" s="4"/>
      <c r="C951" s="4"/>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4"/>
      <c r="B952" s="4"/>
      <c r="C952" s="4"/>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4"/>
      <c r="B953" s="4"/>
      <c r="C953" s="4"/>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4"/>
      <c r="B954" s="4"/>
      <c r="C954" s="4"/>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4"/>
      <c r="B955" s="4"/>
      <c r="C955" s="4"/>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4"/>
      <c r="B956" s="4"/>
      <c r="C956" s="4"/>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4"/>
      <c r="B957" s="4"/>
      <c r="C957" s="4"/>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4"/>
      <c r="B958" s="4"/>
      <c r="C958" s="4"/>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4"/>
      <c r="B959" s="4"/>
      <c r="C959" s="4"/>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4"/>
      <c r="B960" s="4"/>
      <c r="C960" s="4"/>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4"/>
      <c r="B961" s="4"/>
      <c r="C961" s="4"/>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4"/>
      <c r="B962" s="4"/>
      <c r="C962" s="4"/>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4"/>
      <c r="B963" s="4"/>
      <c r="C963" s="4"/>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4"/>
      <c r="B964" s="4"/>
      <c r="C964" s="4"/>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4"/>
      <c r="B965" s="4"/>
      <c r="C965" s="4"/>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4"/>
      <c r="B966" s="4"/>
      <c r="C966" s="4"/>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4"/>
      <c r="B967" s="4"/>
      <c r="C967" s="4"/>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4"/>
      <c r="B968" s="4"/>
      <c r="C968" s="4"/>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4"/>
      <c r="B969" s="4"/>
      <c r="C969" s="4"/>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4"/>
      <c r="B970" s="4"/>
      <c r="C970" s="4"/>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4"/>
      <c r="B971" s="4"/>
      <c r="C971" s="4"/>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4"/>
      <c r="B972" s="4"/>
      <c r="C972" s="4"/>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4"/>
      <c r="B973" s="4"/>
      <c r="C973" s="4"/>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4"/>
      <c r="B974" s="4"/>
      <c r="C974" s="4"/>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4"/>
      <c r="B975" s="4"/>
      <c r="C975" s="4"/>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4"/>
      <c r="B976" s="4"/>
      <c r="C976" s="4"/>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4"/>
      <c r="B977" s="4"/>
      <c r="C977" s="4"/>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4"/>
      <c r="B978" s="4"/>
      <c r="C978" s="4"/>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4"/>
      <c r="B979" s="4"/>
      <c r="C979" s="4"/>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4"/>
      <c r="B980" s="4"/>
      <c r="C980" s="4"/>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4"/>
      <c r="B981" s="4"/>
      <c r="C981" s="4"/>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4"/>
      <c r="B982" s="4"/>
      <c r="C982" s="4"/>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4"/>
      <c r="B983" s="4"/>
      <c r="C983" s="4"/>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4"/>
      <c r="B984" s="4"/>
      <c r="C984" s="4"/>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4"/>
      <c r="B985" s="4"/>
      <c r="C985" s="4"/>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4"/>
      <c r="B986" s="4"/>
      <c r="C986" s="4"/>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4"/>
      <c r="B987" s="4"/>
      <c r="C987" s="4"/>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4"/>
      <c r="B988" s="4"/>
      <c r="C988" s="4"/>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4"/>
      <c r="B989" s="4"/>
      <c r="C989" s="4"/>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4"/>
      <c r="B990" s="4"/>
      <c r="C990" s="4"/>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4"/>
      <c r="B991" s="4"/>
      <c r="C991" s="4"/>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4"/>
      <c r="B992" s="4"/>
      <c r="C992" s="4"/>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4"/>
      <c r="B993" s="4"/>
      <c r="C993" s="4"/>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4"/>
      <c r="B994" s="4"/>
      <c r="C994" s="4"/>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4"/>
      <c r="B995" s="4"/>
      <c r="C995" s="4"/>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4"/>
      <c r="B996" s="4"/>
      <c r="C996" s="4"/>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4"/>
      <c r="B997" s="4"/>
      <c r="C997" s="4"/>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4"/>
      <c r="B998" s="4"/>
      <c r="C998" s="4"/>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4"/>
      <c r="B999" s="4"/>
      <c r="C999" s="4"/>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4"/>
      <c r="B1000" s="4"/>
      <c r="C1000" s="4"/>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c r="A1001" s="4"/>
      <c r="B1001" s="4"/>
      <c r="C1001" s="4"/>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c r="A1002" s="4"/>
      <c r="B1002" s="4"/>
      <c r="C1002" s="4"/>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c r="A1003" s="4"/>
      <c r="B1003" s="4"/>
      <c r="C1003" s="4"/>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c r="A1004" s="4"/>
      <c r="B1004" s="4"/>
      <c r="C1004" s="4"/>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c r="A1005" s="4"/>
      <c r="B1005" s="4"/>
      <c r="C1005" s="4"/>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c r="A1006" s="4"/>
      <c r="B1006" s="4"/>
      <c r="C1006" s="4"/>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c r="A1007" s="4"/>
      <c r="B1007" s="4"/>
      <c r="C1007" s="4"/>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c r="A1008" s="4"/>
      <c r="B1008" s="4"/>
      <c r="C1008" s="4"/>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c r="A1009" s="4"/>
      <c r="B1009" s="4"/>
      <c r="C1009" s="4"/>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c r="A1010" s="4"/>
      <c r="B1010" s="4"/>
      <c r="C1010" s="4"/>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c r="A1011" s="4"/>
      <c r="B1011" s="4"/>
      <c r="C1011" s="4"/>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c r="A1012" s="4"/>
      <c r="B1012" s="4"/>
      <c r="C1012" s="4"/>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c r="A1013" s="4"/>
      <c r="B1013" s="4"/>
      <c r="C1013" s="4"/>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c r="A1014" s="4"/>
      <c r="B1014" s="4"/>
      <c r="C1014" s="4"/>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c r="A1015" s="4"/>
      <c r="B1015" s="4"/>
      <c r="C1015" s="4"/>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c r="A1016" s="4"/>
      <c r="B1016" s="4"/>
      <c r="C1016" s="4"/>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c r="A1017" s="4"/>
      <c r="B1017" s="4"/>
      <c r="C1017" s="4"/>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c r="A1018" s="4"/>
      <c r="B1018" s="4"/>
      <c r="C1018" s="4"/>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c r="A1019" s="4"/>
      <c r="B1019" s="4"/>
      <c r="C1019" s="4"/>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c r="A1020" s="4"/>
      <c r="B1020" s="4"/>
      <c r="C1020" s="4"/>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c r="A1021" s="4"/>
      <c r="B1021" s="4"/>
      <c r="C1021" s="4"/>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c r="A1022" s="4"/>
      <c r="B1022" s="4"/>
      <c r="C1022" s="4"/>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c r="A1023" s="4"/>
      <c r="B1023" s="4"/>
      <c r="C1023" s="4"/>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c r="A1024" s="4"/>
      <c r="B1024" s="4"/>
      <c r="C1024" s="4"/>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c r="A1025" s="4"/>
      <c r="B1025" s="4"/>
      <c r="C1025" s="4"/>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c r="A1026" s="4"/>
      <c r="B1026" s="4"/>
      <c r="C1026" s="4"/>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c r="A1027" s="4"/>
      <c r="B1027" s="4"/>
      <c r="C1027" s="4"/>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c r="A1028" s="4"/>
      <c r="B1028" s="4"/>
      <c r="C1028" s="4"/>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c r="A1029" s="4"/>
      <c r="B1029" s="4"/>
      <c r="C1029" s="4"/>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c r="A1030" s="4"/>
      <c r="B1030" s="4"/>
      <c r="C1030" s="4"/>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c r="A1031" s="4"/>
      <c r="B1031" s="4"/>
      <c r="C1031" s="4"/>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sheetData>
  <mergeCells count="49">
    <mergeCell ref="C108:C112"/>
    <mergeCell ref="C113:C114"/>
    <mergeCell ref="C68:C71"/>
    <mergeCell ref="C72:C77"/>
    <mergeCell ref="C78:C87"/>
    <mergeCell ref="C88:C89"/>
    <mergeCell ref="C90:C91"/>
    <mergeCell ref="C92:C94"/>
    <mergeCell ref="A108:A112"/>
    <mergeCell ref="A113:A114"/>
    <mergeCell ref="A63:A67"/>
    <mergeCell ref="A68:A71"/>
    <mergeCell ref="A72:A77"/>
    <mergeCell ref="A78:A87"/>
    <mergeCell ref="A88:A89"/>
    <mergeCell ref="A90:A91"/>
    <mergeCell ref="A92:A94"/>
    <mergeCell ref="C63:C67"/>
    <mergeCell ref="A95:A98"/>
    <mergeCell ref="A99:A102"/>
    <mergeCell ref="A103:A105"/>
    <mergeCell ref="A106:A107"/>
    <mergeCell ref="C95:C98"/>
    <mergeCell ref="C99:C102"/>
    <mergeCell ref="C103:C105"/>
    <mergeCell ref="C106:C107"/>
    <mergeCell ref="B82:B83"/>
    <mergeCell ref="A51:A55"/>
    <mergeCell ref="C51:C55"/>
    <mergeCell ref="A56:A59"/>
    <mergeCell ref="C56:C59"/>
    <mergeCell ref="A60:A62"/>
    <mergeCell ref="C60:C62"/>
    <mergeCell ref="C21:C22"/>
    <mergeCell ref="C38:C42"/>
    <mergeCell ref="C43:C50"/>
    <mergeCell ref="A21:A22"/>
    <mergeCell ref="A23:A33"/>
    <mergeCell ref="C23:C32"/>
    <mergeCell ref="A34:A37"/>
    <mergeCell ref="C34:C37"/>
    <mergeCell ref="A38:A42"/>
    <mergeCell ref="A43:A50"/>
    <mergeCell ref="A2:A14"/>
    <mergeCell ref="C2:C14"/>
    <mergeCell ref="A15:A17"/>
    <mergeCell ref="C15:C17"/>
    <mergeCell ref="A18:A20"/>
    <mergeCell ref="C18:C20"/>
  </mergeCells>
  <hyperlinks>
    <hyperlink ref="C21" r:id="rId1" xr:uid="{00000000-0004-0000-0100-000000000000}"/>
    <hyperlink ref="C23" r:id="rId2" xr:uid="{00000000-0004-0000-0100-000001000000}"/>
    <hyperlink ref="C34" r:id="rId3" xr:uid="{00000000-0004-0000-0100-000002000000}"/>
    <hyperlink ref="C43" r:id="rId4" xr:uid="{00000000-0004-0000-0100-000003000000}"/>
    <hyperlink ref="C51" r:id="rId5" xr:uid="{00000000-0004-0000-0100-000004000000}"/>
    <hyperlink ref="C56" r:id="rId6" xr:uid="{00000000-0004-0000-0100-000005000000}"/>
    <hyperlink ref="C63" r:id="rId7" xr:uid="{00000000-0004-0000-0100-000006000000}"/>
    <hyperlink ref="C72" r:id="rId8" xr:uid="{00000000-0004-0000-0100-000007000000}"/>
    <hyperlink ref="C92" r:id="rId9" xr:uid="{00000000-0004-0000-0100-000008000000}"/>
    <hyperlink ref="C95" r:id="rId10" xr:uid="{00000000-0004-0000-0100-000009000000}"/>
    <hyperlink ref="C103" r:id="rId11" xr:uid="{00000000-0004-0000-0100-00000A000000}"/>
    <hyperlink ref="C106" r:id="rId12" xr:uid="{00000000-0004-0000-0100-00000B000000}"/>
    <hyperlink ref="C108" r:id="rId13" xr:uid="{00000000-0004-0000-0100-00000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32"/>
  <sheetViews>
    <sheetView topLeftCell="A77" workbookViewId="0">
      <selection activeCell="A2" sqref="A2:C95"/>
    </sheetView>
  </sheetViews>
  <sheetFormatPr defaultColWidth="14.44140625" defaultRowHeight="15" customHeight="1"/>
  <cols>
    <col min="1" max="1" width="62.88671875" customWidth="1"/>
    <col min="2" max="2" width="61.33203125" customWidth="1"/>
    <col min="3" max="3" width="75.33203125" customWidth="1"/>
  </cols>
  <sheetData>
    <row r="1" spans="1:26">
      <c r="A1" s="5" t="s">
        <v>62</v>
      </c>
      <c r="B1" s="5" t="s">
        <v>63</v>
      </c>
      <c r="C1" s="5" t="s">
        <v>64</v>
      </c>
      <c r="D1" s="2"/>
      <c r="E1" s="2"/>
      <c r="F1" s="2"/>
      <c r="G1" s="2"/>
      <c r="H1" s="2"/>
      <c r="I1" s="2"/>
      <c r="J1" s="2"/>
      <c r="K1" s="2"/>
      <c r="L1" s="2"/>
      <c r="M1" s="2"/>
      <c r="N1" s="2"/>
      <c r="O1" s="2"/>
      <c r="P1" s="2"/>
      <c r="Q1" s="2"/>
      <c r="R1" s="2"/>
      <c r="S1" s="2"/>
      <c r="T1" s="2"/>
      <c r="U1" s="2"/>
      <c r="V1" s="2"/>
      <c r="W1" s="2"/>
      <c r="X1" s="2"/>
      <c r="Y1" s="2"/>
      <c r="Z1" s="2"/>
    </row>
    <row r="2" spans="1:26">
      <c r="A2" s="29" t="s">
        <v>220</v>
      </c>
      <c r="B2" s="1" t="s">
        <v>221</v>
      </c>
      <c r="C2" s="28" t="s">
        <v>222</v>
      </c>
      <c r="D2" s="2"/>
      <c r="E2" s="2"/>
      <c r="F2" s="2"/>
      <c r="G2" s="2"/>
      <c r="H2" s="2"/>
      <c r="I2" s="2"/>
      <c r="J2" s="2"/>
      <c r="K2" s="2"/>
      <c r="L2" s="2"/>
      <c r="M2" s="2"/>
      <c r="N2" s="2"/>
      <c r="O2" s="2"/>
      <c r="P2" s="2"/>
      <c r="Q2" s="2"/>
      <c r="R2" s="2"/>
      <c r="S2" s="2"/>
      <c r="T2" s="2"/>
      <c r="U2" s="2"/>
      <c r="V2" s="2"/>
      <c r="W2" s="2"/>
      <c r="X2" s="2"/>
      <c r="Y2" s="2"/>
      <c r="Z2" s="2"/>
    </row>
    <row r="3" spans="1:26">
      <c r="A3" s="25"/>
      <c r="B3" s="1" t="s">
        <v>223</v>
      </c>
      <c r="C3" s="25"/>
      <c r="D3" s="2"/>
      <c r="E3" s="2"/>
      <c r="F3" s="2"/>
      <c r="G3" s="2"/>
      <c r="H3" s="2"/>
      <c r="I3" s="2"/>
      <c r="J3" s="2"/>
      <c r="K3" s="2"/>
      <c r="L3" s="2"/>
      <c r="M3" s="2"/>
      <c r="N3" s="2"/>
      <c r="O3" s="2"/>
      <c r="P3" s="2"/>
      <c r="Q3" s="2"/>
      <c r="R3" s="2"/>
      <c r="S3" s="2"/>
      <c r="T3" s="2"/>
      <c r="U3" s="2"/>
      <c r="V3" s="2"/>
      <c r="W3" s="2"/>
      <c r="X3" s="2"/>
      <c r="Y3" s="2"/>
      <c r="Z3" s="2"/>
    </row>
    <row r="4" spans="1:26">
      <c r="A4" s="25"/>
      <c r="B4" s="1" t="s">
        <v>224</v>
      </c>
      <c r="C4" s="25"/>
      <c r="D4" s="2"/>
      <c r="E4" s="2"/>
      <c r="F4" s="2"/>
      <c r="G4" s="2"/>
      <c r="H4" s="2"/>
      <c r="I4" s="2"/>
      <c r="J4" s="2"/>
      <c r="K4" s="2"/>
      <c r="L4" s="2"/>
      <c r="M4" s="2"/>
      <c r="N4" s="2"/>
      <c r="O4" s="2"/>
      <c r="P4" s="2"/>
      <c r="Q4" s="2"/>
      <c r="R4" s="2"/>
      <c r="S4" s="2"/>
      <c r="T4" s="2"/>
      <c r="U4" s="2"/>
      <c r="V4" s="2"/>
      <c r="W4" s="2"/>
      <c r="X4" s="2"/>
      <c r="Y4" s="2"/>
      <c r="Z4" s="2"/>
    </row>
    <row r="5" spans="1:26">
      <c r="A5" s="25"/>
      <c r="B5" s="1" t="s">
        <v>225</v>
      </c>
      <c r="C5" s="25"/>
      <c r="D5" s="2"/>
      <c r="E5" s="2"/>
      <c r="F5" s="2"/>
      <c r="G5" s="2"/>
      <c r="H5" s="2"/>
      <c r="I5" s="2"/>
      <c r="J5" s="2"/>
      <c r="K5" s="2"/>
      <c r="L5" s="2"/>
      <c r="M5" s="2"/>
      <c r="N5" s="2"/>
      <c r="O5" s="2"/>
      <c r="P5" s="2"/>
      <c r="Q5" s="2"/>
      <c r="R5" s="2"/>
      <c r="S5" s="2"/>
      <c r="T5" s="2"/>
      <c r="U5" s="2"/>
      <c r="V5" s="2"/>
      <c r="W5" s="2"/>
      <c r="X5" s="2"/>
      <c r="Y5" s="2"/>
      <c r="Z5" s="2"/>
    </row>
    <row r="6" spans="1:26">
      <c r="A6" s="25"/>
      <c r="B6" s="1" t="s">
        <v>226</v>
      </c>
      <c r="C6" s="25"/>
      <c r="D6" s="2"/>
      <c r="E6" s="2"/>
      <c r="F6" s="2"/>
      <c r="G6" s="2"/>
      <c r="H6" s="2"/>
      <c r="I6" s="2"/>
      <c r="J6" s="2"/>
      <c r="K6" s="2"/>
      <c r="L6" s="2"/>
      <c r="M6" s="2"/>
      <c r="N6" s="2"/>
      <c r="O6" s="2"/>
      <c r="P6" s="2"/>
      <c r="Q6" s="2"/>
      <c r="R6" s="2"/>
      <c r="S6" s="2"/>
      <c r="T6" s="2"/>
      <c r="U6" s="2"/>
      <c r="V6" s="2"/>
      <c r="W6" s="2"/>
      <c r="X6" s="2"/>
      <c r="Y6" s="2"/>
      <c r="Z6" s="2"/>
    </row>
    <row r="7" spans="1:26">
      <c r="A7" s="25"/>
      <c r="B7" s="1" t="s">
        <v>227</v>
      </c>
      <c r="C7" s="25"/>
      <c r="D7" s="2"/>
      <c r="E7" s="2"/>
      <c r="F7" s="2"/>
      <c r="G7" s="2"/>
      <c r="H7" s="2"/>
      <c r="I7" s="2"/>
      <c r="J7" s="2"/>
      <c r="K7" s="2"/>
      <c r="L7" s="2"/>
      <c r="M7" s="2"/>
      <c r="N7" s="2"/>
      <c r="O7" s="2"/>
      <c r="P7" s="2"/>
      <c r="Q7" s="2"/>
      <c r="R7" s="2"/>
      <c r="S7" s="2"/>
      <c r="T7" s="2"/>
      <c r="U7" s="2"/>
      <c r="V7" s="2"/>
      <c r="W7" s="2"/>
      <c r="X7" s="2"/>
      <c r="Y7" s="2"/>
      <c r="Z7" s="2"/>
    </row>
    <row r="8" spans="1:26">
      <c r="A8" s="25"/>
      <c r="B8" s="6" t="s">
        <v>228</v>
      </c>
      <c r="C8" s="25"/>
      <c r="D8" s="2"/>
      <c r="E8" s="2"/>
      <c r="F8" s="2"/>
      <c r="G8" s="2"/>
      <c r="H8" s="2"/>
      <c r="I8" s="2"/>
      <c r="J8" s="2"/>
      <c r="K8" s="2"/>
      <c r="L8" s="2"/>
      <c r="M8" s="2"/>
      <c r="N8" s="2"/>
      <c r="O8" s="2"/>
      <c r="P8" s="2"/>
      <c r="Q8" s="2"/>
      <c r="R8" s="2"/>
      <c r="S8" s="2"/>
      <c r="T8" s="2"/>
      <c r="U8" s="2"/>
      <c r="V8" s="2"/>
      <c r="W8" s="2"/>
      <c r="X8" s="2"/>
      <c r="Y8" s="2"/>
      <c r="Z8" s="2"/>
    </row>
    <row r="9" spans="1:26">
      <c r="A9" s="25"/>
      <c r="B9" s="6" t="s">
        <v>229</v>
      </c>
      <c r="C9" s="25"/>
      <c r="D9" s="2"/>
      <c r="E9" s="2"/>
      <c r="F9" s="2"/>
      <c r="G9" s="2"/>
      <c r="H9" s="2"/>
      <c r="I9" s="2"/>
      <c r="J9" s="2"/>
      <c r="K9" s="2"/>
      <c r="L9" s="2"/>
      <c r="M9" s="2"/>
      <c r="N9" s="2"/>
      <c r="O9" s="2"/>
      <c r="P9" s="2"/>
      <c r="Q9" s="2"/>
      <c r="R9" s="2"/>
      <c r="S9" s="2"/>
      <c r="T9" s="2"/>
      <c r="U9" s="2"/>
      <c r="V9" s="2"/>
      <c r="W9" s="2"/>
      <c r="X9" s="2"/>
      <c r="Y9" s="2"/>
      <c r="Z9" s="2"/>
    </row>
    <row r="10" spans="1:26">
      <c r="A10" s="25"/>
      <c r="B10" s="6"/>
      <c r="C10" s="25"/>
      <c r="D10" s="2"/>
      <c r="E10" s="2"/>
      <c r="F10" s="2"/>
      <c r="G10" s="2"/>
      <c r="H10" s="2"/>
      <c r="I10" s="2"/>
      <c r="J10" s="2"/>
      <c r="K10" s="2"/>
      <c r="L10" s="2"/>
      <c r="M10" s="2"/>
      <c r="N10" s="2"/>
      <c r="O10" s="2"/>
      <c r="P10" s="2"/>
      <c r="Q10" s="2"/>
      <c r="R10" s="2"/>
      <c r="S10" s="2"/>
      <c r="T10" s="2"/>
      <c r="U10" s="2"/>
      <c r="V10" s="2"/>
      <c r="W10" s="2"/>
      <c r="X10" s="2"/>
      <c r="Y10" s="2"/>
      <c r="Z10" s="2"/>
    </row>
    <row r="11" spans="1:26">
      <c r="A11" s="26"/>
      <c r="B11" s="6"/>
      <c r="C11" s="26"/>
      <c r="D11" s="2"/>
      <c r="E11" s="2"/>
      <c r="F11" s="2"/>
      <c r="G11" s="2"/>
      <c r="H11" s="2"/>
      <c r="I11" s="2"/>
      <c r="J11" s="2"/>
      <c r="K11" s="2"/>
      <c r="L11" s="2"/>
      <c r="M11" s="2"/>
      <c r="N11" s="2"/>
      <c r="O11" s="2"/>
      <c r="P11" s="2"/>
      <c r="Q11" s="2"/>
      <c r="R11" s="2"/>
      <c r="S11" s="2"/>
      <c r="T11" s="2"/>
      <c r="U11" s="2"/>
      <c r="V11" s="2"/>
      <c r="W11" s="2"/>
      <c r="X11" s="2"/>
      <c r="Y11" s="2"/>
      <c r="Z11" s="2"/>
    </row>
    <row r="12" spans="1:26">
      <c r="A12" s="24" t="s">
        <v>230</v>
      </c>
      <c r="B12" s="4" t="s">
        <v>231</v>
      </c>
      <c r="C12" s="24" t="s">
        <v>232</v>
      </c>
      <c r="D12" s="2"/>
      <c r="E12" s="2"/>
      <c r="F12" s="2"/>
      <c r="G12" s="2"/>
      <c r="H12" s="2"/>
      <c r="I12" s="2"/>
      <c r="J12" s="2"/>
      <c r="K12" s="2"/>
      <c r="L12" s="2"/>
      <c r="M12" s="2"/>
      <c r="N12" s="2"/>
      <c r="O12" s="2"/>
      <c r="P12" s="2"/>
      <c r="Q12" s="2"/>
      <c r="R12" s="2"/>
      <c r="S12" s="2"/>
      <c r="T12" s="2"/>
      <c r="U12" s="2"/>
      <c r="V12" s="2"/>
      <c r="W12" s="2"/>
      <c r="X12" s="2"/>
      <c r="Y12" s="2"/>
      <c r="Z12" s="2"/>
    </row>
    <row r="13" spans="1:26">
      <c r="A13" s="25"/>
      <c r="B13" s="4" t="s">
        <v>233</v>
      </c>
      <c r="C13" s="25"/>
      <c r="D13" s="2"/>
      <c r="E13" s="2"/>
      <c r="F13" s="2"/>
      <c r="G13" s="2"/>
      <c r="H13" s="2"/>
      <c r="I13" s="2"/>
      <c r="J13" s="2"/>
      <c r="K13" s="2"/>
      <c r="L13" s="2"/>
      <c r="M13" s="2"/>
      <c r="N13" s="2"/>
      <c r="O13" s="2"/>
      <c r="P13" s="2"/>
      <c r="Q13" s="2"/>
      <c r="R13" s="2"/>
      <c r="S13" s="2"/>
      <c r="T13" s="2"/>
      <c r="U13" s="2"/>
      <c r="V13" s="2"/>
      <c r="W13" s="2"/>
      <c r="X13" s="2"/>
      <c r="Y13" s="2"/>
      <c r="Z13" s="2"/>
    </row>
    <row r="14" spans="1:26">
      <c r="A14" s="26"/>
      <c r="B14" s="4" t="s">
        <v>234</v>
      </c>
      <c r="C14" s="26"/>
      <c r="D14" s="2"/>
      <c r="E14" s="2"/>
      <c r="F14" s="2"/>
      <c r="G14" s="2"/>
      <c r="H14" s="2"/>
      <c r="I14" s="2"/>
      <c r="J14" s="2"/>
      <c r="K14" s="2"/>
      <c r="L14" s="2"/>
      <c r="M14" s="2"/>
      <c r="N14" s="2"/>
      <c r="O14" s="2"/>
      <c r="P14" s="2"/>
      <c r="Q14" s="2"/>
      <c r="R14" s="2"/>
      <c r="S14" s="2"/>
      <c r="T14" s="2"/>
      <c r="U14" s="2"/>
      <c r="V14" s="2"/>
      <c r="W14" s="2"/>
      <c r="X14" s="2"/>
      <c r="Y14" s="2"/>
      <c r="Z14" s="2"/>
    </row>
    <row r="15" spans="1:26">
      <c r="A15" s="24" t="s">
        <v>235</v>
      </c>
      <c r="B15" s="4" t="s">
        <v>236</v>
      </c>
      <c r="C15" s="24" t="s">
        <v>237</v>
      </c>
      <c r="D15" s="2"/>
      <c r="E15" s="2"/>
      <c r="F15" s="2"/>
      <c r="G15" s="2"/>
      <c r="H15" s="2"/>
      <c r="I15" s="2"/>
      <c r="J15" s="2"/>
      <c r="K15" s="2"/>
      <c r="L15" s="2"/>
      <c r="M15" s="2"/>
      <c r="N15" s="2"/>
      <c r="O15" s="2"/>
      <c r="P15" s="2"/>
      <c r="Q15" s="2"/>
      <c r="R15" s="2"/>
      <c r="S15" s="2"/>
      <c r="T15" s="2"/>
      <c r="U15" s="2"/>
      <c r="V15" s="2"/>
      <c r="W15" s="2"/>
      <c r="X15" s="2"/>
      <c r="Y15" s="2"/>
      <c r="Z15" s="2"/>
    </row>
    <row r="16" spans="1:26">
      <c r="A16" s="25"/>
      <c r="B16" s="4" t="s">
        <v>238</v>
      </c>
      <c r="C16" s="25"/>
      <c r="D16" s="2"/>
      <c r="E16" s="2"/>
      <c r="F16" s="2"/>
      <c r="G16" s="2"/>
      <c r="H16" s="2"/>
      <c r="I16" s="2"/>
      <c r="J16" s="2"/>
      <c r="K16" s="2"/>
      <c r="L16" s="2"/>
      <c r="M16" s="2"/>
      <c r="N16" s="2"/>
      <c r="O16" s="2"/>
      <c r="P16" s="2"/>
      <c r="Q16" s="2"/>
      <c r="R16" s="2"/>
      <c r="S16" s="2"/>
      <c r="T16" s="2"/>
      <c r="U16" s="2"/>
      <c r="V16" s="2"/>
      <c r="W16" s="2"/>
      <c r="X16" s="2"/>
      <c r="Y16" s="2"/>
      <c r="Z16" s="2"/>
    </row>
    <row r="17" spans="1:26">
      <c r="A17" s="25"/>
      <c r="B17" s="4" t="s">
        <v>239</v>
      </c>
      <c r="C17" s="25"/>
      <c r="D17" s="2"/>
      <c r="E17" s="2"/>
      <c r="F17" s="2"/>
      <c r="G17" s="2"/>
      <c r="H17" s="2"/>
      <c r="I17" s="2"/>
      <c r="J17" s="2"/>
      <c r="K17" s="2"/>
      <c r="L17" s="2"/>
      <c r="M17" s="2"/>
      <c r="N17" s="2"/>
      <c r="O17" s="2"/>
      <c r="P17" s="2"/>
      <c r="Q17" s="2"/>
      <c r="R17" s="2"/>
      <c r="S17" s="2"/>
      <c r="T17" s="2"/>
      <c r="U17" s="2"/>
      <c r="V17" s="2"/>
      <c r="W17" s="2"/>
      <c r="X17" s="2"/>
      <c r="Y17" s="2"/>
      <c r="Z17" s="2"/>
    </row>
    <row r="18" spans="1:26">
      <c r="A18" s="25"/>
      <c r="B18" s="4" t="s">
        <v>240</v>
      </c>
      <c r="C18" s="25"/>
      <c r="D18" s="2"/>
      <c r="E18" s="2"/>
      <c r="F18" s="2"/>
      <c r="G18" s="2"/>
      <c r="H18" s="2"/>
      <c r="I18" s="2"/>
      <c r="J18" s="2"/>
      <c r="K18" s="2"/>
      <c r="L18" s="2"/>
      <c r="M18" s="2"/>
      <c r="N18" s="2"/>
      <c r="O18" s="2"/>
      <c r="P18" s="2"/>
      <c r="Q18" s="2"/>
      <c r="R18" s="2"/>
      <c r="S18" s="2"/>
      <c r="T18" s="2"/>
      <c r="U18" s="2"/>
      <c r="V18" s="2"/>
      <c r="W18" s="2"/>
      <c r="X18" s="2"/>
      <c r="Y18" s="2"/>
      <c r="Z18" s="2"/>
    </row>
    <row r="19" spans="1:26">
      <c r="A19" s="25"/>
      <c r="B19" s="4" t="s">
        <v>241</v>
      </c>
      <c r="C19" s="25"/>
      <c r="D19" s="2"/>
      <c r="E19" s="2"/>
      <c r="F19" s="2"/>
      <c r="G19" s="2"/>
      <c r="H19" s="2"/>
      <c r="I19" s="2"/>
      <c r="J19" s="2"/>
      <c r="K19" s="2"/>
      <c r="L19" s="2"/>
      <c r="M19" s="2"/>
      <c r="N19" s="2"/>
      <c r="O19" s="2"/>
      <c r="P19" s="2"/>
      <c r="Q19" s="2"/>
      <c r="R19" s="2"/>
      <c r="S19" s="2"/>
      <c r="T19" s="2"/>
      <c r="U19" s="2"/>
      <c r="V19" s="2"/>
      <c r="W19" s="2"/>
      <c r="X19" s="2"/>
      <c r="Y19" s="2"/>
      <c r="Z19" s="2"/>
    </row>
    <row r="20" spans="1:26">
      <c r="A20" s="25"/>
      <c r="B20" s="4" t="s">
        <v>242</v>
      </c>
      <c r="C20" s="25"/>
      <c r="D20" s="2"/>
      <c r="E20" s="2"/>
      <c r="F20" s="2"/>
      <c r="G20" s="2"/>
      <c r="H20" s="2"/>
      <c r="I20" s="2"/>
      <c r="J20" s="2"/>
      <c r="K20" s="2"/>
      <c r="L20" s="2"/>
      <c r="M20" s="2"/>
      <c r="N20" s="2"/>
      <c r="O20" s="2"/>
      <c r="P20" s="2"/>
      <c r="Q20" s="2"/>
      <c r="R20" s="2"/>
      <c r="S20" s="2"/>
      <c r="T20" s="2"/>
      <c r="U20" s="2"/>
      <c r="V20" s="2"/>
      <c r="W20" s="2"/>
      <c r="X20" s="2"/>
      <c r="Y20" s="2"/>
      <c r="Z20" s="2"/>
    </row>
    <row r="21" spans="1:26">
      <c r="A21" s="25"/>
      <c r="B21" s="4" t="s">
        <v>243</v>
      </c>
      <c r="C21" s="25"/>
      <c r="D21" s="2"/>
      <c r="E21" s="2"/>
      <c r="F21" s="2"/>
      <c r="G21" s="2"/>
      <c r="H21" s="2"/>
      <c r="I21" s="2"/>
      <c r="J21" s="2"/>
      <c r="K21" s="2"/>
      <c r="L21" s="2"/>
      <c r="M21" s="2"/>
      <c r="N21" s="2"/>
      <c r="O21" s="2"/>
      <c r="P21" s="2"/>
      <c r="Q21" s="2"/>
      <c r="R21" s="2"/>
      <c r="S21" s="2"/>
      <c r="T21" s="2"/>
      <c r="U21" s="2"/>
      <c r="V21" s="2"/>
      <c r="W21" s="2"/>
      <c r="X21" s="2"/>
      <c r="Y21" s="2"/>
      <c r="Z21" s="2"/>
    </row>
    <row r="22" spans="1:26">
      <c r="A22" s="25"/>
      <c r="B22" s="4" t="s">
        <v>244</v>
      </c>
      <c r="C22" s="25"/>
      <c r="D22" s="2"/>
      <c r="E22" s="2"/>
      <c r="F22" s="2"/>
      <c r="G22" s="2"/>
      <c r="H22" s="2"/>
      <c r="I22" s="2"/>
      <c r="J22" s="2"/>
      <c r="K22" s="2"/>
      <c r="L22" s="2"/>
      <c r="M22" s="2"/>
      <c r="N22" s="2"/>
      <c r="O22" s="2"/>
      <c r="P22" s="2"/>
      <c r="Q22" s="2"/>
      <c r="R22" s="2"/>
      <c r="S22" s="2"/>
      <c r="T22" s="2"/>
      <c r="U22" s="2"/>
      <c r="V22" s="2"/>
      <c r="W22" s="2"/>
      <c r="X22" s="2"/>
      <c r="Y22" s="2"/>
      <c r="Z22" s="2"/>
    </row>
    <row r="23" spans="1:26">
      <c r="A23" s="25"/>
      <c r="B23" s="4" t="s">
        <v>245</v>
      </c>
      <c r="C23" s="25"/>
      <c r="D23" s="2"/>
      <c r="E23" s="2"/>
      <c r="F23" s="2"/>
      <c r="G23" s="2"/>
      <c r="H23" s="2"/>
      <c r="I23" s="2"/>
      <c r="J23" s="2"/>
      <c r="K23" s="2"/>
      <c r="L23" s="2"/>
      <c r="M23" s="2"/>
      <c r="N23" s="2"/>
      <c r="O23" s="2"/>
      <c r="P23" s="2"/>
      <c r="Q23" s="2"/>
      <c r="R23" s="2"/>
      <c r="S23" s="2"/>
      <c r="T23" s="2"/>
      <c r="U23" s="2"/>
      <c r="V23" s="2"/>
      <c r="W23" s="2"/>
      <c r="X23" s="2"/>
      <c r="Y23" s="2"/>
      <c r="Z23" s="2"/>
    </row>
    <row r="24" spans="1:26">
      <c r="A24" s="26"/>
      <c r="B24" s="4" t="s">
        <v>246</v>
      </c>
      <c r="C24" s="26"/>
      <c r="D24" s="2"/>
      <c r="E24" s="2"/>
      <c r="F24" s="2"/>
      <c r="G24" s="2"/>
      <c r="H24" s="2"/>
      <c r="I24" s="2"/>
      <c r="J24" s="2"/>
      <c r="K24" s="2"/>
      <c r="L24" s="2"/>
      <c r="M24" s="2"/>
      <c r="N24" s="2"/>
      <c r="O24" s="2"/>
      <c r="P24" s="2"/>
      <c r="Q24" s="2"/>
      <c r="R24" s="2"/>
      <c r="S24" s="2"/>
      <c r="T24" s="2"/>
      <c r="U24" s="2"/>
      <c r="V24" s="2"/>
      <c r="W24" s="2"/>
      <c r="X24" s="2"/>
      <c r="Y24" s="2"/>
      <c r="Z24" s="2"/>
    </row>
    <row r="25" spans="1:26">
      <c r="A25" s="24" t="s">
        <v>247</v>
      </c>
      <c r="B25" s="4" t="s">
        <v>248</v>
      </c>
      <c r="C25" s="24" t="s">
        <v>249</v>
      </c>
      <c r="D25" s="2"/>
      <c r="E25" s="2"/>
      <c r="F25" s="2"/>
      <c r="G25" s="2"/>
      <c r="H25" s="2"/>
      <c r="I25" s="2"/>
      <c r="J25" s="2"/>
      <c r="K25" s="2"/>
      <c r="L25" s="2"/>
      <c r="M25" s="2"/>
      <c r="N25" s="2"/>
      <c r="O25" s="2"/>
      <c r="P25" s="2"/>
      <c r="Q25" s="2"/>
      <c r="R25" s="2"/>
      <c r="S25" s="2"/>
      <c r="T25" s="2"/>
      <c r="U25" s="2"/>
      <c r="V25" s="2"/>
      <c r="W25" s="2"/>
      <c r="X25" s="2"/>
      <c r="Y25" s="2"/>
      <c r="Z25" s="2"/>
    </row>
    <row r="26" spans="1:26">
      <c r="A26" s="25"/>
      <c r="B26" s="4" t="s">
        <v>250</v>
      </c>
      <c r="C26" s="25"/>
      <c r="D26" s="2"/>
      <c r="E26" s="2"/>
      <c r="F26" s="2"/>
      <c r="G26" s="2"/>
      <c r="H26" s="2"/>
      <c r="I26" s="2"/>
      <c r="J26" s="2"/>
      <c r="K26" s="2"/>
      <c r="L26" s="2"/>
      <c r="M26" s="2"/>
      <c r="N26" s="2"/>
      <c r="O26" s="2"/>
      <c r="P26" s="2"/>
      <c r="Q26" s="2"/>
      <c r="R26" s="2"/>
      <c r="S26" s="2"/>
      <c r="T26" s="2"/>
      <c r="U26" s="2"/>
      <c r="V26" s="2"/>
      <c r="W26" s="2"/>
      <c r="X26" s="2"/>
      <c r="Y26" s="2"/>
      <c r="Z26" s="2"/>
    </row>
    <row r="27" spans="1:26">
      <c r="A27" s="26"/>
      <c r="B27" s="4" t="s">
        <v>251</v>
      </c>
      <c r="C27" s="26"/>
      <c r="D27" s="2"/>
      <c r="E27" s="2"/>
      <c r="F27" s="2"/>
      <c r="G27" s="2"/>
      <c r="H27" s="2"/>
      <c r="I27" s="2"/>
      <c r="J27" s="2"/>
      <c r="K27" s="2"/>
      <c r="L27" s="2"/>
      <c r="M27" s="2"/>
      <c r="N27" s="2"/>
      <c r="O27" s="2"/>
      <c r="P27" s="2"/>
      <c r="Q27" s="2"/>
      <c r="R27" s="2"/>
      <c r="S27" s="2"/>
      <c r="T27" s="2"/>
      <c r="U27" s="2"/>
      <c r="V27" s="2"/>
      <c r="W27" s="2"/>
      <c r="X27" s="2"/>
      <c r="Y27" s="2"/>
      <c r="Z27" s="2"/>
    </row>
    <row r="28" spans="1:26">
      <c r="A28" s="24" t="s">
        <v>252</v>
      </c>
      <c r="B28" s="4" t="s">
        <v>253</v>
      </c>
      <c r="C28" s="27" t="s">
        <v>254</v>
      </c>
      <c r="D28" s="2"/>
      <c r="E28" s="2"/>
      <c r="F28" s="2"/>
      <c r="G28" s="2"/>
      <c r="H28" s="2"/>
      <c r="I28" s="2"/>
      <c r="J28" s="2"/>
      <c r="K28" s="2"/>
      <c r="L28" s="2"/>
      <c r="M28" s="2"/>
      <c r="N28" s="2"/>
      <c r="O28" s="2"/>
      <c r="P28" s="2"/>
      <c r="Q28" s="2"/>
      <c r="R28" s="2"/>
      <c r="S28" s="2"/>
      <c r="T28" s="2"/>
      <c r="U28" s="2"/>
      <c r="V28" s="2"/>
      <c r="W28" s="2"/>
      <c r="X28" s="2"/>
      <c r="Y28" s="2"/>
      <c r="Z28" s="2"/>
    </row>
    <row r="29" spans="1:26">
      <c r="A29" s="25"/>
      <c r="B29" s="4" t="s">
        <v>255</v>
      </c>
      <c r="C29" s="25"/>
      <c r="D29" s="2"/>
      <c r="E29" s="2"/>
      <c r="F29" s="2"/>
      <c r="G29" s="2"/>
      <c r="H29" s="2"/>
      <c r="I29" s="2"/>
      <c r="J29" s="2"/>
      <c r="K29" s="2"/>
      <c r="L29" s="2"/>
      <c r="M29" s="2"/>
      <c r="N29" s="2"/>
      <c r="O29" s="2"/>
      <c r="P29" s="2"/>
      <c r="Q29" s="2"/>
      <c r="R29" s="2"/>
      <c r="S29" s="2"/>
      <c r="T29" s="2"/>
      <c r="U29" s="2"/>
      <c r="V29" s="2"/>
      <c r="W29" s="2"/>
      <c r="X29" s="2"/>
      <c r="Y29" s="2"/>
      <c r="Z29" s="2"/>
    </row>
    <row r="30" spans="1:26">
      <c r="A30" s="26"/>
      <c r="B30" s="4" t="s">
        <v>256</v>
      </c>
      <c r="C30" s="26"/>
      <c r="D30" s="2"/>
      <c r="E30" s="2"/>
      <c r="F30" s="2"/>
      <c r="G30" s="2"/>
      <c r="H30" s="2"/>
      <c r="I30" s="2"/>
      <c r="J30" s="2"/>
      <c r="K30" s="2"/>
      <c r="L30" s="2"/>
      <c r="M30" s="2"/>
      <c r="N30" s="2"/>
      <c r="O30" s="2"/>
      <c r="P30" s="2"/>
      <c r="Q30" s="2"/>
      <c r="R30" s="2"/>
      <c r="S30" s="2"/>
      <c r="T30" s="2"/>
      <c r="U30" s="2"/>
      <c r="V30" s="2"/>
      <c r="W30" s="2"/>
      <c r="X30" s="2"/>
      <c r="Y30" s="2"/>
      <c r="Z30" s="2"/>
    </row>
    <row r="31" spans="1:26">
      <c r="A31" s="24" t="s">
        <v>257</v>
      </c>
      <c r="B31" s="4" t="s">
        <v>258</v>
      </c>
      <c r="C31" s="24" t="s">
        <v>259</v>
      </c>
      <c r="D31" s="2"/>
      <c r="E31" s="2"/>
      <c r="F31" s="2"/>
      <c r="G31" s="2"/>
      <c r="H31" s="2"/>
      <c r="I31" s="2"/>
      <c r="J31" s="2"/>
      <c r="K31" s="2"/>
      <c r="L31" s="2"/>
      <c r="M31" s="2"/>
      <c r="N31" s="2"/>
      <c r="O31" s="2"/>
      <c r="P31" s="2"/>
      <c r="Q31" s="2"/>
      <c r="R31" s="2"/>
      <c r="S31" s="2"/>
      <c r="T31" s="2"/>
      <c r="U31" s="2"/>
      <c r="V31" s="2"/>
      <c r="W31" s="2"/>
      <c r="X31" s="2"/>
      <c r="Y31" s="2"/>
      <c r="Z31" s="2"/>
    </row>
    <row r="32" spans="1:26">
      <c r="A32" s="25"/>
      <c r="B32" s="9" t="s">
        <v>260</v>
      </c>
      <c r="C32" s="25"/>
      <c r="D32" s="2"/>
      <c r="E32" s="2"/>
      <c r="F32" s="2"/>
      <c r="G32" s="2"/>
      <c r="H32" s="2"/>
      <c r="I32" s="2"/>
      <c r="J32" s="2"/>
      <c r="K32" s="2"/>
      <c r="L32" s="2"/>
      <c r="M32" s="2"/>
      <c r="N32" s="2"/>
      <c r="O32" s="2"/>
      <c r="P32" s="2"/>
      <c r="Q32" s="2"/>
      <c r="R32" s="2"/>
      <c r="S32" s="2"/>
      <c r="T32" s="2"/>
      <c r="U32" s="2"/>
      <c r="V32" s="2"/>
      <c r="W32" s="2"/>
      <c r="X32" s="2"/>
      <c r="Y32" s="2"/>
      <c r="Z32" s="2"/>
    </row>
    <row r="33" spans="1:26">
      <c r="A33" s="26"/>
      <c r="C33" s="26"/>
      <c r="D33" s="2"/>
      <c r="E33" s="2"/>
      <c r="F33" s="2"/>
      <c r="G33" s="2"/>
      <c r="H33" s="2"/>
      <c r="I33" s="2"/>
      <c r="J33" s="2"/>
      <c r="K33" s="2"/>
      <c r="L33" s="2"/>
      <c r="M33" s="2"/>
      <c r="N33" s="2"/>
      <c r="O33" s="2"/>
      <c r="P33" s="2"/>
      <c r="Q33" s="2"/>
      <c r="R33" s="2"/>
      <c r="S33" s="2"/>
      <c r="T33" s="2"/>
      <c r="U33" s="2"/>
      <c r="V33" s="2"/>
      <c r="W33" s="2"/>
      <c r="X33" s="2"/>
      <c r="Y33" s="2"/>
      <c r="Z33" s="2"/>
    </row>
    <row r="34" spans="1:26">
      <c r="A34" s="33" t="s">
        <v>261</v>
      </c>
      <c r="B34" s="4" t="s">
        <v>262</v>
      </c>
      <c r="C34" s="27" t="s">
        <v>263</v>
      </c>
      <c r="D34" s="2"/>
      <c r="E34" s="2"/>
      <c r="F34" s="2"/>
      <c r="G34" s="2"/>
      <c r="H34" s="2"/>
      <c r="I34" s="2"/>
      <c r="J34" s="2"/>
      <c r="K34" s="2"/>
      <c r="L34" s="2"/>
      <c r="M34" s="2"/>
      <c r="N34" s="2"/>
      <c r="O34" s="2"/>
      <c r="P34" s="2"/>
      <c r="Q34" s="2"/>
      <c r="R34" s="2"/>
      <c r="S34" s="2"/>
      <c r="T34" s="2"/>
      <c r="U34" s="2"/>
      <c r="V34" s="2"/>
      <c r="W34" s="2"/>
      <c r="X34" s="2"/>
      <c r="Y34" s="2"/>
      <c r="Z34" s="2"/>
    </row>
    <row r="35" spans="1:26">
      <c r="A35" s="26"/>
      <c r="B35" s="4" t="s">
        <v>264</v>
      </c>
      <c r="C35" s="26"/>
      <c r="D35" s="2"/>
      <c r="E35" s="2"/>
      <c r="F35" s="2"/>
      <c r="G35" s="2"/>
      <c r="H35" s="2"/>
      <c r="I35" s="2"/>
      <c r="J35" s="2"/>
      <c r="K35" s="2"/>
      <c r="L35" s="2"/>
      <c r="M35" s="2"/>
      <c r="N35" s="2"/>
      <c r="O35" s="2"/>
      <c r="P35" s="2"/>
      <c r="Q35" s="2"/>
      <c r="R35" s="2"/>
      <c r="S35" s="2"/>
      <c r="T35" s="2"/>
      <c r="U35" s="2"/>
      <c r="V35" s="2"/>
      <c r="W35" s="2"/>
      <c r="X35" s="2"/>
      <c r="Y35" s="2"/>
      <c r="Z35" s="2"/>
    </row>
    <row r="36" spans="1:26">
      <c r="A36" s="4"/>
      <c r="B36" s="7"/>
      <c r="C36" s="4"/>
      <c r="D36" s="2"/>
      <c r="E36" s="2"/>
      <c r="F36" s="2"/>
      <c r="G36" s="2"/>
      <c r="H36" s="2"/>
      <c r="I36" s="2"/>
      <c r="J36" s="2"/>
      <c r="K36" s="2"/>
      <c r="L36" s="2"/>
      <c r="M36" s="2"/>
      <c r="N36" s="2"/>
      <c r="O36" s="2"/>
      <c r="P36" s="2"/>
      <c r="Q36" s="2"/>
      <c r="R36" s="2"/>
      <c r="S36" s="2"/>
      <c r="T36" s="2"/>
      <c r="U36" s="2"/>
      <c r="V36" s="2"/>
      <c r="W36" s="2"/>
      <c r="X36" s="2"/>
      <c r="Y36" s="2"/>
      <c r="Z36" s="2"/>
    </row>
    <row r="37" spans="1:26">
      <c r="A37" s="24" t="s">
        <v>265</v>
      </c>
      <c r="B37" s="4" t="s">
        <v>266</v>
      </c>
      <c r="C37" s="27" t="s">
        <v>267</v>
      </c>
      <c r="D37" s="2"/>
      <c r="E37" s="2"/>
      <c r="F37" s="2"/>
      <c r="G37" s="2"/>
      <c r="H37" s="2"/>
      <c r="I37" s="2"/>
      <c r="J37" s="2"/>
      <c r="K37" s="2"/>
      <c r="L37" s="2"/>
      <c r="M37" s="2"/>
      <c r="N37" s="2"/>
      <c r="O37" s="2"/>
      <c r="P37" s="2"/>
      <c r="Q37" s="2"/>
      <c r="R37" s="2"/>
      <c r="S37" s="2"/>
      <c r="T37" s="2"/>
      <c r="U37" s="2"/>
      <c r="V37" s="2"/>
      <c r="W37" s="2"/>
      <c r="X37" s="2"/>
      <c r="Y37" s="2"/>
      <c r="Z37" s="2"/>
    </row>
    <row r="38" spans="1:26">
      <c r="A38" s="25"/>
      <c r="B38" s="4" t="s">
        <v>266</v>
      </c>
      <c r="C38" s="25"/>
      <c r="D38" s="2"/>
      <c r="E38" s="2"/>
      <c r="F38" s="2"/>
      <c r="G38" s="2"/>
      <c r="H38" s="2"/>
      <c r="I38" s="2"/>
      <c r="J38" s="2"/>
      <c r="K38" s="2"/>
      <c r="L38" s="2"/>
      <c r="M38" s="2"/>
      <c r="N38" s="2"/>
      <c r="O38" s="2"/>
      <c r="P38" s="2"/>
      <c r="Q38" s="2"/>
      <c r="R38" s="2"/>
      <c r="S38" s="2"/>
      <c r="T38" s="2"/>
      <c r="U38" s="2"/>
      <c r="V38" s="2"/>
      <c r="W38" s="2"/>
      <c r="X38" s="2"/>
      <c r="Y38" s="2"/>
      <c r="Z38" s="2"/>
    </row>
    <row r="39" spans="1:26">
      <c r="A39" s="25"/>
      <c r="B39" s="4" t="s">
        <v>268</v>
      </c>
      <c r="C39" s="25"/>
      <c r="D39" s="2"/>
      <c r="E39" s="2"/>
      <c r="F39" s="2"/>
      <c r="G39" s="2"/>
      <c r="H39" s="2"/>
      <c r="I39" s="2"/>
      <c r="J39" s="2"/>
      <c r="K39" s="2"/>
      <c r="L39" s="2"/>
      <c r="M39" s="2"/>
      <c r="N39" s="2"/>
      <c r="O39" s="2"/>
      <c r="P39" s="2"/>
      <c r="Q39" s="2"/>
      <c r="R39" s="2"/>
      <c r="S39" s="2"/>
      <c r="T39" s="2"/>
      <c r="U39" s="2"/>
      <c r="V39" s="2"/>
      <c r="W39" s="2"/>
      <c r="X39" s="2"/>
      <c r="Y39" s="2"/>
      <c r="Z39" s="2"/>
    </row>
    <row r="40" spans="1:26">
      <c r="A40" s="25"/>
      <c r="B40" s="4" t="s">
        <v>269</v>
      </c>
      <c r="C40" s="25"/>
      <c r="D40" s="2"/>
      <c r="E40" s="2"/>
      <c r="F40" s="2"/>
      <c r="G40" s="2"/>
      <c r="H40" s="2"/>
      <c r="I40" s="2"/>
      <c r="J40" s="2"/>
      <c r="K40" s="2"/>
      <c r="L40" s="2"/>
      <c r="M40" s="2"/>
      <c r="N40" s="2"/>
      <c r="O40" s="2"/>
      <c r="P40" s="2"/>
      <c r="Q40" s="2"/>
      <c r="R40" s="2"/>
      <c r="S40" s="2"/>
      <c r="T40" s="2"/>
      <c r="U40" s="2"/>
      <c r="V40" s="2"/>
      <c r="W40" s="2"/>
      <c r="X40" s="2"/>
      <c r="Y40" s="2"/>
      <c r="Z40" s="2"/>
    </row>
    <row r="41" spans="1:26">
      <c r="A41" s="25"/>
      <c r="B41" s="4" t="s">
        <v>270</v>
      </c>
      <c r="C41" s="25"/>
      <c r="D41" s="2"/>
      <c r="E41" s="2"/>
      <c r="F41" s="2"/>
      <c r="G41" s="2"/>
      <c r="H41" s="2"/>
      <c r="I41" s="2"/>
      <c r="J41" s="2"/>
      <c r="K41" s="2"/>
      <c r="L41" s="2"/>
      <c r="M41" s="2"/>
      <c r="N41" s="2"/>
      <c r="O41" s="2"/>
      <c r="P41" s="2"/>
      <c r="Q41" s="2"/>
      <c r="R41" s="2"/>
      <c r="S41" s="2"/>
      <c r="T41" s="2"/>
      <c r="U41" s="2"/>
      <c r="V41" s="2"/>
      <c r="W41" s="2"/>
      <c r="X41" s="2"/>
      <c r="Y41" s="2"/>
      <c r="Z41" s="2"/>
    </row>
    <row r="42" spans="1:26">
      <c r="A42" s="25"/>
      <c r="B42" s="4" t="s">
        <v>271</v>
      </c>
      <c r="C42" s="25"/>
      <c r="D42" s="2"/>
      <c r="E42" s="2"/>
      <c r="F42" s="2"/>
      <c r="G42" s="2"/>
      <c r="H42" s="2"/>
      <c r="I42" s="2"/>
      <c r="J42" s="2"/>
      <c r="K42" s="2"/>
      <c r="L42" s="2"/>
      <c r="M42" s="2"/>
      <c r="N42" s="2"/>
      <c r="O42" s="2"/>
      <c r="P42" s="2"/>
      <c r="Q42" s="2"/>
      <c r="R42" s="2"/>
      <c r="S42" s="2"/>
      <c r="T42" s="2"/>
      <c r="U42" s="2"/>
      <c r="V42" s="2"/>
      <c r="W42" s="2"/>
      <c r="X42" s="2"/>
      <c r="Y42" s="2"/>
      <c r="Z42" s="2"/>
    </row>
    <row r="43" spans="1:26">
      <c r="A43" s="26"/>
      <c r="B43" s="4" t="s">
        <v>272</v>
      </c>
      <c r="C43" s="26"/>
      <c r="D43" s="2"/>
      <c r="E43" s="2"/>
      <c r="F43" s="2"/>
      <c r="G43" s="2"/>
      <c r="H43" s="2"/>
      <c r="I43" s="2"/>
      <c r="J43" s="2"/>
      <c r="K43" s="2"/>
      <c r="L43" s="2"/>
      <c r="M43" s="2"/>
      <c r="N43" s="2"/>
      <c r="O43" s="2"/>
      <c r="P43" s="2"/>
      <c r="Q43" s="2"/>
      <c r="R43" s="2"/>
      <c r="S43" s="2"/>
      <c r="T43" s="2"/>
      <c r="U43" s="2"/>
      <c r="V43" s="2"/>
      <c r="W43" s="2"/>
      <c r="X43" s="2"/>
      <c r="Y43" s="2"/>
      <c r="Z43" s="2"/>
    </row>
    <row r="44" spans="1:26">
      <c r="A44" s="24" t="s">
        <v>273</v>
      </c>
      <c r="B44" s="4" t="s">
        <v>274</v>
      </c>
      <c r="C44" s="24" t="s">
        <v>275</v>
      </c>
      <c r="D44" s="2"/>
      <c r="E44" s="2"/>
      <c r="F44" s="2"/>
      <c r="G44" s="2"/>
      <c r="H44" s="2"/>
      <c r="I44" s="2"/>
      <c r="J44" s="2"/>
      <c r="K44" s="2"/>
      <c r="L44" s="2"/>
      <c r="M44" s="2"/>
      <c r="N44" s="2"/>
      <c r="O44" s="2"/>
      <c r="P44" s="2"/>
      <c r="Q44" s="2"/>
      <c r="R44" s="2"/>
      <c r="S44" s="2"/>
      <c r="T44" s="2"/>
      <c r="U44" s="2"/>
      <c r="V44" s="2"/>
      <c r="W44" s="2"/>
      <c r="X44" s="2"/>
      <c r="Y44" s="2"/>
      <c r="Z44" s="2"/>
    </row>
    <row r="45" spans="1:26">
      <c r="A45" s="25"/>
      <c r="B45" s="4" t="s">
        <v>276</v>
      </c>
      <c r="C45" s="25"/>
      <c r="D45" s="2"/>
      <c r="E45" s="2"/>
      <c r="F45" s="2"/>
      <c r="G45" s="2"/>
      <c r="H45" s="2"/>
      <c r="I45" s="2"/>
      <c r="J45" s="2"/>
      <c r="K45" s="2"/>
      <c r="L45" s="2"/>
      <c r="M45" s="2"/>
      <c r="N45" s="2"/>
      <c r="O45" s="2"/>
      <c r="P45" s="2"/>
      <c r="Q45" s="2"/>
      <c r="R45" s="2"/>
      <c r="S45" s="2"/>
      <c r="T45" s="2"/>
      <c r="U45" s="2"/>
      <c r="V45" s="2"/>
      <c r="W45" s="2"/>
      <c r="X45" s="2"/>
      <c r="Y45" s="2"/>
      <c r="Z45" s="2"/>
    </row>
    <row r="46" spans="1:26">
      <c r="A46" s="26"/>
      <c r="B46" s="4" t="s">
        <v>277</v>
      </c>
      <c r="C46" s="26"/>
      <c r="D46" s="2"/>
      <c r="E46" s="2"/>
      <c r="F46" s="2"/>
      <c r="G46" s="2"/>
      <c r="H46" s="2"/>
      <c r="I46" s="2"/>
      <c r="J46" s="2"/>
      <c r="K46" s="2"/>
      <c r="L46" s="2"/>
      <c r="M46" s="2"/>
      <c r="N46" s="2"/>
      <c r="O46" s="2"/>
      <c r="P46" s="2"/>
      <c r="Q46" s="2"/>
      <c r="R46" s="2"/>
      <c r="S46" s="2"/>
      <c r="T46" s="2"/>
      <c r="U46" s="2"/>
      <c r="V46" s="2"/>
      <c r="W46" s="2"/>
      <c r="X46" s="2"/>
      <c r="Y46" s="2"/>
      <c r="Z46" s="2"/>
    </row>
    <row r="47" spans="1:26">
      <c r="A47" s="4" t="s">
        <v>278</v>
      </c>
      <c r="B47" s="4" t="s">
        <v>279</v>
      </c>
      <c r="C47" s="4" t="s">
        <v>280</v>
      </c>
      <c r="D47" s="2"/>
      <c r="E47" s="2"/>
      <c r="F47" s="2"/>
      <c r="G47" s="2"/>
      <c r="H47" s="2"/>
      <c r="I47" s="2"/>
      <c r="J47" s="2"/>
      <c r="K47" s="2"/>
      <c r="L47" s="2"/>
      <c r="M47" s="2"/>
      <c r="N47" s="2"/>
      <c r="O47" s="2"/>
      <c r="P47" s="2"/>
      <c r="Q47" s="2"/>
      <c r="R47" s="2"/>
      <c r="S47" s="2"/>
      <c r="T47" s="2"/>
      <c r="U47" s="2"/>
      <c r="V47" s="2"/>
      <c r="W47" s="2"/>
      <c r="X47" s="2"/>
      <c r="Y47" s="2"/>
      <c r="Z47" s="2"/>
    </row>
    <row r="48" spans="1:26">
      <c r="A48" s="24" t="s">
        <v>281</v>
      </c>
      <c r="B48" s="4" t="s">
        <v>282</v>
      </c>
      <c r="C48" s="24" t="s">
        <v>283</v>
      </c>
      <c r="D48" s="2"/>
      <c r="E48" s="2"/>
      <c r="F48" s="2"/>
      <c r="G48" s="2"/>
      <c r="H48" s="2"/>
      <c r="I48" s="2"/>
      <c r="J48" s="2"/>
      <c r="K48" s="2"/>
      <c r="L48" s="2"/>
      <c r="M48" s="2"/>
      <c r="N48" s="2"/>
      <c r="O48" s="2"/>
      <c r="P48" s="2"/>
      <c r="Q48" s="2"/>
      <c r="R48" s="2"/>
      <c r="S48" s="2"/>
      <c r="T48" s="2"/>
      <c r="U48" s="2"/>
      <c r="V48" s="2"/>
      <c r="W48" s="2"/>
      <c r="X48" s="2"/>
      <c r="Y48" s="2"/>
      <c r="Z48" s="2"/>
    </row>
    <row r="49" spans="1:26">
      <c r="A49" s="25"/>
      <c r="B49" s="4" t="s">
        <v>284</v>
      </c>
      <c r="C49" s="25"/>
      <c r="D49" s="2"/>
      <c r="E49" s="2"/>
      <c r="F49" s="2"/>
      <c r="G49" s="2"/>
      <c r="H49" s="2"/>
      <c r="I49" s="2"/>
      <c r="J49" s="2"/>
      <c r="K49" s="2"/>
      <c r="L49" s="2"/>
      <c r="M49" s="2"/>
      <c r="N49" s="2"/>
      <c r="O49" s="2"/>
      <c r="P49" s="2"/>
      <c r="Q49" s="2"/>
      <c r="R49" s="2"/>
      <c r="S49" s="2"/>
      <c r="T49" s="2"/>
      <c r="U49" s="2"/>
      <c r="V49" s="2"/>
      <c r="W49" s="2"/>
      <c r="X49" s="2"/>
      <c r="Y49" s="2"/>
      <c r="Z49" s="2"/>
    </row>
    <row r="50" spans="1:26">
      <c r="A50" s="26"/>
      <c r="B50" s="4" t="s">
        <v>285</v>
      </c>
      <c r="C50" s="26"/>
      <c r="D50" s="2"/>
      <c r="E50" s="2"/>
      <c r="F50" s="2"/>
      <c r="G50" s="2"/>
      <c r="H50" s="2"/>
      <c r="I50" s="2"/>
      <c r="J50" s="2"/>
      <c r="K50" s="2"/>
      <c r="L50" s="2"/>
      <c r="M50" s="2"/>
      <c r="N50" s="2"/>
      <c r="O50" s="2"/>
      <c r="P50" s="2"/>
      <c r="Q50" s="2"/>
      <c r="R50" s="2"/>
      <c r="S50" s="2"/>
      <c r="T50" s="2"/>
      <c r="U50" s="2"/>
      <c r="V50" s="2"/>
      <c r="W50" s="2"/>
      <c r="X50" s="2"/>
      <c r="Y50" s="2"/>
      <c r="Z50" s="2"/>
    </row>
    <row r="51" spans="1:26">
      <c r="A51" s="24" t="s">
        <v>286</v>
      </c>
      <c r="B51" s="4" t="s">
        <v>287</v>
      </c>
      <c r="C51" s="24" t="s">
        <v>288</v>
      </c>
      <c r="D51" s="2"/>
      <c r="E51" s="2"/>
      <c r="F51" s="2"/>
      <c r="G51" s="2"/>
      <c r="H51" s="2"/>
      <c r="I51" s="2"/>
      <c r="J51" s="2"/>
      <c r="K51" s="2"/>
      <c r="L51" s="2"/>
      <c r="M51" s="2"/>
      <c r="N51" s="2"/>
      <c r="O51" s="2"/>
      <c r="P51" s="2"/>
      <c r="Q51" s="2"/>
      <c r="R51" s="2"/>
      <c r="S51" s="2"/>
      <c r="T51" s="2"/>
      <c r="U51" s="2"/>
      <c r="V51" s="2"/>
      <c r="W51" s="2"/>
      <c r="X51" s="2"/>
      <c r="Y51" s="2"/>
      <c r="Z51" s="2"/>
    </row>
    <row r="52" spans="1:26">
      <c r="A52" s="25"/>
      <c r="B52" s="4" t="s">
        <v>289</v>
      </c>
      <c r="C52" s="25"/>
      <c r="D52" s="2"/>
      <c r="E52" s="2"/>
      <c r="F52" s="2"/>
      <c r="G52" s="2"/>
      <c r="H52" s="2"/>
      <c r="I52" s="2"/>
      <c r="J52" s="2"/>
      <c r="K52" s="2"/>
      <c r="L52" s="2"/>
      <c r="M52" s="2"/>
      <c r="N52" s="2"/>
      <c r="O52" s="2"/>
      <c r="P52" s="2"/>
      <c r="Q52" s="2"/>
      <c r="R52" s="2"/>
      <c r="S52" s="2"/>
      <c r="T52" s="2"/>
      <c r="U52" s="2"/>
      <c r="V52" s="2"/>
      <c r="W52" s="2"/>
      <c r="X52" s="2"/>
      <c r="Y52" s="2"/>
      <c r="Z52" s="2"/>
    </row>
    <row r="53" spans="1:26">
      <c r="A53" s="26"/>
      <c r="B53" s="4" t="s">
        <v>290</v>
      </c>
      <c r="C53" s="26"/>
      <c r="D53" s="2"/>
      <c r="E53" s="2"/>
      <c r="F53" s="2"/>
      <c r="G53" s="2"/>
      <c r="H53" s="2"/>
      <c r="I53" s="2"/>
      <c r="J53" s="2"/>
      <c r="K53" s="2"/>
      <c r="L53" s="2"/>
      <c r="M53" s="2"/>
      <c r="N53" s="2"/>
      <c r="O53" s="2"/>
      <c r="P53" s="2"/>
      <c r="Q53" s="2"/>
      <c r="R53" s="2"/>
      <c r="S53" s="2"/>
      <c r="T53" s="2"/>
      <c r="U53" s="2"/>
      <c r="V53" s="2"/>
      <c r="W53" s="2"/>
      <c r="X53" s="2"/>
      <c r="Y53" s="2"/>
      <c r="Z53" s="2"/>
    </row>
    <row r="54" spans="1:26">
      <c r="A54" s="24" t="s">
        <v>291</v>
      </c>
      <c r="B54" s="4" t="s">
        <v>292</v>
      </c>
      <c r="C54" s="24" t="s">
        <v>293</v>
      </c>
      <c r="D54" s="2"/>
      <c r="E54" s="2"/>
      <c r="F54" s="2"/>
      <c r="G54" s="2"/>
      <c r="H54" s="2"/>
      <c r="I54" s="2"/>
      <c r="J54" s="2"/>
      <c r="K54" s="2"/>
      <c r="L54" s="2"/>
      <c r="M54" s="2"/>
      <c r="N54" s="2"/>
      <c r="O54" s="2"/>
      <c r="P54" s="2"/>
      <c r="Q54" s="2"/>
      <c r="R54" s="2"/>
      <c r="S54" s="2"/>
      <c r="T54" s="2"/>
      <c r="U54" s="2"/>
      <c r="V54" s="2"/>
      <c r="W54" s="2"/>
      <c r="X54" s="2"/>
      <c r="Y54" s="2"/>
      <c r="Z54" s="2"/>
    </row>
    <row r="55" spans="1:26">
      <c r="A55" s="26"/>
      <c r="B55" s="4" t="s">
        <v>294</v>
      </c>
      <c r="C55" s="26"/>
      <c r="D55" s="2"/>
      <c r="E55" s="2"/>
      <c r="F55" s="2"/>
      <c r="G55" s="2"/>
      <c r="H55" s="2"/>
      <c r="I55" s="2"/>
      <c r="J55" s="2"/>
      <c r="K55" s="2"/>
      <c r="L55" s="2"/>
      <c r="M55" s="2"/>
      <c r="N55" s="2"/>
      <c r="O55" s="2"/>
      <c r="P55" s="2"/>
      <c r="Q55" s="2"/>
      <c r="R55" s="2"/>
      <c r="S55" s="2"/>
      <c r="T55" s="2"/>
      <c r="U55" s="2"/>
      <c r="V55" s="2"/>
      <c r="W55" s="2"/>
      <c r="X55" s="2"/>
      <c r="Y55" s="2"/>
      <c r="Z55" s="2"/>
    </row>
    <row r="56" spans="1:26">
      <c r="A56" s="24" t="s">
        <v>295</v>
      </c>
      <c r="B56" s="4" t="s">
        <v>296</v>
      </c>
      <c r="C56" s="27" t="s">
        <v>297</v>
      </c>
      <c r="D56" s="2"/>
      <c r="E56" s="2"/>
      <c r="F56" s="2"/>
      <c r="G56" s="2"/>
      <c r="H56" s="2"/>
      <c r="I56" s="2"/>
      <c r="J56" s="2"/>
      <c r="K56" s="2"/>
      <c r="L56" s="2"/>
      <c r="M56" s="2"/>
      <c r="N56" s="2"/>
      <c r="O56" s="2"/>
      <c r="P56" s="2"/>
      <c r="Q56" s="2"/>
      <c r="R56" s="2"/>
      <c r="S56" s="2"/>
      <c r="T56" s="2"/>
      <c r="U56" s="2"/>
      <c r="V56" s="2"/>
      <c r="W56" s="2"/>
      <c r="X56" s="2"/>
      <c r="Y56" s="2"/>
      <c r="Z56" s="2"/>
    </row>
    <row r="57" spans="1:26">
      <c r="A57" s="25"/>
      <c r="B57" s="4" t="s">
        <v>298</v>
      </c>
      <c r="C57" s="25"/>
      <c r="D57" s="2"/>
      <c r="E57" s="2"/>
      <c r="F57" s="2"/>
      <c r="G57" s="2"/>
      <c r="H57" s="2"/>
      <c r="I57" s="2"/>
      <c r="J57" s="2"/>
      <c r="K57" s="2"/>
      <c r="L57" s="2"/>
      <c r="M57" s="2"/>
      <c r="N57" s="2"/>
      <c r="O57" s="2"/>
      <c r="P57" s="2"/>
      <c r="Q57" s="2"/>
      <c r="R57" s="2"/>
      <c r="S57" s="2"/>
      <c r="T57" s="2"/>
      <c r="U57" s="2"/>
      <c r="V57" s="2"/>
      <c r="W57" s="2"/>
      <c r="X57" s="2"/>
      <c r="Y57" s="2"/>
      <c r="Z57" s="2"/>
    </row>
    <row r="58" spans="1:26">
      <c r="A58" s="25"/>
      <c r="B58" s="4" t="s">
        <v>299</v>
      </c>
      <c r="C58" s="25"/>
      <c r="D58" s="2"/>
      <c r="E58" s="2"/>
      <c r="F58" s="2"/>
      <c r="G58" s="2"/>
      <c r="H58" s="2"/>
      <c r="I58" s="2"/>
      <c r="J58" s="2"/>
      <c r="K58" s="2"/>
      <c r="L58" s="2"/>
      <c r="M58" s="2"/>
      <c r="N58" s="2"/>
      <c r="O58" s="2"/>
      <c r="P58" s="2"/>
      <c r="Q58" s="2"/>
      <c r="R58" s="2"/>
      <c r="S58" s="2"/>
      <c r="T58" s="2"/>
      <c r="U58" s="2"/>
      <c r="V58" s="2"/>
      <c r="W58" s="2"/>
      <c r="X58" s="2"/>
      <c r="Y58" s="2"/>
      <c r="Z58" s="2"/>
    </row>
    <row r="59" spans="1:26">
      <c r="A59" s="26"/>
      <c r="B59" s="4" t="s">
        <v>300</v>
      </c>
      <c r="C59" s="26"/>
      <c r="D59" s="2"/>
      <c r="E59" s="2"/>
      <c r="F59" s="2"/>
      <c r="G59" s="2"/>
      <c r="H59" s="2"/>
      <c r="I59" s="2"/>
      <c r="J59" s="2"/>
      <c r="K59" s="2"/>
      <c r="L59" s="2"/>
      <c r="M59" s="2"/>
      <c r="N59" s="2"/>
      <c r="O59" s="2"/>
      <c r="P59" s="2"/>
      <c r="Q59" s="2"/>
      <c r="R59" s="2"/>
      <c r="S59" s="2"/>
      <c r="T59" s="2"/>
      <c r="U59" s="2"/>
      <c r="V59" s="2"/>
      <c r="W59" s="2"/>
      <c r="X59" s="2"/>
      <c r="Y59" s="2"/>
      <c r="Z59" s="2"/>
    </row>
    <row r="60" spans="1:26">
      <c r="A60" s="24" t="s">
        <v>301</v>
      </c>
      <c r="B60" s="4" t="s">
        <v>302</v>
      </c>
      <c r="C60" s="24" t="s">
        <v>303</v>
      </c>
      <c r="D60" s="2"/>
      <c r="E60" s="2"/>
      <c r="F60" s="2"/>
      <c r="G60" s="2"/>
      <c r="H60" s="2"/>
      <c r="I60" s="2"/>
      <c r="J60" s="2"/>
      <c r="K60" s="2"/>
      <c r="L60" s="2"/>
      <c r="M60" s="2"/>
      <c r="N60" s="2"/>
      <c r="O60" s="2"/>
      <c r="P60" s="2"/>
      <c r="Q60" s="2"/>
      <c r="R60" s="2"/>
      <c r="S60" s="2"/>
      <c r="T60" s="2"/>
      <c r="U60" s="2"/>
      <c r="V60" s="2"/>
      <c r="W60" s="2"/>
      <c r="X60" s="2"/>
      <c r="Y60" s="2"/>
      <c r="Z60" s="2"/>
    </row>
    <row r="61" spans="1:26">
      <c r="A61" s="25"/>
      <c r="B61" s="9" t="s">
        <v>304</v>
      </c>
      <c r="C61" s="25"/>
      <c r="D61" s="2"/>
      <c r="E61" s="2"/>
      <c r="F61" s="2"/>
      <c r="G61" s="2"/>
      <c r="H61" s="2"/>
      <c r="I61" s="2"/>
      <c r="J61" s="2"/>
      <c r="K61" s="2"/>
      <c r="L61" s="2"/>
      <c r="M61" s="2"/>
      <c r="N61" s="2"/>
      <c r="O61" s="2"/>
      <c r="P61" s="2"/>
      <c r="Q61" s="2"/>
      <c r="R61" s="2"/>
      <c r="S61" s="2"/>
      <c r="T61" s="2"/>
      <c r="U61" s="2"/>
      <c r="V61" s="2"/>
      <c r="W61" s="2"/>
      <c r="X61" s="2"/>
      <c r="Y61" s="2"/>
      <c r="Z61" s="2"/>
    </row>
    <row r="62" spans="1:26">
      <c r="A62" s="25"/>
      <c r="B62" s="9" t="s">
        <v>305</v>
      </c>
      <c r="C62" s="25"/>
      <c r="D62" s="2"/>
      <c r="E62" s="2"/>
      <c r="F62" s="2"/>
      <c r="G62" s="2"/>
      <c r="H62" s="2"/>
      <c r="I62" s="2"/>
      <c r="J62" s="2"/>
      <c r="K62" s="2"/>
      <c r="L62" s="2"/>
      <c r="M62" s="2"/>
      <c r="N62" s="2"/>
      <c r="O62" s="2"/>
      <c r="P62" s="2"/>
      <c r="Q62" s="2"/>
      <c r="R62" s="2"/>
      <c r="S62" s="2"/>
      <c r="T62" s="2"/>
      <c r="U62" s="2"/>
      <c r="V62" s="2"/>
      <c r="W62" s="2"/>
      <c r="X62" s="2"/>
      <c r="Y62" s="2"/>
      <c r="Z62" s="2"/>
    </row>
    <row r="63" spans="1:26">
      <c r="A63" s="26"/>
      <c r="B63" s="9" t="s">
        <v>306</v>
      </c>
      <c r="C63" s="26"/>
      <c r="D63" s="2"/>
      <c r="E63" s="2"/>
      <c r="F63" s="2"/>
      <c r="G63" s="2"/>
      <c r="H63" s="2"/>
      <c r="I63" s="2"/>
      <c r="J63" s="2"/>
      <c r="K63" s="2"/>
      <c r="L63" s="2"/>
      <c r="M63" s="2"/>
      <c r="N63" s="2"/>
      <c r="O63" s="2"/>
      <c r="P63" s="2"/>
      <c r="Q63" s="2"/>
      <c r="R63" s="2"/>
      <c r="S63" s="2"/>
      <c r="T63" s="2"/>
      <c r="U63" s="2"/>
      <c r="V63" s="2"/>
      <c r="W63" s="2"/>
      <c r="X63" s="2"/>
      <c r="Y63" s="2"/>
      <c r="Z63" s="2"/>
    </row>
    <row r="64" spans="1:26">
      <c r="A64" s="24" t="s">
        <v>307</v>
      </c>
      <c r="B64" s="4" t="s">
        <v>308</v>
      </c>
      <c r="C64" s="24" t="s">
        <v>309</v>
      </c>
      <c r="D64" s="2"/>
      <c r="E64" s="2"/>
      <c r="F64" s="2"/>
      <c r="G64" s="2"/>
      <c r="H64" s="2"/>
      <c r="I64" s="2"/>
      <c r="J64" s="2"/>
      <c r="K64" s="2"/>
      <c r="L64" s="2"/>
      <c r="M64" s="2"/>
      <c r="N64" s="2"/>
      <c r="O64" s="2"/>
      <c r="P64" s="2"/>
      <c r="Q64" s="2"/>
      <c r="R64" s="2"/>
      <c r="S64" s="2"/>
      <c r="T64" s="2"/>
      <c r="U64" s="2"/>
      <c r="V64" s="2"/>
      <c r="W64" s="2"/>
      <c r="X64" s="2"/>
      <c r="Y64" s="2"/>
      <c r="Z64" s="2"/>
    </row>
    <row r="65" spans="1:26">
      <c r="A65" s="25"/>
      <c r="B65" s="4" t="s">
        <v>310</v>
      </c>
      <c r="C65" s="25"/>
      <c r="D65" s="2"/>
      <c r="E65" s="2"/>
      <c r="F65" s="2"/>
      <c r="G65" s="2"/>
      <c r="H65" s="2"/>
      <c r="I65" s="2"/>
      <c r="J65" s="2"/>
      <c r="K65" s="2"/>
      <c r="L65" s="2"/>
      <c r="M65" s="2"/>
      <c r="N65" s="2"/>
      <c r="O65" s="2"/>
      <c r="P65" s="2"/>
      <c r="Q65" s="2"/>
      <c r="R65" s="2"/>
      <c r="S65" s="2"/>
      <c r="T65" s="2"/>
      <c r="U65" s="2"/>
      <c r="V65" s="2"/>
      <c r="W65" s="2"/>
      <c r="X65" s="2"/>
      <c r="Y65" s="2"/>
      <c r="Z65" s="2"/>
    </row>
    <row r="66" spans="1:26">
      <c r="A66" s="26"/>
      <c r="B66" s="4" t="s">
        <v>311</v>
      </c>
      <c r="C66" s="26"/>
      <c r="D66" s="2"/>
      <c r="E66" s="2"/>
      <c r="F66" s="2"/>
      <c r="G66" s="2"/>
      <c r="H66" s="2"/>
      <c r="I66" s="2"/>
      <c r="J66" s="2"/>
      <c r="K66" s="2"/>
      <c r="L66" s="2"/>
      <c r="M66" s="2"/>
      <c r="N66" s="2"/>
      <c r="O66" s="2"/>
      <c r="P66" s="2"/>
      <c r="Q66" s="2"/>
      <c r="R66" s="2"/>
      <c r="S66" s="2"/>
      <c r="T66" s="2"/>
      <c r="U66" s="2"/>
      <c r="V66" s="2"/>
      <c r="W66" s="2"/>
      <c r="X66" s="2"/>
      <c r="Y66" s="2"/>
      <c r="Z66" s="2"/>
    </row>
    <row r="67" spans="1:26">
      <c r="A67" s="24" t="s">
        <v>312</v>
      </c>
      <c r="B67" s="4" t="s">
        <v>313</v>
      </c>
      <c r="C67" s="27" t="s">
        <v>314</v>
      </c>
      <c r="D67" s="2"/>
      <c r="E67" s="2"/>
      <c r="F67" s="2"/>
      <c r="G67" s="2"/>
      <c r="H67" s="2"/>
      <c r="I67" s="2"/>
      <c r="J67" s="2"/>
      <c r="K67" s="2"/>
      <c r="L67" s="2"/>
      <c r="M67" s="2"/>
      <c r="N67" s="2"/>
      <c r="O67" s="2"/>
      <c r="P67" s="2"/>
      <c r="Q67" s="2"/>
      <c r="R67" s="2"/>
      <c r="S67" s="2"/>
      <c r="T67" s="2"/>
      <c r="U67" s="2"/>
      <c r="V67" s="2"/>
      <c r="W67" s="2"/>
      <c r="X67" s="2"/>
      <c r="Y67" s="2"/>
      <c r="Z67" s="2"/>
    </row>
    <row r="68" spans="1:26">
      <c r="A68" s="25"/>
      <c r="B68" s="4" t="s">
        <v>315</v>
      </c>
      <c r="C68" s="25"/>
      <c r="D68" s="2"/>
      <c r="E68" s="2"/>
      <c r="F68" s="2"/>
      <c r="G68" s="2"/>
      <c r="H68" s="2"/>
      <c r="I68" s="2"/>
      <c r="J68" s="2"/>
      <c r="K68" s="2"/>
      <c r="L68" s="2"/>
      <c r="M68" s="2"/>
      <c r="N68" s="2"/>
      <c r="O68" s="2"/>
      <c r="P68" s="2"/>
      <c r="Q68" s="2"/>
      <c r="R68" s="2"/>
      <c r="S68" s="2"/>
      <c r="T68" s="2"/>
      <c r="U68" s="2"/>
      <c r="V68" s="2"/>
      <c r="W68" s="2"/>
      <c r="X68" s="2"/>
      <c r="Y68" s="2"/>
      <c r="Z68" s="2"/>
    </row>
    <row r="69" spans="1:26">
      <c r="A69" s="26"/>
      <c r="B69" s="4" t="s">
        <v>316</v>
      </c>
      <c r="C69" s="26"/>
      <c r="D69" s="2"/>
      <c r="E69" s="2"/>
      <c r="F69" s="2"/>
      <c r="G69" s="2"/>
      <c r="H69" s="2"/>
      <c r="I69" s="2"/>
      <c r="J69" s="2"/>
      <c r="K69" s="2"/>
      <c r="L69" s="2"/>
      <c r="M69" s="2"/>
      <c r="N69" s="2"/>
      <c r="O69" s="2"/>
      <c r="P69" s="2"/>
      <c r="Q69" s="2"/>
      <c r="R69" s="2"/>
      <c r="S69" s="2"/>
      <c r="T69" s="2"/>
      <c r="U69" s="2"/>
      <c r="V69" s="2"/>
      <c r="W69" s="2"/>
      <c r="X69" s="2"/>
      <c r="Y69" s="2"/>
      <c r="Z69" s="2"/>
    </row>
    <row r="70" spans="1:26">
      <c r="A70" s="24" t="s">
        <v>317</v>
      </c>
      <c r="B70" s="4" t="s">
        <v>318</v>
      </c>
      <c r="C70" s="24" t="s">
        <v>319</v>
      </c>
      <c r="D70" s="2"/>
      <c r="E70" s="2"/>
      <c r="F70" s="2"/>
      <c r="G70" s="2"/>
      <c r="H70" s="2"/>
      <c r="I70" s="2"/>
      <c r="J70" s="2"/>
      <c r="K70" s="2"/>
      <c r="L70" s="2"/>
      <c r="M70" s="2"/>
      <c r="N70" s="2"/>
      <c r="O70" s="2"/>
      <c r="P70" s="2"/>
      <c r="Q70" s="2"/>
      <c r="R70" s="2"/>
      <c r="S70" s="2"/>
      <c r="T70" s="2"/>
      <c r="U70" s="2"/>
      <c r="V70" s="2"/>
      <c r="W70" s="2"/>
      <c r="X70" s="2"/>
      <c r="Y70" s="2"/>
      <c r="Z70" s="2"/>
    </row>
    <row r="71" spans="1:26">
      <c r="A71" s="26"/>
      <c r="B71" s="4" t="s">
        <v>320</v>
      </c>
      <c r="C71" s="26"/>
      <c r="D71" s="2"/>
      <c r="E71" s="2"/>
      <c r="F71" s="2"/>
      <c r="G71" s="2"/>
      <c r="H71" s="2"/>
      <c r="I71" s="2"/>
      <c r="J71" s="2"/>
      <c r="K71" s="2"/>
      <c r="L71" s="2"/>
      <c r="M71" s="2"/>
      <c r="N71" s="2"/>
      <c r="O71" s="2"/>
      <c r="P71" s="2"/>
      <c r="Q71" s="2"/>
      <c r="R71" s="2"/>
      <c r="S71" s="2"/>
      <c r="T71" s="2"/>
      <c r="U71" s="2"/>
      <c r="V71" s="2"/>
      <c r="W71" s="2"/>
      <c r="X71" s="2"/>
      <c r="Y71" s="2"/>
      <c r="Z71" s="2"/>
    </row>
    <row r="72" spans="1:26">
      <c r="A72" s="24" t="s">
        <v>321</v>
      </c>
      <c r="B72" s="4" t="s">
        <v>322</v>
      </c>
      <c r="C72" s="24" t="s">
        <v>323</v>
      </c>
      <c r="D72" s="2"/>
      <c r="E72" s="2"/>
      <c r="F72" s="2"/>
      <c r="G72" s="2"/>
      <c r="H72" s="2"/>
      <c r="I72" s="2"/>
      <c r="J72" s="2"/>
      <c r="K72" s="2"/>
      <c r="L72" s="2"/>
      <c r="M72" s="2"/>
      <c r="N72" s="2"/>
      <c r="O72" s="2"/>
      <c r="P72" s="2"/>
      <c r="Q72" s="2"/>
      <c r="R72" s="2"/>
      <c r="S72" s="2"/>
      <c r="T72" s="2"/>
      <c r="U72" s="2"/>
      <c r="V72" s="2"/>
      <c r="W72" s="2"/>
      <c r="X72" s="2"/>
      <c r="Y72" s="2"/>
      <c r="Z72" s="2"/>
    </row>
    <row r="73" spans="1:26">
      <c r="A73" s="26"/>
      <c r="B73" s="4" t="s">
        <v>324</v>
      </c>
      <c r="C73" s="26"/>
      <c r="D73" s="2"/>
      <c r="E73" s="2"/>
      <c r="F73" s="2"/>
      <c r="G73" s="2"/>
      <c r="H73" s="2"/>
      <c r="I73" s="2"/>
      <c r="J73" s="2"/>
      <c r="K73" s="2"/>
      <c r="L73" s="2"/>
      <c r="M73" s="2"/>
      <c r="N73" s="2"/>
      <c r="O73" s="2"/>
      <c r="P73" s="2"/>
      <c r="Q73" s="2"/>
      <c r="R73" s="2"/>
      <c r="S73" s="2"/>
      <c r="T73" s="2"/>
      <c r="U73" s="2"/>
      <c r="V73" s="2"/>
      <c r="W73" s="2"/>
      <c r="X73" s="2"/>
      <c r="Y73" s="2"/>
      <c r="Z73" s="2"/>
    </row>
    <row r="74" spans="1:26">
      <c r="A74" s="24" t="s">
        <v>325</v>
      </c>
      <c r="B74" s="4" t="s">
        <v>326</v>
      </c>
      <c r="C74" s="24" t="s">
        <v>327</v>
      </c>
      <c r="D74" s="2"/>
      <c r="E74" s="2"/>
      <c r="F74" s="2"/>
      <c r="G74" s="2"/>
      <c r="H74" s="2"/>
      <c r="I74" s="2"/>
      <c r="J74" s="2"/>
      <c r="K74" s="2"/>
      <c r="L74" s="2"/>
      <c r="M74" s="2"/>
      <c r="N74" s="2"/>
      <c r="O74" s="2"/>
      <c r="P74" s="2"/>
      <c r="Q74" s="2"/>
      <c r="R74" s="2"/>
      <c r="S74" s="2"/>
      <c r="T74" s="2"/>
      <c r="U74" s="2"/>
      <c r="V74" s="2"/>
      <c r="W74" s="2"/>
      <c r="X74" s="2"/>
      <c r="Y74" s="2"/>
      <c r="Z74" s="2"/>
    </row>
    <row r="75" spans="1:26">
      <c r="A75" s="25"/>
      <c r="B75" s="10" t="s">
        <v>328</v>
      </c>
      <c r="C75" s="25"/>
      <c r="D75" s="2"/>
      <c r="E75" s="2"/>
      <c r="F75" s="2"/>
      <c r="G75" s="2"/>
      <c r="H75" s="2"/>
      <c r="I75" s="2"/>
      <c r="J75" s="2"/>
      <c r="K75" s="2"/>
      <c r="L75" s="2"/>
      <c r="M75" s="2"/>
      <c r="N75" s="2"/>
      <c r="O75" s="2"/>
      <c r="P75" s="2"/>
      <c r="Q75" s="2"/>
      <c r="R75" s="2"/>
      <c r="S75" s="2"/>
      <c r="T75" s="2"/>
      <c r="U75" s="2"/>
      <c r="V75" s="2"/>
      <c r="W75" s="2"/>
      <c r="X75" s="2"/>
      <c r="Y75" s="2"/>
      <c r="Z75" s="2"/>
    </row>
    <row r="76" spans="1:26">
      <c r="A76" s="25"/>
      <c r="B76" s="4" t="s">
        <v>329</v>
      </c>
      <c r="C76" s="25"/>
      <c r="D76" s="2"/>
      <c r="E76" s="2"/>
      <c r="F76" s="2"/>
      <c r="G76" s="2"/>
      <c r="H76" s="2"/>
      <c r="I76" s="2"/>
      <c r="J76" s="2"/>
      <c r="K76" s="2"/>
      <c r="L76" s="2"/>
      <c r="M76" s="2"/>
      <c r="N76" s="2"/>
      <c r="O76" s="2"/>
      <c r="P76" s="2"/>
      <c r="Q76" s="2"/>
      <c r="R76" s="2"/>
      <c r="S76" s="2"/>
      <c r="T76" s="2"/>
      <c r="U76" s="2"/>
      <c r="V76" s="2"/>
      <c r="W76" s="2"/>
      <c r="X76" s="2"/>
      <c r="Y76" s="2"/>
      <c r="Z76" s="2"/>
    </row>
    <row r="77" spans="1:26">
      <c r="A77" s="25"/>
      <c r="B77" s="4" t="s">
        <v>330</v>
      </c>
      <c r="C77" s="25"/>
      <c r="D77" s="2"/>
      <c r="E77" s="2"/>
      <c r="F77" s="2"/>
      <c r="G77" s="2"/>
      <c r="H77" s="2"/>
      <c r="I77" s="2"/>
      <c r="J77" s="2"/>
      <c r="K77" s="2"/>
      <c r="L77" s="2"/>
      <c r="M77" s="2"/>
      <c r="N77" s="2"/>
      <c r="O77" s="2"/>
      <c r="P77" s="2"/>
      <c r="Q77" s="2"/>
      <c r="R77" s="2"/>
      <c r="S77" s="2"/>
      <c r="T77" s="2"/>
      <c r="U77" s="2"/>
      <c r="V77" s="2"/>
      <c r="W77" s="2"/>
      <c r="X77" s="2"/>
      <c r="Y77" s="2"/>
      <c r="Z77" s="2"/>
    </row>
    <row r="78" spans="1:26">
      <c r="A78" s="26"/>
      <c r="B78" s="4" t="s">
        <v>331</v>
      </c>
      <c r="C78" s="26"/>
      <c r="D78" s="2"/>
      <c r="E78" s="2"/>
      <c r="F78" s="2"/>
      <c r="G78" s="2"/>
      <c r="H78" s="2"/>
      <c r="I78" s="2"/>
      <c r="J78" s="2"/>
      <c r="K78" s="2"/>
      <c r="L78" s="2"/>
      <c r="M78" s="2"/>
      <c r="N78" s="2"/>
      <c r="O78" s="2"/>
      <c r="P78" s="2"/>
      <c r="Q78" s="2"/>
      <c r="R78" s="2"/>
      <c r="S78" s="2"/>
      <c r="T78" s="2"/>
      <c r="U78" s="2"/>
      <c r="V78" s="2"/>
      <c r="W78" s="2"/>
      <c r="X78" s="2"/>
      <c r="Y78" s="2"/>
      <c r="Z78" s="2"/>
    </row>
    <row r="79" spans="1:26">
      <c r="A79" s="24" t="s">
        <v>332</v>
      </c>
      <c r="B79" s="4" t="s">
        <v>333</v>
      </c>
      <c r="C79" s="37"/>
      <c r="D79" s="2"/>
      <c r="E79" s="2"/>
      <c r="F79" s="2"/>
      <c r="G79" s="2"/>
      <c r="H79" s="2"/>
      <c r="I79" s="2"/>
      <c r="J79" s="2"/>
      <c r="K79" s="2"/>
      <c r="L79" s="2"/>
      <c r="M79" s="2"/>
      <c r="N79" s="2"/>
      <c r="O79" s="2"/>
      <c r="P79" s="2"/>
      <c r="Q79" s="2"/>
      <c r="R79" s="2"/>
      <c r="S79" s="2"/>
      <c r="T79" s="2"/>
      <c r="U79" s="2"/>
      <c r="V79" s="2"/>
      <c r="W79" s="2"/>
      <c r="X79" s="2"/>
      <c r="Y79" s="2"/>
      <c r="Z79" s="2"/>
    </row>
    <row r="80" spans="1:26">
      <c r="A80" s="25"/>
      <c r="B80" s="4" t="s">
        <v>334</v>
      </c>
      <c r="C80" s="37"/>
      <c r="D80" s="2"/>
      <c r="E80" s="2"/>
      <c r="F80" s="2"/>
      <c r="G80" s="2"/>
      <c r="H80" s="2"/>
      <c r="I80" s="2"/>
      <c r="J80" s="2"/>
      <c r="K80" s="2"/>
      <c r="L80" s="2"/>
      <c r="M80" s="2"/>
      <c r="N80" s="2"/>
      <c r="O80" s="2"/>
      <c r="P80" s="2"/>
      <c r="Q80" s="2"/>
      <c r="R80" s="2"/>
      <c r="S80" s="2"/>
      <c r="T80" s="2"/>
      <c r="U80" s="2"/>
      <c r="V80" s="2"/>
      <c r="W80" s="2"/>
      <c r="X80" s="2"/>
      <c r="Y80" s="2"/>
      <c r="Z80" s="2"/>
    </row>
    <row r="81" spans="1:26">
      <c r="A81" s="26"/>
      <c r="B81" s="4" t="s">
        <v>335</v>
      </c>
      <c r="C81" s="37"/>
      <c r="D81" s="2"/>
      <c r="E81" s="2"/>
      <c r="F81" s="2"/>
      <c r="G81" s="2"/>
      <c r="H81" s="2"/>
      <c r="I81" s="2"/>
      <c r="J81" s="2"/>
      <c r="K81" s="2"/>
      <c r="L81" s="2"/>
      <c r="M81" s="2"/>
      <c r="N81" s="2"/>
      <c r="O81" s="2"/>
      <c r="P81" s="2"/>
      <c r="Q81" s="2"/>
      <c r="R81" s="2"/>
      <c r="S81" s="2"/>
      <c r="T81" s="2"/>
      <c r="U81" s="2"/>
      <c r="V81" s="2"/>
      <c r="W81" s="2"/>
      <c r="X81" s="2"/>
      <c r="Y81" s="2"/>
      <c r="Z81" s="2"/>
    </row>
    <row r="82" spans="1:26">
      <c r="A82" s="33" t="s">
        <v>336</v>
      </c>
      <c r="B82" s="7" t="s">
        <v>337</v>
      </c>
      <c r="C82" s="33" t="s">
        <v>338</v>
      </c>
      <c r="D82" s="2"/>
      <c r="E82" s="2"/>
      <c r="F82" s="2"/>
      <c r="G82" s="2"/>
      <c r="H82" s="2"/>
      <c r="I82" s="2"/>
      <c r="J82" s="2"/>
      <c r="K82" s="2"/>
      <c r="L82" s="2"/>
      <c r="M82" s="2"/>
      <c r="N82" s="2"/>
      <c r="O82" s="2"/>
      <c r="P82" s="2"/>
      <c r="Q82" s="2"/>
      <c r="R82" s="2"/>
      <c r="S82" s="2"/>
      <c r="T82" s="2"/>
      <c r="U82" s="2"/>
      <c r="V82" s="2"/>
      <c r="W82" s="2"/>
      <c r="X82" s="2"/>
      <c r="Y82" s="2"/>
      <c r="Z82" s="2"/>
    </row>
    <row r="83" spans="1:26">
      <c r="A83" s="25"/>
      <c r="B83" s="7" t="s">
        <v>339</v>
      </c>
      <c r="C83" s="25"/>
      <c r="D83" s="2"/>
      <c r="E83" s="2"/>
      <c r="F83" s="2"/>
      <c r="G83" s="2"/>
      <c r="H83" s="2"/>
      <c r="I83" s="2"/>
      <c r="J83" s="2"/>
      <c r="K83" s="2"/>
      <c r="L83" s="2"/>
      <c r="M83" s="2"/>
      <c r="N83" s="2"/>
      <c r="O83" s="2"/>
      <c r="P83" s="2"/>
      <c r="Q83" s="2"/>
      <c r="R83" s="2"/>
      <c r="S83" s="2"/>
      <c r="T83" s="2"/>
      <c r="U83" s="2"/>
      <c r="V83" s="2"/>
      <c r="W83" s="2"/>
      <c r="X83" s="2"/>
      <c r="Y83" s="2"/>
      <c r="Z83" s="2"/>
    </row>
    <row r="84" spans="1:26">
      <c r="A84" s="26"/>
      <c r="B84" s="7" t="s">
        <v>340</v>
      </c>
      <c r="C84" s="26"/>
      <c r="D84" s="2"/>
      <c r="E84" s="2"/>
      <c r="F84" s="2"/>
      <c r="G84" s="2"/>
      <c r="H84" s="2"/>
      <c r="I84" s="2"/>
      <c r="J84" s="2"/>
      <c r="K84" s="2"/>
      <c r="L84" s="2"/>
      <c r="M84" s="2"/>
      <c r="N84" s="2"/>
      <c r="O84" s="2"/>
      <c r="P84" s="2"/>
      <c r="Q84" s="2"/>
      <c r="R84" s="2"/>
      <c r="S84" s="2"/>
      <c r="T84" s="2"/>
      <c r="U84" s="2"/>
      <c r="V84" s="2"/>
      <c r="W84" s="2"/>
      <c r="X84" s="2"/>
      <c r="Y84" s="2"/>
      <c r="Z84" s="2"/>
    </row>
    <row r="85" spans="1:26">
      <c r="A85" s="34" t="s">
        <v>341</v>
      </c>
      <c r="B85" s="9" t="s">
        <v>342</v>
      </c>
      <c r="D85" s="2"/>
      <c r="E85" s="2"/>
      <c r="F85" s="2"/>
      <c r="G85" s="2"/>
      <c r="H85" s="2"/>
      <c r="I85" s="2"/>
      <c r="J85" s="2"/>
      <c r="K85" s="2"/>
      <c r="L85" s="2"/>
      <c r="M85" s="2"/>
      <c r="N85" s="2"/>
      <c r="O85" s="2"/>
      <c r="P85" s="2"/>
      <c r="Q85" s="2"/>
      <c r="R85" s="2"/>
      <c r="S85" s="2"/>
      <c r="T85" s="2"/>
      <c r="U85" s="2"/>
      <c r="V85" s="2"/>
      <c r="W85" s="2"/>
      <c r="X85" s="2"/>
      <c r="Y85" s="2"/>
      <c r="Z85" s="2"/>
    </row>
    <row r="86" spans="1:26">
      <c r="A86" s="35"/>
      <c r="B86" s="4" t="s">
        <v>343</v>
      </c>
      <c r="C86" s="24" t="s">
        <v>344</v>
      </c>
      <c r="D86" s="2"/>
      <c r="E86" s="2"/>
      <c r="F86" s="2"/>
      <c r="G86" s="2"/>
      <c r="H86" s="2"/>
      <c r="I86" s="2"/>
      <c r="J86" s="2"/>
      <c r="K86" s="2"/>
      <c r="L86" s="2"/>
      <c r="M86" s="2"/>
      <c r="N86" s="2"/>
      <c r="O86" s="2"/>
      <c r="P86" s="2"/>
      <c r="Q86" s="2"/>
      <c r="R86" s="2"/>
      <c r="S86" s="2"/>
      <c r="T86" s="2"/>
      <c r="U86" s="2"/>
      <c r="V86" s="2"/>
      <c r="W86" s="2"/>
      <c r="X86" s="2"/>
      <c r="Y86" s="2"/>
      <c r="Z86" s="2"/>
    </row>
    <row r="87" spans="1:26">
      <c r="A87" s="35"/>
      <c r="B87" s="4" t="s">
        <v>345</v>
      </c>
      <c r="C87" s="25"/>
      <c r="D87" s="2"/>
      <c r="E87" s="2"/>
      <c r="F87" s="2"/>
      <c r="G87" s="2"/>
      <c r="H87" s="2"/>
      <c r="I87" s="2"/>
      <c r="J87" s="2"/>
      <c r="K87" s="2"/>
      <c r="L87" s="2"/>
      <c r="M87" s="2"/>
      <c r="N87" s="2"/>
      <c r="O87" s="2"/>
      <c r="P87" s="2"/>
      <c r="Q87" s="2"/>
      <c r="R87" s="2"/>
      <c r="S87" s="2"/>
      <c r="T87" s="2"/>
      <c r="U87" s="2"/>
      <c r="V87" s="2"/>
      <c r="W87" s="2"/>
      <c r="X87" s="2"/>
      <c r="Y87" s="2"/>
      <c r="Z87" s="2"/>
    </row>
    <row r="88" spans="1:26">
      <c r="A88" s="35"/>
      <c r="B88" s="4" t="s">
        <v>346</v>
      </c>
      <c r="C88" s="25"/>
      <c r="D88" s="2"/>
      <c r="E88" s="2"/>
      <c r="F88" s="2"/>
      <c r="G88" s="2"/>
      <c r="H88" s="2"/>
      <c r="I88" s="2"/>
      <c r="J88" s="2"/>
      <c r="K88" s="2"/>
      <c r="L88" s="2"/>
      <c r="M88" s="2"/>
      <c r="N88" s="2"/>
      <c r="O88" s="2"/>
      <c r="P88" s="2"/>
      <c r="Q88" s="2"/>
      <c r="R88" s="2"/>
      <c r="S88" s="2"/>
      <c r="T88" s="2"/>
      <c r="U88" s="2"/>
      <c r="V88" s="2"/>
      <c r="W88" s="2"/>
      <c r="X88" s="2"/>
      <c r="Y88" s="2"/>
      <c r="Z88" s="2"/>
    </row>
    <row r="89" spans="1:26">
      <c r="A89" s="35"/>
      <c r="B89" s="4" t="s">
        <v>347</v>
      </c>
      <c r="C89" s="25"/>
      <c r="D89" s="2"/>
      <c r="E89" s="2"/>
      <c r="F89" s="2"/>
      <c r="G89" s="2"/>
      <c r="H89" s="2"/>
      <c r="I89" s="2"/>
      <c r="J89" s="2"/>
      <c r="K89" s="2"/>
      <c r="L89" s="2"/>
      <c r="M89" s="2"/>
      <c r="N89" s="2"/>
      <c r="O89" s="2"/>
      <c r="P89" s="2"/>
      <c r="Q89" s="2"/>
      <c r="R89" s="2"/>
      <c r="S89" s="2"/>
      <c r="T89" s="2"/>
      <c r="U89" s="2"/>
      <c r="V89" s="2"/>
      <c r="W89" s="2"/>
      <c r="X89" s="2"/>
      <c r="Y89" s="2"/>
      <c r="Z89" s="2"/>
    </row>
    <row r="90" spans="1:26">
      <c r="A90" s="35"/>
      <c r="B90" s="4" t="s">
        <v>348</v>
      </c>
      <c r="C90" s="25"/>
      <c r="D90" s="2"/>
      <c r="E90" s="2"/>
      <c r="F90" s="2"/>
      <c r="G90" s="2"/>
      <c r="H90" s="2"/>
      <c r="I90" s="2"/>
      <c r="J90" s="2"/>
      <c r="K90" s="2"/>
      <c r="L90" s="2"/>
      <c r="M90" s="2"/>
      <c r="N90" s="2"/>
      <c r="O90" s="2"/>
      <c r="P90" s="2"/>
      <c r="Q90" s="2"/>
      <c r="R90" s="2"/>
      <c r="S90" s="2"/>
      <c r="T90" s="2"/>
      <c r="U90" s="2"/>
      <c r="V90" s="2"/>
      <c r="W90" s="2"/>
      <c r="X90" s="2"/>
      <c r="Y90" s="2"/>
      <c r="Z90" s="2"/>
    </row>
    <row r="91" spans="1:26">
      <c r="A91" s="35"/>
      <c r="B91" s="4" t="s">
        <v>349</v>
      </c>
      <c r="C91" s="25"/>
      <c r="D91" s="2"/>
      <c r="E91" s="2"/>
      <c r="F91" s="2"/>
      <c r="G91" s="2"/>
      <c r="H91" s="2"/>
      <c r="I91" s="2"/>
      <c r="J91" s="2"/>
      <c r="K91" s="2"/>
      <c r="L91" s="2"/>
      <c r="M91" s="2"/>
      <c r="N91" s="2"/>
      <c r="O91" s="2"/>
      <c r="P91" s="2"/>
      <c r="Q91" s="2"/>
      <c r="R91" s="2"/>
      <c r="S91" s="2"/>
      <c r="T91" s="2"/>
      <c r="U91" s="2"/>
      <c r="V91" s="2"/>
      <c r="W91" s="2"/>
      <c r="X91" s="2"/>
      <c r="Y91" s="2"/>
      <c r="Z91" s="2"/>
    </row>
    <row r="92" spans="1:26">
      <c r="A92" s="35"/>
      <c r="B92" s="4" t="s">
        <v>350</v>
      </c>
      <c r="C92" s="25"/>
      <c r="D92" s="2"/>
      <c r="E92" s="2"/>
      <c r="F92" s="2"/>
      <c r="G92" s="2"/>
      <c r="H92" s="2"/>
      <c r="I92" s="2"/>
      <c r="J92" s="2"/>
      <c r="K92" s="2"/>
      <c r="L92" s="2"/>
      <c r="M92" s="2"/>
      <c r="N92" s="2"/>
      <c r="O92" s="2"/>
      <c r="P92" s="2"/>
      <c r="Q92" s="2"/>
      <c r="R92" s="2"/>
      <c r="S92" s="2"/>
      <c r="T92" s="2"/>
      <c r="U92" s="2"/>
      <c r="V92" s="2"/>
      <c r="W92" s="2"/>
      <c r="X92" s="2"/>
      <c r="Y92" s="2"/>
      <c r="Z92" s="2"/>
    </row>
    <row r="93" spans="1:26">
      <c r="A93" s="35"/>
      <c r="B93" s="4" t="s">
        <v>351</v>
      </c>
      <c r="C93" s="25"/>
      <c r="D93" s="2"/>
      <c r="E93" s="2"/>
      <c r="F93" s="2"/>
      <c r="G93" s="2"/>
      <c r="H93" s="2"/>
      <c r="I93" s="2"/>
      <c r="J93" s="2"/>
      <c r="K93" s="2"/>
      <c r="L93" s="2"/>
      <c r="M93" s="2"/>
      <c r="N93" s="2"/>
      <c r="O93" s="2"/>
      <c r="P93" s="2"/>
      <c r="Q93" s="2"/>
      <c r="R93" s="2"/>
      <c r="S93" s="2"/>
      <c r="T93" s="2"/>
      <c r="U93" s="2"/>
      <c r="V93" s="2"/>
      <c r="W93" s="2"/>
      <c r="X93" s="2"/>
      <c r="Y93" s="2"/>
      <c r="Z93" s="2"/>
    </row>
    <row r="94" spans="1:26">
      <c r="A94" s="35"/>
      <c r="B94" s="4" t="s">
        <v>352</v>
      </c>
      <c r="C94" s="25"/>
      <c r="D94" s="2"/>
      <c r="E94" s="2"/>
      <c r="F94" s="2"/>
      <c r="G94" s="2"/>
      <c r="H94" s="2"/>
      <c r="I94" s="2"/>
      <c r="J94" s="2"/>
      <c r="K94" s="2"/>
      <c r="L94" s="2"/>
      <c r="M94" s="2"/>
      <c r="N94" s="2"/>
      <c r="O94" s="2"/>
      <c r="P94" s="2"/>
      <c r="Q94" s="2"/>
      <c r="R94" s="2"/>
      <c r="S94" s="2"/>
      <c r="T94" s="2"/>
      <c r="U94" s="2"/>
      <c r="V94" s="2"/>
      <c r="W94" s="2"/>
      <c r="X94" s="2"/>
      <c r="Y94" s="2"/>
      <c r="Z94" s="2"/>
    </row>
    <row r="95" spans="1:26">
      <c r="A95" s="36"/>
      <c r="B95" s="4" t="s">
        <v>353</v>
      </c>
      <c r="C95" s="26"/>
      <c r="D95" s="2"/>
      <c r="E95" s="2"/>
      <c r="F95" s="2"/>
      <c r="G95" s="2"/>
      <c r="H95" s="2"/>
      <c r="I95" s="2"/>
      <c r="J95" s="2"/>
      <c r="K95" s="2"/>
      <c r="L95" s="2"/>
      <c r="M95" s="2"/>
      <c r="N95" s="2"/>
      <c r="O95" s="2"/>
      <c r="P95" s="2"/>
      <c r="Q95" s="2"/>
      <c r="R95" s="2"/>
      <c r="S95" s="2"/>
      <c r="T95" s="2"/>
      <c r="U95" s="2"/>
      <c r="V95" s="2"/>
      <c r="W95" s="2"/>
      <c r="X95" s="2"/>
      <c r="Y95" s="2"/>
      <c r="Z95" s="2"/>
    </row>
    <row r="96" spans="1:26">
      <c r="A96" s="4"/>
      <c r="B96" s="4"/>
      <c r="C96" s="4"/>
      <c r="D96" s="2"/>
      <c r="E96" s="2"/>
      <c r="F96" s="2"/>
      <c r="G96" s="2"/>
      <c r="H96" s="2"/>
      <c r="I96" s="2"/>
      <c r="J96" s="2"/>
      <c r="K96" s="2"/>
      <c r="L96" s="2"/>
      <c r="M96" s="2"/>
      <c r="N96" s="2"/>
      <c r="O96" s="2"/>
      <c r="P96" s="2"/>
      <c r="Q96" s="2"/>
      <c r="R96" s="2"/>
      <c r="S96" s="2"/>
      <c r="T96" s="2"/>
      <c r="U96" s="2"/>
      <c r="V96" s="2"/>
      <c r="W96" s="2"/>
      <c r="X96" s="2"/>
      <c r="Y96" s="2"/>
      <c r="Z96" s="2"/>
    </row>
    <row r="97" spans="1:26">
      <c r="A97" s="4"/>
      <c r="B97" s="4"/>
      <c r="C97" s="4"/>
      <c r="D97" s="2"/>
      <c r="E97" s="2"/>
      <c r="F97" s="2"/>
      <c r="G97" s="2"/>
      <c r="H97" s="2"/>
      <c r="I97" s="2"/>
      <c r="J97" s="2"/>
      <c r="K97" s="2"/>
      <c r="L97" s="2"/>
      <c r="M97" s="2"/>
      <c r="N97" s="2"/>
      <c r="O97" s="2"/>
      <c r="P97" s="2"/>
      <c r="Q97" s="2"/>
      <c r="R97" s="2"/>
      <c r="S97" s="2"/>
      <c r="T97" s="2"/>
      <c r="U97" s="2"/>
      <c r="V97" s="2"/>
      <c r="W97" s="2"/>
      <c r="X97" s="2"/>
      <c r="Y97" s="2"/>
      <c r="Z97" s="2"/>
    </row>
    <row r="98" spans="1:26">
      <c r="A98" s="4"/>
      <c r="B98" s="4"/>
      <c r="C98" s="4"/>
      <c r="D98" s="2"/>
      <c r="E98" s="2"/>
      <c r="F98" s="2"/>
      <c r="G98" s="2"/>
      <c r="H98" s="2"/>
      <c r="I98" s="2"/>
      <c r="J98" s="2"/>
      <c r="K98" s="2"/>
      <c r="L98" s="2"/>
      <c r="M98" s="2"/>
      <c r="N98" s="2"/>
      <c r="O98" s="2"/>
      <c r="P98" s="2"/>
      <c r="Q98" s="2"/>
      <c r="R98" s="2"/>
      <c r="S98" s="2"/>
      <c r="T98" s="2"/>
      <c r="U98" s="2"/>
      <c r="V98" s="2"/>
      <c r="W98" s="2"/>
      <c r="X98" s="2"/>
      <c r="Y98" s="2"/>
      <c r="Z98" s="2"/>
    </row>
    <row r="99" spans="1:26">
      <c r="A99" s="4"/>
      <c r="B99" s="4"/>
      <c r="C99" s="4"/>
      <c r="D99" s="2"/>
      <c r="E99" s="2"/>
      <c r="F99" s="2"/>
      <c r="G99" s="2"/>
      <c r="H99" s="2"/>
      <c r="I99" s="2"/>
      <c r="J99" s="2"/>
      <c r="K99" s="2"/>
      <c r="L99" s="2"/>
      <c r="M99" s="2"/>
      <c r="N99" s="2"/>
      <c r="O99" s="2"/>
      <c r="P99" s="2"/>
      <c r="Q99" s="2"/>
      <c r="R99" s="2"/>
      <c r="S99" s="2"/>
      <c r="T99" s="2"/>
      <c r="U99" s="2"/>
      <c r="V99" s="2"/>
      <c r="W99" s="2"/>
      <c r="X99" s="2"/>
      <c r="Y99" s="2"/>
      <c r="Z99" s="2"/>
    </row>
    <row r="100" spans="1:26">
      <c r="A100" s="4"/>
      <c r="B100" s="4"/>
      <c r="C100" s="4"/>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4"/>
      <c r="B101" s="4"/>
      <c r="C101" s="4"/>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4"/>
      <c r="B102" s="4"/>
      <c r="C102" s="4"/>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4"/>
      <c r="B103" s="4"/>
      <c r="C103" s="4"/>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4"/>
      <c r="B104" s="4"/>
      <c r="C104" s="4"/>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4"/>
      <c r="B105" s="4"/>
      <c r="C105" s="4"/>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4"/>
      <c r="B106" s="4"/>
      <c r="C106" s="4"/>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4"/>
      <c r="B107" s="4"/>
      <c r="C107" s="4"/>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4"/>
      <c r="B108" s="4"/>
      <c r="C108" s="4"/>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4"/>
      <c r="B109" s="4"/>
      <c r="C109" s="4"/>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4"/>
      <c r="B110" s="4"/>
      <c r="C110" s="4"/>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4"/>
      <c r="B111" s="4"/>
      <c r="C111" s="4"/>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4"/>
      <c r="B112" s="4"/>
      <c r="C112" s="4"/>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4"/>
      <c r="B113" s="4"/>
      <c r="C113" s="4"/>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4"/>
      <c r="B114" s="4"/>
      <c r="C114" s="4"/>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4"/>
      <c r="B115" s="4"/>
      <c r="C115" s="4"/>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4"/>
      <c r="B116" s="4"/>
      <c r="C116" s="4"/>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4"/>
      <c r="B117" s="4"/>
      <c r="C117" s="4"/>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4"/>
      <c r="B118" s="4"/>
      <c r="C118" s="4"/>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4"/>
      <c r="B119" s="4"/>
      <c r="C119" s="4"/>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4"/>
      <c r="B120" s="4"/>
      <c r="C120" s="4"/>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4"/>
      <c r="B121" s="4"/>
      <c r="C121" s="4"/>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4"/>
      <c r="B122" s="4"/>
      <c r="C122" s="4"/>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4"/>
      <c r="B123" s="4"/>
      <c r="C123" s="4"/>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4"/>
      <c r="B124" s="4"/>
      <c r="C124" s="4"/>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4"/>
      <c r="B125" s="4"/>
      <c r="C125" s="4"/>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4"/>
      <c r="B126" s="4"/>
      <c r="C126" s="4"/>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4"/>
      <c r="B127" s="4"/>
      <c r="C127" s="4"/>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4"/>
      <c r="B128" s="4"/>
      <c r="C128" s="4"/>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4"/>
      <c r="B129" s="4"/>
      <c r="C129" s="4"/>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4"/>
      <c r="B130" s="4"/>
      <c r="C130" s="4"/>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4"/>
      <c r="B131" s="4"/>
      <c r="C131" s="4"/>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4"/>
      <c r="B132" s="4"/>
      <c r="C132" s="4"/>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4"/>
      <c r="B133" s="4"/>
      <c r="C133" s="4"/>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4"/>
      <c r="B134" s="4"/>
      <c r="C134" s="4"/>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4"/>
      <c r="B135" s="4"/>
      <c r="C135" s="4"/>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4"/>
      <c r="B136" s="4"/>
      <c r="C136" s="4"/>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4"/>
      <c r="B137" s="4"/>
      <c r="C137" s="4"/>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4"/>
      <c r="B138" s="4"/>
      <c r="C138" s="4"/>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4"/>
      <c r="B139" s="4"/>
      <c r="C139" s="4"/>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4"/>
      <c r="B140" s="4"/>
      <c r="C140" s="4"/>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4"/>
      <c r="B141" s="4"/>
      <c r="C141" s="4"/>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4"/>
      <c r="B142" s="4"/>
      <c r="C142" s="4"/>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4"/>
      <c r="B143" s="4"/>
      <c r="C143" s="4"/>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4"/>
      <c r="B144" s="4"/>
      <c r="C144" s="4"/>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4"/>
      <c r="B145" s="4"/>
      <c r="C145" s="4"/>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4"/>
      <c r="B146" s="4"/>
      <c r="C146" s="4"/>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4"/>
      <c r="B147" s="4"/>
      <c r="C147" s="4"/>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4"/>
      <c r="B148" s="4"/>
      <c r="C148" s="4"/>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4"/>
      <c r="B149" s="4"/>
      <c r="C149" s="4"/>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4"/>
      <c r="B150" s="4"/>
      <c r="C150" s="4"/>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4"/>
      <c r="B151" s="4"/>
      <c r="C151" s="4"/>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4"/>
      <c r="B152" s="4"/>
      <c r="C152" s="4"/>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4"/>
      <c r="B153" s="4"/>
      <c r="C153" s="4"/>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4"/>
      <c r="B154" s="4"/>
      <c r="C154" s="4"/>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4"/>
      <c r="B155" s="4"/>
      <c r="C155" s="4"/>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4"/>
      <c r="B156" s="4"/>
      <c r="C156" s="4"/>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4"/>
      <c r="B157" s="4"/>
      <c r="C157" s="4"/>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4"/>
      <c r="B158" s="4"/>
      <c r="C158" s="4"/>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4"/>
      <c r="B159" s="4"/>
      <c r="C159" s="4"/>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4"/>
      <c r="B160" s="4"/>
      <c r="C160" s="4"/>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4"/>
      <c r="B161" s="4"/>
      <c r="C161" s="4"/>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4"/>
      <c r="B162" s="4"/>
      <c r="C162" s="4"/>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4"/>
      <c r="B163" s="4"/>
      <c r="C163" s="4"/>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4"/>
      <c r="B164" s="4"/>
      <c r="C164" s="4"/>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4"/>
      <c r="B165" s="4"/>
      <c r="C165" s="4"/>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4"/>
      <c r="B166" s="4"/>
      <c r="C166" s="4"/>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4"/>
      <c r="B167" s="4"/>
      <c r="C167" s="4"/>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4"/>
      <c r="B168" s="4"/>
      <c r="C168" s="4"/>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4"/>
      <c r="B169" s="4"/>
      <c r="C169" s="4"/>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4"/>
      <c r="B170" s="4"/>
      <c r="C170" s="4"/>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4"/>
      <c r="B171" s="4"/>
      <c r="C171" s="4"/>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4"/>
      <c r="B172" s="4"/>
      <c r="C172" s="4"/>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4"/>
      <c r="B173" s="4"/>
      <c r="C173" s="4"/>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4"/>
      <c r="B174" s="4"/>
      <c r="C174" s="4"/>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4"/>
      <c r="B175" s="4"/>
      <c r="C175" s="4"/>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4"/>
      <c r="B176" s="4"/>
      <c r="C176" s="4"/>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4"/>
      <c r="B177" s="4"/>
      <c r="C177" s="4"/>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4"/>
      <c r="B178" s="4"/>
      <c r="C178" s="4"/>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4"/>
      <c r="B179" s="4"/>
      <c r="C179" s="4"/>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4"/>
      <c r="B180" s="4"/>
      <c r="C180" s="4"/>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4"/>
      <c r="B181" s="4"/>
      <c r="C181" s="4"/>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4"/>
      <c r="B182" s="4"/>
      <c r="C182" s="4"/>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4"/>
      <c r="B183" s="4"/>
      <c r="C183" s="4"/>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4"/>
      <c r="B184" s="4"/>
      <c r="C184" s="4"/>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4"/>
      <c r="B185" s="4"/>
      <c r="C185" s="4"/>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4"/>
      <c r="B186" s="4"/>
      <c r="C186" s="4"/>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4"/>
      <c r="B187" s="4"/>
      <c r="C187" s="4"/>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4"/>
      <c r="B188" s="4"/>
      <c r="C188" s="4"/>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4"/>
      <c r="B189" s="4"/>
      <c r="C189" s="4"/>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4"/>
      <c r="B190" s="4"/>
      <c r="C190" s="4"/>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4"/>
      <c r="B191" s="4"/>
      <c r="C191" s="4"/>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4"/>
      <c r="B192" s="4"/>
      <c r="C192" s="4"/>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4"/>
      <c r="B193" s="4"/>
      <c r="C193" s="4"/>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4"/>
      <c r="B194" s="4"/>
      <c r="C194" s="4"/>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4"/>
      <c r="B195" s="4"/>
      <c r="C195" s="4"/>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4"/>
      <c r="B196" s="4"/>
      <c r="C196" s="4"/>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4"/>
      <c r="B197" s="4"/>
      <c r="C197" s="4"/>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4"/>
      <c r="B198" s="4"/>
      <c r="C198" s="4"/>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4"/>
      <c r="B199" s="4"/>
      <c r="C199" s="4"/>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4"/>
      <c r="B200" s="4"/>
      <c r="C200" s="4"/>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4"/>
      <c r="B201" s="4"/>
      <c r="C201" s="4"/>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4"/>
      <c r="B202" s="4"/>
      <c r="C202" s="4"/>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4"/>
      <c r="B203" s="4"/>
      <c r="C203" s="4"/>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4"/>
      <c r="B204" s="4"/>
      <c r="C204" s="4"/>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4"/>
      <c r="B205" s="4"/>
      <c r="C205" s="4"/>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4"/>
      <c r="B206" s="4"/>
      <c r="C206" s="4"/>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4"/>
      <c r="B207" s="4"/>
      <c r="C207" s="4"/>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4"/>
      <c r="B208" s="4"/>
      <c r="C208" s="4"/>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4"/>
      <c r="B209" s="4"/>
      <c r="C209" s="4"/>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4"/>
      <c r="B210" s="4"/>
      <c r="C210" s="4"/>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4"/>
      <c r="B211" s="4"/>
      <c r="C211" s="4"/>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4"/>
      <c r="B212" s="4"/>
      <c r="C212" s="4"/>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4"/>
      <c r="B213" s="4"/>
      <c r="C213" s="4"/>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4"/>
      <c r="B214" s="4"/>
      <c r="C214" s="4"/>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4"/>
      <c r="B215" s="4"/>
      <c r="C215" s="4"/>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4"/>
      <c r="B216" s="4"/>
      <c r="C216" s="4"/>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4"/>
      <c r="B217" s="4"/>
      <c r="C217" s="4"/>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4"/>
      <c r="B218" s="4"/>
      <c r="C218" s="4"/>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4"/>
      <c r="B219" s="4"/>
      <c r="C219" s="4"/>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4"/>
      <c r="B220" s="4"/>
      <c r="C220" s="4"/>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4"/>
      <c r="B221" s="4"/>
      <c r="C221" s="4"/>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4"/>
      <c r="B222" s="4"/>
      <c r="C222" s="4"/>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4"/>
      <c r="B223" s="4"/>
      <c r="C223" s="4"/>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4"/>
      <c r="B224" s="4"/>
      <c r="C224" s="4"/>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4"/>
      <c r="B225" s="4"/>
      <c r="C225" s="4"/>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4"/>
      <c r="B226" s="4"/>
      <c r="C226" s="4"/>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4"/>
      <c r="B227" s="4"/>
      <c r="C227" s="4"/>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4"/>
      <c r="B228" s="4"/>
      <c r="C228" s="4"/>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4"/>
      <c r="B229" s="4"/>
      <c r="C229" s="4"/>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4"/>
      <c r="B230" s="4"/>
      <c r="C230" s="4"/>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4"/>
      <c r="B231" s="4"/>
      <c r="C231" s="4"/>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4"/>
      <c r="B232" s="4"/>
      <c r="C232" s="4"/>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4"/>
      <c r="B233" s="4"/>
      <c r="C233" s="4"/>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4"/>
      <c r="B234" s="4"/>
      <c r="C234" s="4"/>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4"/>
      <c r="B235" s="4"/>
      <c r="C235" s="4"/>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4"/>
      <c r="B236" s="4"/>
      <c r="C236" s="4"/>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4"/>
      <c r="B237" s="4"/>
      <c r="C237" s="4"/>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4"/>
      <c r="B238" s="4"/>
      <c r="C238" s="4"/>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4"/>
      <c r="B239" s="4"/>
      <c r="C239" s="4"/>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4"/>
      <c r="B240" s="4"/>
      <c r="C240" s="4"/>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4"/>
      <c r="B241" s="4"/>
      <c r="C241" s="4"/>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4"/>
      <c r="B242" s="4"/>
      <c r="C242" s="4"/>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4"/>
      <c r="B243" s="4"/>
      <c r="C243" s="4"/>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4"/>
      <c r="B244" s="4"/>
      <c r="C244" s="4"/>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4"/>
      <c r="B245" s="4"/>
      <c r="C245" s="4"/>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4"/>
      <c r="B246" s="4"/>
      <c r="C246" s="4"/>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4"/>
      <c r="B247" s="4"/>
      <c r="C247" s="4"/>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4"/>
      <c r="B248" s="4"/>
      <c r="C248" s="4"/>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4"/>
      <c r="B249" s="4"/>
      <c r="C249" s="4"/>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4"/>
      <c r="B250" s="4"/>
      <c r="C250" s="4"/>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4"/>
      <c r="B251" s="4"/>
      <c r="C251" s="4"/>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4"/>
      <c r="B252" s="4"/>
      <c r="C252" s="4"/>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4"/>
      <c r="B253" s="4"/>
      <c r="C253" s="4"/>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4"/>
      <c r="B254" s="4"/>
      <c r="C254" s="4"/>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4"/>
      <c r="B255" s="4"/>
      <c r="C255" s="4"/>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4"/>
      <c r="B256" s="4"/>
      <c r="C256" s="4"/>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4"/>
      <c r="B257" s="4"/>
      <c r="C257" s="4"/>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4"/>
      <c r="B258" s="4"/>
      <c r="C258" s="4"/>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4"/>
      <c r="B259" s="4"/>
      <c r="C259" s="4"/>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4"/>
      <c r="B260" s="4"/>
      <c r="C260" s="4"/>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4"/>
      <c r="B261" s="4"/>
      <c r="C261" s="4"/>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4"/>
      <c r="B262" s="4"/>
      <c r="C262" s="4"/>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4"/>
      <c r="B263" s="4"/>
      <c r="C263" s="4"/>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4"/>
      <c r="B264" s="4"/>
      <c r="C264" s="4"/>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4"/>
      <c r="B265" s="4"/>
      <c r="C265" s="4"/>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4"/>
      <c r="B266" s="4"/>
      <c r="C266" s="4"/>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4"/>
      <c r="B267" s="4"/>
      <c r="C267" s="4"/>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4"/>
      <c r="B268" s="4"/>
      <c r="C268" s="4"/>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4"/>
      <c r="B269" s="4"/>
      <c r="C269" s="4"/>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4"/>
      <c r="B270" s="4"/>
      <c r="C270" s="4"/>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4"/>
      <c r="B271" s="4"/>
      <c r="C271" s="4"/>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4"/>
      <c r="B272" s="4"/>
      <c r="C272" s="4"/>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4"/>
      <c r="B273" s="4"/>
      <c r="C273" s="4"/>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4"/>
      <c r="B274" s="4"/>
      <c r="C274" s="4"/>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4"/>
      <c r="B275" s="4"/>
      <c r="C275" s="4"/>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4"/>
      <c r="B276" s="4"/>
      <c r="C276" s="4"/>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4"/>
      <c r="B277" s="4"/>
      <c r="C277" s="4"/>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4"/>
      <c r="B278" s="4"/>
      <c r="C278" s="4"/>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4"/>
      <c r="B279" s="4"/>
      <c r="C279" s="4"/>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4"/>
      <c r="B280" s="4"/>
      <c r="C280" s="4"/>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4"/>
      <c r="B281" s="4"/>
      <c r="C281" s="4"/>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4"/>
      <c r="B282" s="4"/>
      <c r="C282" s="4"/>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4"/>
      <c r="B283" s="4"/>
      <c r="C283" s="4"/>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4"/>
      <c r="B284" s="4"/>
      <c r="C284" s="4"/>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4"/>
      <c r="B285" s="4"/>
      <c r="C285" s="4"/>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4"/>
      <c r="B286" s="4"/>
      <c r="C286" s="4"/>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4"/>
      <c r="B287" s="4"/>
      <c r="C287" s="4"/>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4"/>
      <c r="B288" s="4"/>
      <c r="C288" s="4"/>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4"/>
      <c r="B289" s="4"/>
      <c r="C289" s="4"/>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4"/>
      <c r="B290" s="4"/>
      <c r="C290" s="4"/>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4"/>
      <c r="B291" s="4"/>
      <c r="C291" s="4"/>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4"/>
      <c r="B292" s="4"/>
      <c r="C292" s="4"/>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4"/>
      <c r="B293" s="4"/>
      <c r="C293" s="4"/>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4"/>
      <c r="B294" s="4"/>
      <c r="C294" s="4"/>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4"/>
      <c r="B295" s="4"/>
      <c r="C295" s="4"/>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4"/>
      <c r="B296" s="4"/>
      <c r="C296" s="4"/>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4"/>
      <c r="B297" s="4"/>
      <c r="C297" s="4"/>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4"/>
      <c r="B298" s="4"/>
      <c r="C298" s="4"/>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4"/>
      <c r="B299" s="4"/>
      <c r="C299" s="4"/>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4"/>
      <c r="B300" s="4"/>
      <c r="C300" s="4"/>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4"/>
      <c r="B301" s="4"/>
      <c r="C301" s="4"/>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4"/>
      <c r="B302" s="4"/>
      <c r="C302" s="4"/>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4"/>
      <c r="B303" s="4"/>
      <c r="C303" s="4"/>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4"/>
      <c r="B304" s="4"/>
      <c r="C304" s="4"/>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4"/>
      <c r="B305" s="4"/>
      <c r="C305" s="4"/>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4"/>
      <c r="B306" s="4"/>
      <c r="C306" s="4"/>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4"/>
      <c r="B307" s="4"/>
      <c r="C307" s="4"/>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4"/>
      <c r="B308" s="4"/>
      <c r="C308" s="4"/>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4"/>
      <c r="B309" s="4"/>
      <c r="C309" s="4"/>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4"/>
      <c r="B310" s="4"/>
      <c r="C310" s="4"/>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4"/>
      <c r="B311" s="4"/>
      <c r="C311" s="4"/>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4"/>
      <c r="B312" s="4"/>
      <c r="C312" s="4"/>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4"/>
      <c r="B313" s="4"/>
      <c r="C313" s="4"/>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4"/>
      <c r="B314" s="4"/>
      <c r="C314" s="4"/>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4"/>
      <c r="B315" s="4"/>
      <c r="C315" s="4"/>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4"/>
      <c r="B316" s="4"/>
      <c r="C316" s="4"/>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4"/>
      <c r="B317" s="4"/>
      <c r="C317" s="4"/>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4"/>
      <c r="B318" s="4"/>
      <c r="C318" s="4"/>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4"/>
      <c r="B319" s="4"/>
      <c r="C319" s="4"/>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4"/>
      <c r="B320" s="4"/>
      <c r="C320" s="4"/>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4"/>
      <c r="B321" s="4"/>
      <c r="C321" s="4"/>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4"/>
      <c r="B322" s="4"/>
      <c r="C322" s="4"/>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4"/>
      <c r="B323" s="4"/>
      <c r="C323" s="4"/>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4"/>
      <c r="B324" s="4"/>
      <c r="C324" s="4"/>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4"/>
      <c r="B325" s="4"/>
      <c r="C325" s="4"/>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4"/>
      <c r="B326" s="4"/>
      <c r="C326" s="4"/>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4"/>
      <c r="B327" s="4"/>
      <c r="C327" s="4"/>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4"/>
      <c r="B328" s="4"/>
      <c r="C328" s="4"/>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4"/>
      <c r="B329" s="4"/>
      <c r="C329" s="4"/>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4"/>
      <c r="B330" s="4"/>
      <c r="C330" s="4"/>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4"/>
      <c r="B331" s="4"/>
      <c r="C331" s="4"/>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4"/>
      <c r="B332" s="4"/>
      <c r="C332" s="4"/>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4"/>
      <c r="B333" s="4"/>
      <c r="C333" s="4"/>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4"/>
      <c r="B334" s="4"/>
      <c r="C334" s="4"/>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4"/>
      <c r="B335" s="4"/>
      <c r="C335" s="4"/>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4"/>
      <c r="B336" s="4"/>
      <c r="C336" s="4"/>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4"/>
      <c r="B337" s="4"/>
      <c r="C337" s="4"/>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4"/>
      <c r="B338" s="4"/>
      <c r="C338" s="4"/>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4"/>
      <c r="B339" s="4"/>
      <c r="C339" s="4"/>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4"/>
      <c r="B340" s="4"/>
      <c r="C340" s="4"/>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4"/>
      <c r="B341" s="4"/>
      <c r="C341" s="4"/>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4"/>
      <c r="B342" s="4"/>
      <c r="C342" s="4"/>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4"/>
      <c r="B343" s="4"/>
      <c r="C343" s="4"/>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4"/>
      <c r="B344" s="4"/>
      <c r="C344" s="4"/>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4"/>
      <c r="B345" s="4"/>
      <c r="C345" s="4"/>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4"/>
      <c r="B346" s="4"/>
      <c r="C346" s="4"/>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4"/>
      <c r="B347" s="4"/>
      <c r="C347" s="4"/>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4"/>
      <c r="B348" s="4"/>
      <c r="C348" s="4"/>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4"/>
      <c r="B349" s="4"/>
      <c r="C349" s="4"/>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4"/>
      <c r="B350" s="4"/>
      <c r="C350" s="4"/>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4"/>
      <c r="B351" s="4"/>
      <c r="C351" s="4"/>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4"/>
      <c r="B352" s="4"/>
      <c r="C352" s="4"/>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4"/>
      <c r="B353" s="4"/>
      <c r="C353" s="4"/>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4"/>
      <c r="B354" s="4"/>
      <c r="C354" s="4"/>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4"/>
      <c r="B355" s="4"/>
      <c r="C355" s="4"/>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4"/>
      <c r="B356" s="4"/>
      <c r="C356" s="4"/>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4"/>
      <c r="B357" s="4"/>
      <c r="C357" s="4"/>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4"/>
      <c r="B358" s="4"/>
      <c r="C358" s="4"/>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4"/>
      <c r="B359" s="4"/>
      <c r="C359" s="4"/>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4"/>
      <c r="B360" s="4"/>
      <c r="C360" s="4"/>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4"/>
      <c r="B361" s="4"/>
      <c r="C361" s="4"/>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4"/>
      <c r="B362" s="4"/>
      <c r="C362" s="4"/>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4"/>
      <c r="B363" s="4"/>
      <c r="C363" s="4"/>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4"/>
      <c r="B364" s="4"/>
      <c r="C364" s="4"/>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4"/>
      <c r="B365" s="4"/>
      <c r="C365" s="4"/>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4"/>
      <c r="B366" s="4"/>
      <c r="C366" s="4"/>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4"/>
      <c r="B367" s="4"/>
      <c r="C367" s="4"/>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4"/>
      <c r="B368" s="4"/>
      <c r="C368" s="4"/>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4"/>
      <c r="B369" s="4"/>
      <c r="C369" s="4"/>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4"/>
      <c r="B370" s="4"/>
      <c r="C370" s="4"/>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4"/>
      <c r="B371" s="4"/>
      <c r="C371" s="4"/>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4"/>
      <c r="B372" s="4"/>
      <c r="C372" s="4"/>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4"/>
      <c r="B373" s="4"/>
      <c r="C373" s="4"/>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4"/>
      <c r="B374" s="4"/>
      <c r="C374" s="4"/>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4"/>
      <c r="B375" s="4"/>
      <c r="C375" s="4"/>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4"/>
      <c r="B376" s="4"/>
      <c r="C376" s="4"/>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4"/>
      <c r="B377" s="4"/>
      <c r="C377" s="4"/>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4"/>
      <c r="B378" s="4"/>
      <c r="C378" s="4"/>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4"/>
      <c r="B379" s="4"/>
      <c r="C379" s="4"/>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4"/>
      <c r="B380" s="4"/>
      <c r="C380" s="4"/>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4"/>
      <c r="B381" s="4"/>
      <c r="C381" s="4"/>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4"/>
      <c r="B382" s="4"/>
      <c r="C382" s="4"/>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4"/>
      <c r="B383" s="4"/>
      <c r="C383" s="4"/>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4"/>
      <c r="B384" s="4"/>
      <c r="C384" s="4"/>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4"/>
      <c r="B385" s="4"/>
      <c r="C385" s="4"/>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4"/>
      <c r="B386" s="4"/>
      <c r="C386" s="4"/>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4"/>
      <c r="B387" s="4"/>
      <c r="C387" s="4"/>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4"/>
      <c r="B388" s="4"/>
      <c r="C388" s="4"/>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4"/>
      <c r="B389" s="4"/>
      <c r="C389" s="4"/>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4"/>
      <c r="B390" s="4"/>
      <c r="C390" s="4"/>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4"/>
      <c r="B391" s="4"/>
      <c r="C391" s="4"/>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4"/>
      <c r="B392" s="4"/>
      <c r="C392" s="4"/>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4"/>
      <c r="B393" s="4"/>
      <c r="C393" s="4"/>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4"/>
      <c r="B394" s="4"/>
      <c r="C394" s="4"/>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4"/>
      <c r="B395" s="4"/>
      <c r="C395" s="4"/>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4"/>
      <c r="B396" s="4"/>
      <c r="C396" s="4"/>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4"/>
      <c r="B397" s="4"/>
      <c r="C397" s="4"/>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4"/>
      <c r="B398" s="4"/>
      <c r="C398" s="4"/>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4"/>
      <c r="B399" s="4"/>
      <c r="C399" s="4"/>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4"/>
      <c r="B400" s="4"/>
      <c r="C400" s="4"/>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4"/>
      <c r="B401" s="4"/>
      <c r="C401" s="4"/>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4"/>
      <c r="B402" s="4"/>
      <c r="C402" s="4"/>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4"/>
      <c r="B403" s="4"/>
      <c r="C403" s="4"/>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4"/>
      <c r="B404" s="4"/>
      <c r="C404" s="4"/>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4"/>
      <c r="B405" s="4"/>
      <c r="C405" s="4"/>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4"/>
      <c r="B406" s="4"/>
      <c r="C406" s="4"/>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4"/>
      <c r="B407" s="4"/>
      <c r="C407" s="4"/>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4"/>
      <c r="B408" s="4"/>
      <c r="C408" s="4"/>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4"/>
      <c r="B409" s="4"/>
      <c r="C409" s="4"/>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4"/>
      <c r="B410" s="4"/>
      <c r="C410" s="4"/>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4"/>
      <c r="B411" s="4"/>
      <c r="C411" s="4"/>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4"/>
      <c r="B412" s="4"/>
      <c r="C412" s="4"/>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4"/>
      <c r="B413" s="4"/>
      <c r="C413" s="4"/>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4"/>
      <c r="B414" s="4"/>
      <c r="C414" s="4"/>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4"/>
      <c r="B415" s="4"/>
      <c r="C415" s="4"/>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4"/>
      <c r="B416" s="4"/>
      <c r="C416" s="4"/>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4"/>
      <c r="B417" s="4"/>
      <c r="C417" s="4"/>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4"/>
      <c r="B418" s="4"/>
      <c r="C418" s="4"/>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4"/>
      <c r="B419" s="4"/>
      <c r="C419" s="4"/>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4"/>
      <c r="B420" s="4"/>
      <c r="C420" s="4"/>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4"/>
      <c r="B421" s="4"/>
      <c r="C421" s="4"/>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4"/>
      <c r="B422" s="4"/>
      <c r="C422" s="4"/>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4"/>
      <c r="B423" s="4"/>
      <c r="C423" s="4"/>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4"/>
      <c r="B424" s="4"/>
      <c r="C424" s="4"/>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4"/>
      <c r="B425" s="4"/>
      <c r="C425" s="4"/>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4"/>
      <c r="B426" s="4"/>
      <c r="C426" s="4"/>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4"/>
      <c r="B427" s="4"/>
      <c r="C427" s="4"/>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4"/>
      <c r="B428" s="4"/>
      <c r="C428" s="4"/>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4"/>
      <c r="B429" s="4"/>
      <c r="C429" s="4"/>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4"/>
      <c r="B430" s="4"/>
      <c r="C430" s="4"/>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4"/>
      <c r="B431" s="4"/>
      <c r="C431" s="4"/>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4"/>
      <c r="B432" s="4"/>
      <c r="C432" s="4"/>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4"/>
      <c r="B433" s="4"/>
      <c r="C433" s="4"/>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4"/>
      <c r="B434" s="4"/>
      <c r="C434" s="4"/>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4"/>
      <c r="B435" s="4"/>
      <c r="C435" s="4"/>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4"/>
      <c r="B436" s="4"/>
      <c r="C436" s="4"/>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4"/>
      <c r="B437" s="4"/>
      <c r="C437" s="4"/>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4"/>
      <c r="B438" s="4"/>
      <c r="C438" s="4"/>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4"/>
      <c r="B439" s="4"/>
      <c r="C439" s="4"/>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4"/>
      <c r="B440" s="4"/>
      <c r="C440" s="4"/>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4"/>
      <c r="B441" s="4"/>
      <c r="C441" s="4"/>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4"/>
      <c r="B442" s="4"/>
      <c r="C442" s="4"/>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4"/>
      <c r="B443" s="4"/>
      <c r="C443" s="4"/>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4"/>
      <c r="B444" s="4"/>
      <c r="C444" s="4"/>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4"/>
      <c r="B445" s="4"/>
      <c r="C445" s="4"/>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4"/>
      <c r="B446" s="4"/>
      <c r="C446" s="4"/>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4"/>
      <c r="B447" s="4"/>
      <c r="C447" s="4"/>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4"/>
      <c r="B448" s="4"/>
      <c r="C448" s="4"/>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4"/>
      <c r="B449" s="4"/>
      <c r="C449" s="4"/>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4"/>
      <c r="B450" s="4"/>
      <c r="C450" s="4"/>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4"/>
      <c r="B451" s="4"/>
      <c r="C451" s="4"/>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4"/>
      <c r="B452" s="4"/>
      <c r="C452" s="4"/>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4"/>
      <c r="B453" s="4"/>
      <c r="C453" s="4"/>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4"/>
      <c r="B454" s="4"/>
      <c r="C454" s="4"/>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4"/>
      <c r="B455" s="4"/>
      <c r="C455" s="4"/>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4"/>
      <c r="B456" s="4"/>
      <c r="C456" s="4"/>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4"/>
      <c r="B457" s="4"/>
      <c r="C457" s="4"/>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4"/>
      <c r="B458" s="4"/>
      <c r="C458" s="4"/>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4"/>
      <c r="B459" s="4"/>
      <c r="C459" s="4"/>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4"/>
      <c r="B460" s="4"/>
      <c r="C460" s="4"/>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4"/>
      <c r="B461" s="4"/>
      <c r="C461" s="4"/>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4"/>
      <c r="B462" s="4"/>
      <c r="C462" s="4"/>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4"/>
      <c r="B463" s="4"/>
      <c r="C463" s="4"/>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4"/>
      <c r="B464" s="4"/>
      <c r="C464" s="4"/>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4"/>
      <c r="B465" s="4"/>
      <c r="C465" s="4"/>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4"/>
      <c r="B466" s="4"/>
      <c r="C466" s="4"/>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4"/>
      <c r="B467" s="4"/>
      <c r="C467" s="4"/>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4"/>
      <c r="B468" s="4"/>
      <c r="C468" s="4"/>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4"/>
      <c r="B469" s="4"/>
      <c r="C469" s="4"/>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4"/>
      <c r="B470" s="4"/>
      <c r="C470" s="4"/>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4"/>
      <c r="B471" s="4"/>
      <c r="C471" s="4"/>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4"/>
      <c r="B472" s="4"/>
      <c r="C472" s="4"/>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4"/>
      <c r="B473" s="4"/>
      <c r="C473" s="4"/>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4"/>
      <c r="B474" s="4"/>
      <c r="C474" s="4"/>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4"/>
      <c r="B475" s="4"/>
      <c r="C475" s="4"/>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4"/>
      <c r="B476" s="4"/>
      <c r="C476" s="4"/>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4"/>
      <c r="B477" s="4"/>
      <c r="C477" s="4"/>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4"/>
      <c r="B478" s="4"/>
      <c r="C478" s="4"/>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4"/>
      <c r="B479" s="4"/>
      <c r="C479" s="4"/>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4"/>
      <c r="B480" s="4"/>
      <c r="C480" s="4"/>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4"/>
      <c r="B481" s="4"/>
      <c r="C481" s="4"/>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4"/>
      <c r="B482" s="4"/>
      <c r="C482" s="4"/>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4"/>
      <c r="B483" s="4"/>
      <c r="C483" s="4"/>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4"/>
      <c r="B484" s="4"/>
      <c r="C484" s="4"/>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4"/>
      <c r="B485" s="4"/>
      <c r="C485" s="4"/>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4"/>
      <c r="B486" s="4"/>
      <c r="C486" s="4"/>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4"/>
      <c r="B487" s="4"/>
      <c r="C487" s="4"/>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4"/>
      <c r="B488" s="4"/>
      <c r="C488" s="4"/>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4"/>
      <c r="B489" s="4"/>
      <c r="C489" s="4"/>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4"/>
      <c r="B490" s="4"/>
      <c r="C490" s="4"/>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4"/>
      <c r="B491" s="4"/>
      <c r="C491" s="4"/>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4"/>
      <c r="B492" s="4"/>
      <c r="C492" s="4"/>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4"/>
      <c r="B493" s="4"/>
      <c r="C493" s="4"/>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4"/>
      <c r="B494" s="4"/>
      <c r="C494" s="4"/>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4"/>
      <c r="B495" s="4"/>
      <c r="C495" s="4"/>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4"/>
      <c r="B496" s="4"/>
      <c r="C496" s="4"/>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4"/>
      <c r="B497" s="4"/>
      <c r="C497" s="4"/>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4"/>
      <c r="B498" s="4"/>
      <c r="C498" s="4"/>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4"/>
      <c r="B499" s="4"/>
      <c r="C499" s="4"/>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4"/>
      <c r="B500" s="4"/>
      <c r="C500" s="4"/>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4"/>
      <c r="B501" s="4"/>
      <c r="C501" s="4"/>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4"/>
      <c r="B502" s="4"/>
      <c r="C502" s="4"/>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4"/>
      <c r="B503" s="4"/>
      <c r="C503" s="4"/>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4"/>
      <c r="B504" s="4"/>
      <c r="C504" s="4"/>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4"/>
      <c r="B505" s="4"/>
      <c r="C505" s="4"/>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4"/>
      <c r="B506" s="4"/>
      <c r="C506" s="4"/>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4"/>
      <c r="B507" s="4"/>
      <c r="C507" s="4"/>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4"/>
      <c r="B508" s="4"/>
      <c r="C508" s="4"/>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4"/>
      <c r="B509" s="4"/>
      <c r="C509" s="4"/>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4"/>
      <c r="B510" s="4"/>
      <c r="C510" s="4"/>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4"/>
      <c r="B511" s="4"/>
      <c r="C511" s="4"/>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4"/>
      <c r="B512" s="4"/>
      <c r="C512" s="4"/>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4"/>
      <c r="B513" s="4"/>
      <c r="C513" s="4"/>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4"/>
      <c r="B514" s="4"/>
      <c r="C514" s="4"/>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4"/>
      <c r="B515" s="4"/>
      <c r="C515" s="4"/>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4"/>
      <c r="B516" s="4"/>
      <c r="C516" s="4"/>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4"/>
      <c r="B517" s="4"/>
      <c r="C517" s="4"/>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4"/>
      <c r="B518" s="4"/>
      <c r="C518" s="4"/>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4"/>
      <c r="B519" s="4"/>
      <c r="C519" s="4"/>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4"/>
      <c r="B520" s="4"/>
      <c r="C520" s="4"/>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4"/>
      <c r="B521" s="4"/>
      <c r="C521" s="4"/>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4"/>
      <c r="B522" s="4"/>
      <c r="C522" s="4"/>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4"/>
      <c r="B523" s="4"/>
      <c r="C523" s="4"/>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4"/>
      <c r="B524" s="4"/>
      <c r="C524" s="4"/>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4"/>
      <c r="B525" s="4"/>
      <c r="C525" s="4"/>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4"/>
      <c r="B526" s="4"/>
      <c r="C526" s="4"/>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4"/>
      <c r="B527" s="4"/>
      <c r="C527" s="4"/>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4"/>
      <c r="B528" s="4"/>
      <c r="C528" s="4"/>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4"/>
      <c r="B529" s="4"/>
      <c r="C529" s="4"/>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4"/>
      <c r="B530" s="4"/>
      <c r="C530" s="4"/>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4"/>
      <c r="B531" s="4"/>
      <c r="C531" s="4"/>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4"/>
      <c r="B532" s="4"/>
      <c r="C532" s="4"/>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4"/>
      <c r="B533" s="4"/>
      <c r="C533" s="4"/>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4"/>
      <c r="B534" s="4"/>
      <c r="C534" s="4"/>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4"/>
      <c r="B535" s="4"/>
      <c r="C535" s="4"/>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4"/>
      <c r="B536" s="4"/>
      <c r="C536" s="4"/>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4"/>
      <c r="B537" s="4"/>
      <c r="C537" s="4"/>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4"/>
      <c r="B538" s="4"/>
      <c r="C538" s="4"/>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4"/>
      <c r="B539" s="4"/>
      <c r="C539" s="4"/>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4"/>
      <c r="B540" s="4"/>
      <c r="C540" s="4"/>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4"/>
      <c r="B541" s="4"/>
      <c r="C541" s="4"/>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4"/>
      <c r="B542" s="4"/>
      <c r="C542" s="4"/>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4"/>
      <c r="B543" s="4"/>
      <c r="C543" s="4"/>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4"/>
      <c r="B544" s="4"/>
      <c r="C544" s="4"/>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4"/>
      <c r="B545" s="4"/>
      <c r="C545" s="4"/>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4"/>
      <c r="B546" s="4"/>
      <c r="C546" s="4"/>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4"/>
      <c r="B547" s="4"/>
      <c r="C547" s="4"/>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4"/>
      <c r="B548" s="4"/>
      <c r="C548" s="4"/>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4"/>
      <c r="B549" s="4"/>
      <c r="C549" s="4"/>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4"/>
      <c r="B550" s="4"/>
      <c r="C550" s="4"/>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4"/>
      <c r="B551" s="4"/>
      <c r="C551" s="4"/>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4"/>
      <c r="B552" s="4"/>
      <c r="C552" s="4"/>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4"/>
      <c r="B553" s="4"/>
      <c r="C553" s="4"/>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4"/>
      <c r="B554" s="4"/>
      <c r="C554" s="4"/>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4"/>
      <c r="B555" s="4"/>
      <c r="C555" s="4"/>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4"/>
      <c r="B556" s="4"/>
      <c r="C556" s="4"/>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4"/>
      <c r="B557" s="4"/>
      <c r="C557" s="4"/>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4"/>
      <c r="B558" s="4"/>
      <c r="C558" s="4"/>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4"/>
      <c r="B559" s="4"/>
      <c r="C559" s="4"/>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4"/>
      <c r="B560" s="4"/>
      <c r="C560" s="4"/>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4"/>
      <c r="B561" s="4"/>
      <c r="C561" s="4"/>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4"/>
      <c r="B562" s="4"/>
      <c r="C562" s="4"/>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4"/>
      <c r="B563" s="4"/>
      <c r="C563" s="4"/>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4"/>
      <c r="B564" s="4"/>
      <c r="C564" s="4"/>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4"/>
      <c r="B565" s="4"/>
      <c r="C565" s="4"/>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4"/>
      <c r="B566" s="4"/>
      <c r="C566" s="4"/>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4"/>
      <c r="B567" s="4"/>
      <c r="C567" s="4"/>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4"/>
      <c r="B568" s="4"/>
      <c r="C568" s="4"/>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4"/>
      <c r="B569" s="4"/>
      <c r="C569" s="4"/>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4"/>
      <c r="B570" s="4"/>
      <c r="C570" s="4"/>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4"/>
      <c r="B571" s="4"/>
      <c r="C571" s="4"/>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4"/>
      <c r="B572" s="4"/>
      <c r="C572" s="4"/>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4"/>
      <c r="B573" s="4"/>
      <c r="C573" s="4"/>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4"/>
      <c r="B574" s="4"/>
      <c r="C574" s="4"/>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4"/>
      <c r="B575" s="4"/>
      <c r="C575" s="4"/>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4"/>
      <c r="B576" s="4"/>
      <c r="C576" s="4"/>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4"/>
      <c r="B577" s="4"/>
      <c r="C577" s="4"/>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4"/>
      <c r="B578" s="4"/>
      <c r="C578" s="4"/>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4"/>
      <c r="B579" s="4"/>
      <c r="C579" s="4"/>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4"/>
      <c r="B580" s="4"/>
      <c r="C580" s="4"/>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4"/>
      <c r="B581" s="4"/>
      <c r="C581" s="4"/>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4"/>
      <c r="B582" s="4"/>
      <c r="C582" s="4"/>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4"/>
      <c r="B583" s="4"/>
      <c r="C583" s="4"/>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4"/>
      <c r="B584" s="4"/>
      <c r="C584" s="4"/>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4"/>
      <c r="B585" s="4"/>
      <c r="C585" s="4"/>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4"/>
      <c r="B586" s="4"/>
      <c r="C586" s="4"/>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4"/>
      <c r="B587" s="4"/>
      <c r="C587" s="4"/>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4"/>
      <c r="B588" s="4"/>
      <c r="C588" s="4"/>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4"/>
      <c r="B589" s="4"/>
      <c r="C589" s="4"/>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4"/>
      <c r="B590" s="4"/>
      <c r="C590" s="4"/>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4"/>
      <c r="B591" s="4"/>
      <c r="C591" s="4"/>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4"/>
      <c r="B592" s="4"/>
      <c r="C592" s="4"/>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4"/>
      <c r="B593" s="4"/>
      <c r="C593" s="4"/>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4"/>
      <c r="B594" s="4"/>
      <c r="C594" s="4"/>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4"/>
      <c r="B595" s="4"/>
      <c r="C595" s="4"/>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4"/>
      <c r="B596" s="4"/>
      <c r="C596" s="4"/>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4"/>
      <c r="B597" s="4"/>
      <c r="C597" s="4"/>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4"/>
      <c r="B598" s="4"/>
      <c r="C598" s="4"/>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4"/>
      <c r="B599" s="4"/>
      <c r="C599" s="4"/>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4"/>
      <c r="B600" s="4"/>
      <c r="C600" s="4"/>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4"/>
      <c r="B601" s="4"/>
      <c r="C601" s="4"/>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4"/>
      <c r="B602" s="4"/>
      <c r="C602" s="4"/>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4"/>
      <c r="B603" s="4"/>
      <c r="C603" s="4"/>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4"/>
      <c r="B604" s="4"/>
      <c r="C604" s="4"/>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4"/>
      <c r="B605" s="4"/>
      <c r="C605" s="4"/>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4"/>
      <c r="B606" s="4"/>
      <c r="C606" s="4"/>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4"/>
      <c r="B607" s="4"/>
      <c r="C607" s="4"/>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4"/>
      <c r="B608" s="4"/>
      <c r="C608" s="4"/>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4"/>
      <c r="B609" s="4"/>
      <c r="C609" s="4"/>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4"/>
      <c r="B610" s="4"/>
      <c r="C610" s="4"/>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4"/>
      <c r="B611" s="4"/>
      <c r="C611" s="4"/>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4"/>
      <c r="B612" s="4"/>
      <c r="C612" s="4"/>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4"/>
      <c r="B613" s="4"/>
      <c r="C613" s="4"/>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4"/>
      <c r="B614" s="4"/>
      <c r="C614" s="4"/>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4"/>
      <c r="B615" s="4"/>
      <c r="C615" s="4"/>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4"/>
      <c r="B616" s="4"/>
      <c r="C616" s="4"/>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4"/>
      <c r="B617" s="4"/>
      <c r="C617" s="4"/>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4"/>
      <c r="B618" s="4"/>
      <c r="C618" s="4"/>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4"/>
      <c r="B619" s="4"/>
      <c r="C619" s="4"/>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4"/>
      <c r="B620" s="4"/>
      <c r="C620" s="4"/>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4"/>
      <c r="B621" s="4"/>
      <c r="C621" s="4"/>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4"/>
      <c r="B622" s="4"/>
      <c r="C622" s="4"/>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4"/>
      <c r="B623" s="4"/>
      <c r="C623" s="4"/>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4"/>
      <c r="B624" s="4"/>
      <c r="C624" s="4"/>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4"/>
      <c r="B625" s="4"/>
      <c r="C625" s="4"/>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4"/>
      <c r="B626" s="4"/>
      <c r="C626" s="4"/>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4"/>
      <c r="B627" s="4"/>
      <c r="C627" s="4"/>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4"/>
      <c r="B628" s="4"/>
      <c r="C628" s="4"/>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4"/>
      <c r="B629" s="4"/>
      <c r="C629" s="4"/>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4"/>
      <c r="B630" s="4"/>
      <c r="C630" s="4"/>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4"/>
      <c r="B631" s="4"/>
      <c r="C631" s="4"/>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4"/>
      <c r="B632" s="4"/>
      <c r="C632" s="4"/>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4"/>
      <c r="B633" s="4"/>
      <c r="C633" s="4"/>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4"/>
      <c r="B634" s="4"/>
      <c r="C634" s="4"/>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4"/>
      <c r="B635" s="4"/>
      <c r="C635" s="4"/>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4"/>
      <c r="B636" s="4"/>
      <c r="C636" s="4"/>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4"/>
      <c r="B637" s="4"/>
      <c r="C637" s="4"/>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4"/>
      <c r="B638" s="4"/>
      <c r="C638" s="4"/>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4"/>
      <c r="B639" s="4"/>
      <c r="C639" s="4"/>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4"/>
      <c r="B640" s="4"/>
      <c r="C640" s="4"/>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4"/>
      <c r="B641" s="4"/>
      <c r="C641" s="4"/>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4"/>
      <c r="B642" s="4"/>
      <c r="C642" s="4"/>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4"/>
      <c r="B643" s="4"/>
      <c r="C643" s="4"/>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4"/>
      <c r="B644" s="4"/>
      <c r="C644" s="4"/>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4"/>
      <c r="B645" s="4"/>
      <c r="C645" s="4"/>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4"/>
      <c r="B646" s="4"/>
      <c r="C646" s="4"/>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4"/>
      <c r="B647" s="4"/>
      <c r="C647" s="4"/>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4"/>
      <c r="B648" s="4"/>
      <c r="C648" s="4"/>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4"/>
      <c r="B649" s="4"/>
      <c r="C649" s="4"/>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4"/>
      <c r="B650" s="4"/>
      <c r="C650" s="4"/>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4"/>
      <c r="B651" s="4"/>
      <c r="C651" s="4"/>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4"/>
      <c r="B652" s="4"/>
      <c r="C652" s="4"/>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4"/>
      <c r="B653" s="4"/>
      <c r="C653" s="4"/>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4"/>
      <c r="B654" s="4"/>
      <c r="C654" s="4"/>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4"/>
      <c r="B655" s="4"/>
      <c r="C655" s="4"/>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4"/>
      <c r="B656" s="4"/>
      <c r="C656" s="4"/>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4"/>
      <c r="B657" s="4"/>
      <c r="C657" s="4"/>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4"/>
      <c r="B658" s="4"/>
      <c r="C658" s="4"/>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4"/>
      <c r="B659" s="4"/>
      <c r="C659" s="4"/>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4"/>
      <c r="B660" s="4"/>
      <c r="C660" s="4"/>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4"/>
      <c r="B661" s="4"/>
      <c r="C661" s="4"/>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4"/>
      <c r="B662" s="4"/>
      <c r="C662" s="4"/>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4"/>
      <c r="B663" s="4"/>
      <c r="C663" s="4"/>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4"/>
      <c r="B664" s="4"/>
      <c r="C664" s="4"/>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4"/>
      <c r="B665" s="4"/>
      <c r="C665" s="4"/>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4"/>
      <c r="B666" s="4"/>
      <c r="C666" s="4"/>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4"/>
      <c r="B667" s="4"/>
      <c r="C667" s="4"/>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4"/>
      <c r="B668" s="4"/>
      <c r="C668" s="4"/>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4"/>
      <c r="B669" s="4"/>
      <c r="C669" s="4"/>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4"/>
      <c r="B670" s="4"/>
      <c r="C670" s="4"/>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4"/>
      <c r="B671" s="4"/>
      <c r="C671" s="4"/>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4"/>
      <c r="B672" s="4"/>
      <c r="C672" s="4"/>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4"/>
      <c r="B673" s="4"/>
      <c r="C673" s="4"/>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4"/>
      <c r="B674" s="4"/>
      <c r="C674" s="4"/>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4"/>
      <c r="B675" s="4"/>
      <c r="C675" s="4"/>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4"/>
      <c r="B676" s="4"/>
      <c r="C676" s="4"/>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4"/>
      <c r="B677" s="4"/>
      <c r="C677" s="4"/>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4"/>
      <c r="B678" s="4"/>
      <c r="C678" s="4"/>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4"/>
      <c r="B679" s="4"/>
      <c r="C679" s="4"/>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4"/>
      <c r="B680" s="4"/>
      <c r="C680" s="4"/>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4"/>
      <c r="B681" s="4"/>
      <c r="C681" s="4"/>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4"/>
      <c r="B682" s="4"/>
      <c r="C682" s="4"/>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4"/>
      <c r="B683" s="4"/>
      <c r="C683" s="4"/>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4"/>
      <c r="B684" s="4"/>
      <c r="C684" s="4"/>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4"/>
      <c r="B685" s="4"/>
      <c r="C685" s="4"/>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4"/>
      <c r="B686" s="4"/>
      <c r="C686" s="4"/>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4"/>
      <c r="B687" s="4"/>
      <c r="C687" s="4"/>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4"/>
      <c r="B688" s="4"/>
      <c r="C688" s="4"/>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4"/>
      <c r="B689" s="4"/>
      <c r="C689" s="4"/>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4"/>
      <c r="B690" s="4"/>
      <c r="C690" s="4"/>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4"/>
      <c r="B691" s="4"/>
      <c r="C691" s="4"/>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4"/>
      <c r="B692" s="4"/>
      <c r="C692" s="4"/>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4"/>
      <c r="B693" s="4"/>
      <c r="C693" s="4"/>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4"/>
      <c r="B694" s="4"/>
      <c r="C694" s="4"/>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4"/>
      <c r="B695" s="4"/>
      <c r="C695" s="4"/>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4"/>
      <c r="B696" s="4"/>
      <c r="C696" s="4"/>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4"/>
      <c r="B697" s="4"/>
      <c r="C697" s="4"/>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4"/>
      <c r="B698" s="4"/>
      <c r="C698" s="4"/>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4"/>
      <c r="B699" s="4"/>
      <c r="C699" s="4"/>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4"/>
      <c r="B700" s="4"/>
      <c r="C700" s="4"/>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4"/>
      <c r="B701" s="4"/>
      <c r="C701" s="4"/>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4"/>
      <c r="B702" s="4"/>
      <c r="C702" s="4"/>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4"/>
      <c r="B703" s="4"/>
      <c r="C703" s="4"/>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4"/>
      <c r="B704" s="4"/>
      <c r="C704" s="4"/>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4"/>
      <c r="B705" s="4"/>
      <c r="C705" s="4"/>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4"/>
      <c r="B706" s="4"/>
      <c r="C706" s="4"/>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4"/>
      <c r="B707" s="4"/>
      <c r="C707" s="4"/>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4"/>
      <c r="B708" s="4"/>
      <c r="C708" s="4"/>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4"/>
      <c r="B709" s="4"/>
      <c r="C709" s="4"/>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4"/>
      <c r="B710" s="4"/>
      <c r="C710" s="4"/>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4"/>
      <c r="B711" s="4"/>
      <c r="C711" s="4"/>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4"/>
      <c r="B712" s="4"/>
      <c r="C712" s="4"/>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4"/>
      <c r="B713" s="4"/>
      <c r="C713" s="4"/>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4"/>
      <c r="B714" s="4"/>
      <c r="C714" s="4"/>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4"/>
      <c r="B715" s="4"/>
      <c r="C715" s="4"/>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4"/>
      <c r="B716" s="4"/>
      <c r="C716" s="4"/>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4"/>
      <c r="B717" s="4"/>
      <c r="C717" s="4"/>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4"/>
      <c r="B718" s="4"/>
      <c r="C718" s="4"/>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4"/>
      <c r="B719" s="4"/>
      <c r="C719" s="4"/>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4"/>
      <c r="B720" s="4"/>
      <c r="C720" s="4"/>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4"/>
      <c r="B721" s="4"/>
      <c r="C721" s="4"/>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4"/>
      <c r="B722" s="4"/>
      <c r="C722" s="4"/>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4"/>
      <c r="B723" s="4"/>
      <c r="C723" s="4"/>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4"/>
      <c r="B724" s="4"/>
      <c r="C724" s="4"/>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4"/>
      <c r="B725" s="4"/>
      <c r="C725" s="4"/>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4"/>
      <c r="B726" s="4"/>
      <c r="C726" s="4"/>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4"/>
      <c r="B727" s="4"/>
      <c r="C727" s="4"/>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4"/>
      <c r="B728" s="4"/>
      <c r="C728" s="4"/>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4"/>
      <c r="B729" s="4"/>
      <c r="C729" s="4"/>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4"/>
      <c r="B730" s="4"/>
      <c r="C730" s="4"/>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4"/>
      <c r="B731" s="4"/>
      <c r="C731" s="4"/>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4"/>
      <c r="B732" s="4"/>
      <c r="C732" s="4"/>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4"/>
      <c r="B733" s="4"/>
      <c r="C733" s="4"/>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4"/>
      <c r="B734" s="4"/>
      <c r="C734" s="4"/>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4"/>
      <c r="B735" s="4"/>
      <c r="C735" s="4"/>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4"/>
      <c r="B736" s="4"/>
      <c r="C736" s="4"/>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4"/>
      <c r="B737" s="4"/>
      <c r="C737" s="4"/>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4"/>
      <c r="B738" s="4"/>
      <c r="C738" s="4"/>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4"/>
      <c r="B739" s="4"/>
      <c r="C739" s="4"/>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4"/>
      <c r="B740" s="4"/>
      <c r="C740" s="4"/>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4"/>
      <c r="B741" s="4"/>
      <c r="C741" s="4"/>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4"/>
      <c r="B742" s="4"/>
      <c r="C742" s="4"/>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4"/>
      <c r="B743" s="4"/>
      <c r="C743" s="4"/>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4"/>
      <c r="B744" s="4"/>
      <c r="C744" s="4"/>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4"/>
      <c r="B745" s="4"/>
      <c r="C745" s="4"/>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4"/>
      <c r="B746" s="4"/>
      <c r="C746" s="4"/>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4"/>
      <c r="B747" s="4"/>
      <c r="C747" s="4"/>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4"/>
      <c r="B748" s="4"/>
      <c r="C748" s="4"/>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4"/>
      <c r="B749" s="4"/>
      <c r="C749" s="4"/>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4"/>
      <c r="B750" s="4"/>
      <c r="C750" s="4"/>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4"/>
      <c r="B751" s="4"/>
      <c r="C751" s="4"/>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4"/>
      <c r="B752" s="4"/>
      <c r="C752" s="4"/>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4"/>
      <c r="B753" s="4"/>
      <c r="C753" s="4"/>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4"/>
      <c r="B754" s="4"/>
      <c r="C754" s="4"/>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4"/>
      <c r="B755" s="4"/>
      <c r="C755" s="4"/>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4"/>
      <c r="B756" s="4"/>
      <c r="C756" s="4"/>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4"/>
      <c r="B757" s="4"/>
      <c r="C757" s="4"/>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4"/>
      <c r="B758" s="4"/>
      <c r="C758" s="4"/>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4"/>
      <c r="B759" s="4"/>
      <c r="C759" s="4"/>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4"/>
      <c r="B760" s="4"/>
      <c r="C760" s="4"/>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4"/>
      <c r="B761" s="4"/>
      <c r="C761" s="4"/>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4"/>
      <c r="B762" s="4"/>
      <c r="C762" s="4"/>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4"/>
      <c r="B763" s="4"/>
      <c r="C763" s="4"/>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4"/>
      <c r="B764" s="4"/>
      <c r="C764" s="4"/>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4"/>
      <c r="B765" s="4"/>
      <c r="C765" s="4"/>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4"/>
      <c r="B766" s="4"/>
      <c r="C766" s="4"/>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4"/>
      <c r="B767" s="4"/>
      <c r="C767" s="4"/>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4"/>
      <c r="B768" s="4"/>
      <c r="C768" s="4"/>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4"/>
      <c r="B769" s="4"/>
      <c r="C769" s="4"/>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4"/>
      <c r="B770" s="4"/>
      <c r="C770" s="4"/>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4"/>
      <c r="B771" s="4"/>
      <c r="C771" s="4"/>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4"/>
      <c r="B772" s="4"/>
      <c r="C772" s="4"/>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4"/>
      <c r="B773" s="4"/>
      <c r="C773" s="4"/>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4"/>
      <c r="B774" s="4"/>
      <c r="C774" s="4"/>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4"/>
      <c r="B775" s="4"/>
      <c r="C775" s="4"/>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4"/>
      <c r="B776" s="4"/>
      <c r="C776" s="4"/>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4"/>
      <c r="B777" s="4"/>
      <c r="C777" s="4"/>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4"/>
      <c r="B778" s="4"/>
      <c r="C778" s="4"/>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4"/>
      <c r="B779" s="4"/>
      <c r="C779" s="4"/>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4"/>
      <c r="B780" s="4"/>
      <c r="C780" s="4"/>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4"/>
      <c r="B781" s="4"/>
      <c r="C781" s="4"/>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4"/>
      <c r="B782" s="4"/>
      <c r="C782" s="4"/>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4"/>
      <c r="B783" s="4"/>
      <c r="C783" s="4"/>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4"/>
      <c r="B784" s="4"/>
      <c r="C784" s="4"/>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4"/>
      <c r="B785" s="4"/>
      <c r="C785" s="4"/>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4"/>
      <c r="B786" s="4"/>
      <c r="C786" s="4"/>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4"/>
      <c r="B787" s="4"/>
      <c r="C787" s="4"/>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4"/>
      <c r="B788" s="4"/>
      <c r="C788" s="4"/>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4"/>
      <c r="B789" s="4"/>
      <c r="C789" s="4"/>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4"/>
      <c r="B790" s="4"/>
      <c r="C790" s="4"/>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4"/>
      <c r="B791" s="4"/>
      <c r="C791" s="4"/>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4"/>
      <c r="B792" s="4"/>
      <c r="C792" s="4"/>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4"/>
      <c r="B793" s="4"/>
      <c r="C793" s="4"/>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4"/>
      <c r="B794" s="4"/>
      <c r="C794" s="4"/>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4"/>
      <c r="B795" s="4"/>
      <c r="C795" s="4"/>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4"/>
      <c r="B796" s="4"/>
      <c r="C796" s="4"/>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4"/>
      <c r="B797" s="4"/>
      <c r="C797" s="4"/>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4"/>
      <c r="B798" s="4"/>
      <c r="C798" s="4"/>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4"/>
      <c r="B799" s="4"/>
      <c r="C799" s="4"/>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4"/>
      <c r="B800" s="4"/>
      <c r="C800" s="4"/>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4"/>
      <c r="B801" s="4"/>
      <c r="C801" s="4"/>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4"/>
      <c r="B802" s="4"/>
      <c r="C802" s="4"/>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4"/>
      <c r="B803" s="4"/>
      <c r="C803" s="4"/>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4"/>
      <c r="B804" s="4"/>
      <c r="C804" s="4"/>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4"/>
      <c r="B805" s="4"/>
      <c r="C805" s="4"/>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4"/>
      <c r="B806" s="4"/>
      <c r="C806" s="4"/>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4"/>
      <c r="B807" s="4"/>
      <c r="C807" s="4"/>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4"/>
      <c r="B808" s="4"/>
      <c r="C808" s="4"/>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4"/>
      <c r="B809" s="4"/>
      <c r="C809" s="4"/>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4"/>
      <c r="B810" s="4"/>
      <c r="C810" s="4"/>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4"/>
      <c r="B811" s="4"/>
      <c r="C811" s="4"/>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4"/>
      <c r="B812" s="4"/>
      <c r="C812" s="4"/>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4"/>
      <c r="B813" s="4"/>
      <c r="C813" s="4"/>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4"/>
      <c r="B814" s="4"/>
      <c r="C814" s="4"/>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4"/>
      <c r="B815" s="4"/>
      <c r="C815" s="4"/>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4"/>
      <c r="B816" s="4"/>
      <c r="C816" s="4"/>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4"/>
      <c r="B817" s="4"/>
      <c r="C817" s="4"/>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4"/>
      <c r="B818" s="4"/>
      <c r="C818" s="4"/>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4"/>
      <c r="B819" s="4"/>
      <c r="C819" s="4"/>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4"/>
      <c r="B820" s="4"/>
      <c r="C820" s="4"/>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4"/>
      <c r="B821" s="4"/>
      <c r="C821" s="4"/>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4"/>
      <c r="B822" s="4"/>
      <c r="C822" s="4"/>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4"/>
      <c r="B823" s="4"/>
      <c r="C823" s="4"/>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4"/>
      <c r="B824" s="4"/>
      <c r="C824" s="4"/>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4"/>
      <c r="B825" s="4"/>
      <c r="C825" s="4"/>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4"/>
      <c r="B826" s="4"/>
      <c r="C826" s="4"/>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4"/>
      <c r="B827" s="4"/>
      <c r="C827" s="4"/>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4"/>
      <c r="B828" s="4"/>
      <c r="C828" s="4"/>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4"/>
      <c r="B829" s="4"/>
      <c r="C829" s="4"/>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4"/>
      <c r="B830" s="4"/>
      <c r="C830" s="4"/>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4"/>
      <c r="B831" s="4"/>
      <c r="C831" s="4"/>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4"/>
      <c r="B832" s="4"/>
      <c r="C832" s="4"/>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4"/>
      <c r="B833" s="4"/>
      <c r="C833" s="4"/>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4"/>
      <c r="B834" s="4"/>
      <c r="C834" s="4"/>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4"/>
      <c r="B835" s="4"/>
      <c r="C835" s="4"/>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4"/>
      <c r="B836" s="4"/>
      <c r="C836" s="4"/>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4"/>
      <c r="B837" s="4"/>
      <c r="C837" s="4"/>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4"/>
      <c r="B838" s="4"/>
      <c r="C838" s="4"/>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4"/>
      <c r="B839" s="4"/>
      <c r="C839" s="4"/>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4"/>
      <c r="B840" s="4"/>
      <c r="C840" s="4"/>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4"/>
      <c r="B841" s="4"/>
      <c r="C841" s="4"/>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4"/>
      <c r="B842" s="4"/>
      <c r="C842" s="4"/>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4"/>
      <c r="B843" s="4"/>
      <c r="C843" s="4"/>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4"/>
      <c r="B844" s="4"/>
      <c r="C844" s="4"/>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4"/>
      <c r="B845" s="4"/>
      <c r="C845" s="4"/>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4"/>
      <c r="B846" s="4"/>
      <c r="C846" s="4"/>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4"/>
      <c r="B847" s="4"/>
      <c r="C847" s="4"/>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4"/>
      <c r="B848" s="4"/>
      <c r="C848" s="4"/>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4"/>
      <c r="B849" s="4"/>
      <c r="C849" s="4"/>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4"/>
      <c r="B850" s="4"/>
      <c r="C850" s="4"/>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4"/>
      <c r="B851" s="4"/>
      <c r="C851" s="4"/>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4"/>
      <c r="B852" s="4"/>
      <c r="C852" s="4"/>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4"/>
      <c r="B853" s="4"/>
      <c r="C853" s="4"/>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4"/>
      <c r="B854" s="4"/>
      <c r="C854" s="4"/>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4"/>
      <c r="B855" s="4"/>
      <c r="C855" s="4"/>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4"/>
      <c r="B856" s="4"/>
      <c r="C856" s="4"/>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4"/>
      <c r="B857" s="4"/>
      <c r="C857" s="4"/>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4"/>
      <c r="B858" s="4"/>
      <c r="C858" s="4"/>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4"/>
      <c r="B859" s="4"/>
      <c r="C859" s="4"/>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4"/>
      <c r="B860" s="4"/>
      <c r="C860" s="4"/>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4"/>
      <c r="B861" s="4"/>
      <c r="C861" s="4"/>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4"/>
      <c r="B862" s="4"/>
      <c r="C862" s="4"/>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4"/>
      <c r="B863" s="4"/>
      <c r="C863" s="4"/>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4"/>
      <c r="B864" s="4"/>
      <c r="C864" s="4"/>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4"/>
      <c r="B865" s="4"/>
      <c r="C865" s="4"/>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4"/>
      <c r="B866" s="4"/>
      <c r="C866" s="4"/>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4"/>
      <c r="B867" s="4"/>
      <c r="C867" s="4"/>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4"/>
      <c r="B868" s="4"/>
      <c r="C868" s="4"/>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4"/>
      <c r="B869" s="4"/>
      <c r="C869" s="4"/>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4"/>
      <c r="B870" s="4"/>
      <c r="C870" s="4"/>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4"/>
      <c r="B871" s="4"/>
      <c r="C871" s="4"/>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4"/>
      <c r="B872" s="4"/>
      <c r="C872" s="4"/>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4"/>
      <c r="B873" s="4"/>
      <c r="C873" s="4"/>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4"/>
      <c r="B874" s="4"/>
      <c r="C874" s="4"/>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4"/>
      <c r="B875" s="4"/>
      <c r="C875" s="4"/>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4"/>
      <c r="B876" s="4"/>
      <c r="C876" s="4"/>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4"/>
      <c r="B877" s="4"/>
      <c r="C877" s="4"/>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4"/>
      <c r="B878" s="4"/>
      <c r="C878" s="4"/>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4"/>
      <c r="B879" s="4"/>
      <c r="C879" s="4"/>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4"/>
      <c r="B880" s="4"/>
      <c r="C880" s="4"/>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4"/>
      <c r="B881" s="4"/>
      <c r="C881" s="4"/>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4"/>
      <c r="B882" s="4"/>
      <c r="C882" s="4"/>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4"/>
      <c r="B883" s="4"/>
      <c r="C883" s="4"/>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4"/>
      <c r="B884" s="4"/>
      <c r="C884" s="4"/>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4"/>
      <c r="B885" s="4"/>
      <c r="C885" s="4"/>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4"/>
      <c r="B886" s="4"/>
      <c r="C886" s="4"/>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4"/>
      <c r="B887" s="4"/>
      <c r="C887" s="4"/>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4"/>
      <c r="B888" s="4"/>
      <c r="C888" s="4"/>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4"/>
      <c r="B889" s="4"/>
      <c r="C889" s="4"/>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4"/>
      <c r="B890" s="4"/>
      <c r="C890" s="4"/>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4"/>
      <c r="B891" s="4"/>
      <c r="C891" s="4"/>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4"/>
      <c r="B892" s="4"/>
      <c r="C892" s="4"/>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4"/>
      <c r="B893" s="4"/>
      <c r="C893" s="4"/>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4"/>
      <c r="B894" s="4"/>
      <c r="C894" s="4"/>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4"/>
      <c r="B895" s="4"/>
      <c r="C895" s="4"/>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4"/>
      <c r="B896" s="4"/>
      <c r="C896" s="4"/>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4"/>
      <c r="B897" s="4"/>
      <c r="C897" s="4"/>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4"/>
      <c r="B898" s="4"/>
      <c r="C898" s="4"/>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4"/>
      <c r="B899" s="4"/>
      <c r="C899" s="4"/>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4"/>
      <c r="B900" s="4"/>
      <c r="C900" s="4"/>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4"/>
      <c r="B901" s="4"/>
      <c r="C901" s="4"/>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4"/>
      <c r="B902" s="4"/>
      <c r="C902" s="4"/>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4"/>
      <c r="B903" s="4"/>
      <c r="C903" s="4"/>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4"/>
      <c r="B904" s="4"/>
      <c r="C904" s="4"/>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4"/>
      <c r="B905" s="4"/>
      <c r="C905" s="4"/>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4"/>
      <c r="B906" s="4"/>
      <c r="C906" s="4"/>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4"/>
      <c r="B907" s="4"/>
      <c r="C907" s="4"/>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4"/>
      <c r="B908" s="4"/>
      <c r="C908" s="4"/>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4"/>
      <c r="B909" s="4"/>
      <c r="C909" s="4"/>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4"/>
      <c r="B910" s="4"/>
      <c r="C910" s="4"/>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4"/>
      <c r="B911" s="4"/>
      <c r="C911" s="4"/>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4"/>
      <c r="B912" s="4"/>
      <c r="C912" s="4"/>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4"/>
      <c r="B913" s="4"/>
      <c r="C913" s="4"/>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4"/>
      <c r="B914" s="4"/>
      <c r="C914" s="4"/>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4"/>
      <c r="B915" s="4"/>
      <c r="C915" s="4"/>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4"/>
      <c r="B916" s="4"/>
      <c r="C916" s="4"/>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4"/>
      <c r="B917" s="4"/>
      <c r="C917" s="4"/>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4"/>
      <c r="B918" s="4"/>
      <c r="C918" s="4"/>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4"/>
      <c r="B919" s="4"/>
      <c r="C919" s="4"/>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4"/>
      <c r="B920" s="4"/>
      <c r="C920" s="4"/>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4"/>
      <c r="B921" s="4"/>
      <c r="C921" s="4"/>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4"/>
      <c r="B922" s="4"/>
      <c r="C922" s="4"/>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4"/>
      <c r="B923" s="4"/>
      <c r="C923" s="4"/>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4"/>
      <c r="B924" s="4"/>
      <c r="C924" s="4"/>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4"/>
      <c r="B925" s="4"/>
      <c r="C925" s="4"/>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4"/>
      <c r="B926" s="4"/>
      <c r="C926" s="4"/>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4"/>
      <c r="B927" s="4"/>
      <c r="C927" s="4"/>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4"/>
      <c r="B928" s="4"/>
      <c r="C928" s="4"/>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4"/>
      <c r="B929" s="4"/>
      <c r="C929" s="4"/>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4"/>
      <c r="B930" s="4"/>
      <c r="C930" s="4"/>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4"/>
      <c r="B931" s="4"/>
      <c r="C931" s="4"/>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4"/>
      <c r="B932" s="4"/>
      <c r="C932" s="4"/>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4"/>
      <c r="B933" s="4"/>
      <c r="C933" s="4"/>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4"/>
      <c r="B934" s="4"/>
      <c r="C934" s="4"/>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4"/>
      <c r="B935" s="4"/>
      <c r="C935" s="4"/>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4"/>
      <c r="B936" s="4"/>
      <c r="C936" s="4"/>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4"/>
      <c r="B937" s="4"/>
      <c r="C937" s="4"/>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4"/>
      <c r="B938" s="4"/>
      <c r="C938" s="4"/>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4"/>
      <c r="B939" s="4"/>
      <c r="C939" s="4"/>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4"/>
      <c r="B940" s="4"/>
      <c r="C940" s="4"/>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4"/>
      <c r="B941" s="4"/>
      <c r="C941" s="4"/>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4"/>
      <c r="B942" s="4"/>
      <c r="C942" s="4"/>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4"/>
      <c r="B943" s="4"/>
      <c r="C943" s="4"/>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4"/>
      <c r="B944" s="4"/>
      <c r="C944" s="4"/>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4"/>
      <c r="B945" s="4"/>
      <c r="C945" s="4"/>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4"/>
      <c r="B946" s="4"/>
      <c r="C946" s="4"/>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4"/>
      <c r="B947" s="4"/>
      <c r="C947" s="4"/>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4"/>
      <c r="B948" s="4"/>
      <c r="C948" s="4"/>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4"/>
      <c r="B949" s="4"/>
      <c r="C949" s="4"/>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4"/>
      <c r="B950" s="4"/>
      <c r="C950" s="4"/>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4"/>
      <c r="B951" s="4"/>
      <c r="C951" s="4"/>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4"/>
      <c r="B952" s="4"/>
      <c r="C952" s="4"/>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4"/>
      <c r="B953" s="4"/>
      <c r="C953" s="4"/>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4"/>
      <c r="B954" s="4"/>
      <c r="C954" s="4"/>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4"/>
      <c r="B955" s="4"/>
      <c r="C955" s="4"/>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4"/>
      <c r="B956" s="4"/>
      <c r="C956" s="4"/>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4"/>
      <c r="B957" s="4"/>
      <c r="C957" s="4"/>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4"/>
      <c r="B958" s="4"/>
      <c r="C958" s="4"/>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4"/>
      <c r="B959" s="4"/>
      <c r="C959" s="4"/>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4"/>
      <c r="B960" s="4"/>
      <c r="C960" s="4"/>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4"/>
      <c r="B961" s="4"/>
      <c r="C961" s="4"/>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4"/>
      <c r="B962" s="4"/>
      <c r="C962" s="4"/>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4"/>
      <c r="B963" s="4"/>
      <c r="C963" s="4"/>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4"/>
      <c r="B964" s="4"/>
      <c r="C964" s="4"/>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4"/>
      <c r="B965" s="4"/>
      <c r="C965" s="4"/>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4"/>
      <c r="B966" s="4"/>
      <c r="C966" s="4"/>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4"/>
      <c r="B967" s="4"/>
      <c r="C967" s="4"/>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4"/>
      <c r="B968" s="4"/>
      <c r="C968" s="4"/>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4"/>
      <c r="B969" s="4"/>
      <c r="C969" s="4"/>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4"/>
      <c r="B970" s="4"/>
      <c r="C970" s="4"/>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4"/>
      <c r="B971" s="4"/>
      <c r="C971" s="4"/>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4"/>
      <c r="B972" s="4"/>
      <c r="C972" s="4"/>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4"/>
      <c r="B973" s="4"/>
      <c r="C973" s="4"/>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4"/>
      <c r="B974" s="4"/>
      <c r="C974" s="4"/>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4"/>
      <c r="B975" s="4"/>
      <c r="C975" s="4"/>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4"/>
      <c r="B976" s="4"/>
      <c r="C976" s="4"/>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4"/>
      <c r="B977" s="4"/>
      <c r="C977" s="4"/>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4"/>
      <c r="B978" s="4"/>
      <c r="C978" s="4"/>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4"/>
      <c r="B979" s="4"/>
      <c r="C979" s="4"/>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4"/>
      <c r="B980" s="4"/>
      <c r="C980" s="4"/>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4"/>
      <c r="B981" s="4"/>
      <c r="C981" s="4"/>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4"/>
      <c r="B982" s="4"/>
      <c r="C982" s="4"/>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4"/>
      <c r="B983" s="4"/>
      <c r="C983" s="4"/>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4"/>
      <c r="B984" s="4"/>
      <c r="C984" s="4"/>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4"/>
      <c r="B985" s="4"/>
      <c r="C985" s="4"/>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4"/>
      <c r="B986" s="4"/>
      <c r="C986" s="4"/>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4"/>
      <c r="B987" s="4"/>
      <c r="C987" s="4"/>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4"/>
      <c r="B988" s="4"/>
      <c r="C988" s="4"/>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4"/>
      <c r="B989" s="4"/>
      <c r="C989" s="4"/>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4"/>
      <c r="B990" s="4"/>
      <c r="C990" s="4"/>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4"/>
      <c r="B991" s="4"/>
      <c r="C991" s="4"/>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4"/>
      <c r="B992" s="4"/>
      <c r="C992" s="4"/>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4"/>
      <c r="B993" s="4"/>
      <c r="C993" s="4"/>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4"/>
      <c r="B994" s="4"/>
      <c r="C994" s="4"/>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4"/>
      <c r="B995" s="4"/>
      <c r="C995" s="4"/>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4"/>
      <c r="B996" s="4"/>
      <c r="C996" s="4"/>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4"/>
      <c r="B997" s="4"/>
      <c r="C997" s="4"/>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4"/>
      <c r="B998" s="4"/>
      <c r="C998" s="4"/>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4"/>
      <c r="B999" s="4"/>
      <c r="C999" s="4"/>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4"/>
      <c r="B1000" s="4"/>
      <c r="C1000" s="4"/>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c r="A1001" s="4"/>
      <c r="B1001" s="4"/>
      <c r="C1001" s="4"/>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c r="A1002" s="4"/>
      <c r="B1002" s="4"/>
      <c r="C1002" s="4"/>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c r="A1003" s="4"/>
      <c r="B1003" s="4"/>
      <c r="C1003" s="4"/>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c r="A1004" s="4"/>
      <c r="B1004" s="4"/>
      <c r="C1004" s="4"/>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c r="A1005" s="4"/>
      <c r="B1005" s="4"/>
      <c r="C1005" s="4"/>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c r="A1006" s="4"/>
      <c r="B1006" s="4"/>
      <c r="C1006" s="4"/>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c r="A1007" s="4"/>
      <c r="B1007" s="4"/>
      <c r="C1007" s="4"/>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c r="A1008" s="4"/>
      <c r="B1008" s="4"/>
      <c r="C1008" s="4"/>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c r="A1009" s="4"/>
      <c r="B1009" s="4"/>
      <c r="C1009" s="4"/>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c r="A1010" s="4"/>
      <c r="B1010" s="4"/>
      <c r="C1010" s="4"/>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c r="A1011" s="4"/>
      <c r="B1011" s="4"/>
      <c r="C1011" s="4"/>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c r="A1012" s="4"/>
      <c r="B1012" s="4"/>
      <c r="C1012" s="4"/>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c r="A1013" s="4"/>
      <c r="B1013" s="4"/>
      <c r="C1013" s="4"/>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c r="A1014" s="4"/>
      <c r="B1014" s="4"/>
      <c r="C1014" s="4"/>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c r="A1015" s="4"/>
      <c r="B1015" s="4"/>
      <c r="C1015" s="4"/>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c r="A1016" s="4"/>
      <c r="B1016" s="4"/>
      <c r="C1016" s="4"/>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c r="A1017" s="4"/>
      <c r="B1017" s="4"/>
      <c r="C1017" s="4"/>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c r="A1018" s="4"/>
      <c r="B1018" s="4"/>
      <c r="C1018" s="4"/>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c r="A1019" s="4"/>
      <c r="B1019" s="4"/>
      <c r="C1019" s="4"/>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c r="A1020" s="4"/>
      <c r="B1020" s="4"/>
      <c r="C1020" s="4"/>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c r="A1021" s="4"/>
      <c r="B1021" s="4"/>
      <c r="C1021" s="4"/>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c r="A1022" s="4"/>
      <c r="B1022" s="4"/>
      <c r="C1022" s="4"/>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c r="A1023" s="4"/>
      <c r="B1023" s="4"/>
      <c r="C1023" s="4"/>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c r="A1024" s="4"/>
      <c r="B1024" s="4"/>
      <c r="C1024" s="4"/>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c r="A1025" s="4"/>
      <c r="B1025" s="4"/>
      <c r="C1025" s="4"/>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c r="A1026" s="4"/>
      <c r="B1026" s="4"/>
      <c r="C1026" s="4"/>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c r="A1027" s="4"/>
      <c r="B1027" s="4"/>
      <c r="C1027" s="4"/>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c r="A1028" s="4"/>
      <c r="B1028" s="4"/>
      <c r="C1028" s="4"/>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c r="A1029" s="4"/>
      <c r="B1029" s="4"/>
      <c r="C1029" s="4"/>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c r="A1030" s="4"/>
      <c r="B1030" s="4"/>
      <c r="C1030" s="4"/>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c r="A1031" s="4"/>
      <c r="B1031" s="4"/>
      <c r="C1031" s="4"/>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c r="A1032" s="4"/>
      <c r="B1032" s="4"/>
      <c r="C1032" s="4"/>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sheetData>
  <mergeCells count="44">
    <mergeCell ref="C86:C95"/>
    <mergeCell ref="C54:C55"/>
    <mergeCell ref="C56:C59"/>
    <mergeCell ref="C60:C63"/>
    <mergeCell ref="C64:C66"/>
    <mergeCell ref="C67:C69"/>
    <mergeCell ref="C70:C71"/>
    <mergeCell ref="C72:C73"/>
    <mergeCell ref="A85:A95"/>
    <mergeCell ref="A51:A53"/>
    <mergeCell ref="A54:A55"/>
    <mergeCell ref="A56:A59"/>
    <mergeCell ref="A60:A63"/>
    <mergeCell ref="A64:A66"/>
    <mergeCell ref="A67:A69"/>
    <mergeCell ref="A70:A71"/>
    <mergeCell ref="C51:C53"/>
    <mergeCell ref="A72:A73"/>
    <mergeCell ref="A74:A78"/>
    <mergeCell ref="A79:A81"/>
    <mergeCell ref="A82:A84"/>
    <mergeCell ref="C74:C78"/>
    <mergeCell ref="C79:C81"/>
    <mergeCell ref="C82:C84"/>
    <mergeCell ref="A37:A43"/>
    <mergeCell ref="A44:A46"/>
    <mergeCell ref="A48:A50"/>
    <mergeCell ref="C28:C30"/>
    <mergeCell ref="C31:C33"/>
    <mergeCell ref="C34:C35"/>
    <mergeCell ref="C37:C43"/>
    <mergeCell ref="C44:C46"/>
    <mergeCell ref="C48:C50"/>
    <mergeCell ref="C25:C27"/>
    <mergeCell ref="A25:A27"/>
    <mergeCell ref="A28:A30"/>
    <mergeCell ref="A31:A33"/>
    <mergeCell ref="A34:A35"/>
    <mergeCell ref="A2:A11"/>
    <mergeCell ref="C2:C11"/>
    <mergeCell ref="A12:A14"/>
    <mergeCell ref="C12:C14"/>
    <mergeCell ref="A15:A24"/>
    <mergeCell ref="C15:C24"/>
  </mergeCells>
  <hyperlinks>
    <hyperlink ref="C2" r:id="rId1" xr:uid="{00000000-0004-0000-0200-000000000000}"/>
    <hyperlink ref="C28" r:id="rId2" xr:uid="{00000000-0004-0000-0200-000001000000}"/>
    <hyperlink ref="C34" r:id="rId3" xr:uid="{00000000-0004-0000-0200-000002000000}"/>
    <hyperlink ref="C37" r:id="rId4" xr:uid="{00000000-0004-0000-0200-000003000000}"/>
    <hyperlink ref="C56" r:id="rId5" xr:uid="{00000000-0004-0000-0200-000004000000}"/>
    <hyperlink ref="C67" r:id="rId6" xr:uid="{00000000-0004-0000-02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53"/>
  <sheetViews>
    <sheetView topLeftCell="A87" workbookViewId="0">
      <selection activeCell="A2" sqref="A2:C103"/>
    </sheetView>
  </sheetViews>
  <sheetFormatPr defaultColWidth="14.44140625" defaultRowHeight="15" customHeight="1"/>
  <cols>
    <col min="1" max="1" width="24" customWidth="1"/>
    <col min="2" max="2" width="78.109375" customWidth="1"/>
    <col min="3" max="3" width="34.109375" customWidth="1"/>
    <col min="4" max="26" width="8.6640625" customWidth="1"/>
  </cols>
  <sheetData>
    <row r="1" spans="1:26" ht="14.25" customHeight="1">
      <c r="A1" s="5" t="s">
        <v>62</v>
      </c>
      <c r="B1" s="5" t="s">
        <v>63</v>
      </c>
      <c r="C1" s="5" t="s">
        <v>64</v>
      </c>
      <c r="D1" s="2"/>
      <c r="E1" s="2"/>
      <c r="F1" s="2"/>
      <c r="G1" s="2"/>
      <c r="H1" s="2"/>
      <c r="I1" s="2"/>
      <c r="J1" s="2"/>
      <c r="K1" s="2"/>
      <c r="L1" s="2"/>
      <c r="M1" s="2"/>
      <c r="N1" s="2"/>
      <c r="O1" s="2"/>
      <c r="P1" s="2"/>
      <c r="Q1" s="2"/>
      <c r="R1" s="2"/>
      <c r="S1" s="2"/>
      <c r="T1" s="2"/>
      <c r="U1" s="2"/>
      <c r="V1" s="2"/>
      <c r="W1" s="2"/>
      <c r="X1" s="2"/>
      <c r="Y1" s="2"/>
      <c r="Z1" s="2"/>
    </row>
    <row r="2" spans="1:26" ht="14.25" customHeight="1">
      <c r="A2" s="30" t="s">
        <v>354</v>
      </c>
      <c r="B2" s="1" t="s">
        <v>355</v>
      </c>
      <c r="C2" s="28" t="s">
        <v>356</v>
      </c>
      <c r="D2" s="2"/>
      <c r="E2" s="2"/>
      <c r="F2" s="2"/>
      <c r="G2" s="2"/>
      <c r="H2" s="2"/>
      <c r="I2" s="2"/>
      <c r="J2" s="2"/>
      <c r="K2" s="2"/>
      <c r="L2" s="2"/>
      <c r="M2" s="2"/>
      <c r="N2" s="2"/>
      <c r="O2" s="2"/>
      <c r="P2" s="2"/>
      <c r="Q2" s="2"/>
      <c r="R2" s="2"/>
      <c r="S2" s="2"/>
      <c r="T2" s="2"/>
      <c r="U2" s="2"/>
      <c r="V2" s="2"/>
      <c r="W2" s="2"/>
      <c r="X2" s="2"/>
      <c r="Y2" s="2"/>
      <c r="Z2" s="2"/>
    </row>
    <row r="3" spans="1:26" ht="14.25" customHeight="1">
      <c r="A3" s="25"/>
      <c r="B3" s="1" t="s">
        <v>357</v>
      </c>
      <c r="C3" s="25"/>
      <c r="D3" s="2"/>
      <c r="E3" s="2"/>
      <c r="F3" s="2"/>
      <c r="G3" s="2"/>
      <c r="H3" s="2"/>
      <c r="I3" s="2"/>
      <c r="J3" s="2"/>
      <c r="K3" s="2"/>
      <c r="L3" s="2"/>
      <c r="M3" s="2"/>
      <c r="N3" s="2"/>
      <c r="O3" s="2"/>
      <c r="P3" s="2"/>
      <c r="Q3" s="2"/>
      <c r="R3" s="2"/>
      <c r="S3" s="2"/>
      <c r="T3" s="2"/>
      <c r="U3" s="2"/>
      <c r="V3" s="2"/>
      <c r="W3" s="2"/>
      <c r="X3" s="2"/>
      <c r="Y3" s="2"/>
      <c r="Z3" s="2"/>
    </row>
    <row r="4" spans="1:26" ht="14.25" customHeight="1">
      <c r="A4" s="25"/>
      <c r="B4" s="1" t="s">
        <v>358</v>
      </c>
      <c r="C4" s="25"/>
      <c r="D4" s="2"/>
      <c r="E4" s="2"/>
      <c r="F4" s="2"/>
      <c r="G4" s="2"/>
      <c r="H4" s="2"/>
      <c r="I4" s="2"/>
      <c r="J4" s="2"/>
      <c r="K4" s="2"/>
      <c r="L4" s="2"/>
      <c r="M4" s="2"/>
      <c r="N4" s="2"/>
      <c r="O4" s="2"/>
      <c r="P4" s="2"/>
      <c r="Q4" s="2"/>
      <c r="R4" s="2"/>
      <c r="S4" s="2"/>
      <c r="T4" s="2"/>
      <c r="U4" s="2"/>
      <c r="V4" s="2"/>
      <c r="W4" s="2"/>
      <c r="X4" s="2"/>
      <c r="Y4" s="2"/>
      <c r="Z4" s="2"/>
    </row>
    <row r="5" spans="1:26" ht="14.25" customHeight="1">
      <c r="A5" s="25"/>
      <c r="B5" s="1" t="s">
        <v>359</v>
      </c>
      <c r="C5" s="25"/>
      <c r="D5" s="2"/>
      <c r="E5" s="2"/>
      <c r="F5" s="2"/>
      <c r="G5" s="2"/>
      <c r="H5" s="2"/>
      <c r="I5" s="2"/>
      <c r="J5" s="2"/>
      <c r="K5" s="2"/>
      <c r="L5" s="2"/>
      <c r="M5" s="2"/>
      <c r="N5" s="2"/>
      <c r="O5" s="2"/>
      <c r="P5" s="2"/>
      <c r="Q5" s="2"/>
      <c r="R5" s="2"/>
      <c r="S5" s="2"/>
      <c r="T5" s="2"/>
      <c r="U5" s="2"/>
      <c r="V5" s="2"/>
      <c r="W5" s="2"/>
      <c r="X5" s="2"/>
      <c r="Y5" s="2"/>
      <c r="Z5" s="2"/>
    </row>
    <row r="6" spans="1:26" ht="14.25" customHeight="1">
      <c r="A6" s="25"/>
      <c r="B6" s="1" t="s">
        <v>360</v>
      </c>
      <c r="C6" s="25"/>
      <c r="D6" s="2"/>
      <c r="E6" s="2"/>
      <c r="F6" s="2"/>
      <c r="G6" s="2"/>
      <c r="H6" s="2"/>
      <c r="I6" s="2"/>
      <c r="J6" s="2"/>
      <c r="K6" s="2"/>
      <c r="L6" s="2"/>
      <c r="M6" s="2"/>
      <c r="N6" s="2"/>
      <c r="O6" s="2"/>
      <c r="P6" s="2"/>
      <c r="Q6" s="2"/>
      <c r="R6" s="2"/>
      <c r="S6" s="2"/>
      <c r="T6" s="2"/>
      <c r="U6" s="2"/>
      <c r="V6" s="2"/>
      <c r="W6" s="2"/>
      <c r="X6" s="2"/>
      <c r="Y6" s="2"/>
      <c r="Z6" s="2"/>
    </row>
    <row r="7" spans="1:26" ht="14.25" customHeight="1">
      <c r="A7" s="25"/>
      <c r="B7" s="1" t="s">
        <v>361</v>
      </c>
      <c r="C7" s="25"/>
      <c r="D7" s="2"/>
      <c r="E7" s="2"/>
      <c r="F7" s="2"/>
      <c r="G7" s="2"/>
      <c r="H7" s="2"/>
      <c r="I7" s="2"/>
      <c r="J7" s="2"/>
      <c r="K7" s="2"/>
      <c r="L7" s="2"/>
      <c r="M7" s="2"/>
      <c r="N7" s="2"/>
      <c r="O7" s="2"/>
      <c r="P7" s="2"/>
      <c r="Q7" s="2"/>
      <c r="R7" s="2"/>
      <c r="S7" s="2"/>
      <c r="T7" s="2"/>
      <c r="U7" s="2"/>
      <c r="V7" s="2"/>
      <c r="W7" s="2"/>
      <c r="X7" s="2"/>
      <c r="Y7" s="2"/>
      <c r="Z7" s="2"/>
    </row>
    <row r="8" spans="1:26" ht="14.25" customHeight="1">
      <c r="A8" s="25"/>
      <c r="B8" s="1" t="s">
        <v>362</v>
      </c>
      <c r="C8" s="25"/>
      <c r="D8" s="2"/>
      <c r="E8" s="2"/>
      <c r="F8" s="2"/>
      <c r="G8" s="2"/>
      <c r="H8" s="2"/>
      <c r="I8" s="2"/>
      <c r="J8" s="2"/>
      <c r="K8" s="2"/>
      <c r="L8" s="2"/>
      <c r="M8" s="2"/>
      <c r="N8" s="2"/>
      <c r="O8" s="2"/>
      <c r="P8" s="2"/>
      <c r="Q8" s="2"/>
      <c r="R8" s="2"/>
      <c r="S8" s="2"/>
      <c r="T8" s="2"/>
      <c r="U8" s="2"/>
      <c r="V8" s="2"/>
      <c r="W8" s="2"/>
      <c r="X8" s="2"/>
      <c r="Y8" s="2"/>
      <c r="Z8" s="2"/>
    </row>
    <row r="9" spans="1:26" ht="14.25" customHeight="1">
      <c r="A9" s="25"/>
      <c r="B9" s="1" t="s">
        <v>363</v>
      </c>
      <c r="C9" s="25"/>
      <c r="D9" s="2"/>
      <c r="E9" s="2"/>
      <c r="F9" s="2"/>
      <c r="G9" s="2"/>
      <c r="H9" s="2"/>
      <c r="I9" s="2"/>
      <c r="J9" s="2"/>
      <c r="K9" s="2"/>
      <c r="L9" s="2"/>
      <c r="M9" s="2"/>
      <c r="N9" s="2"/>
      <c r="O9" s="2"/>
      <c r="P9" s="2"/>
      <c r="Q9" s="2"/>
      <c r="R9" s="2"/>
      <c r="S9" s="2"/>
      <c r="T9" s="2"/>
      <c r="U9" s="2"/>
      <c r="V9" s="2"/>
      <c r="W9" s="2"/>
      <c r="X9" s="2"/>
      <c r="Y9" s="2"/>
      <c r="Z9" s="2"/>
    </row>
    <row r="10" spans="1:26" ht="14.25" customHeight="1">
      <c r="A10" s="25"/>
      <c r="B10" s="1" t="s">
        <v>364</v>
      </c>
      <c r="C10" s="25"/>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25"/>
      <c r="B11" s="1" t="s">
        <v>365</v>
      </c>
      <c r="C11" s="25"/>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25"/>
      <c r="B12" s="1" t="s">
        <v>366</v>
      </c>
      <c r="C12" s="25"/>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25"/>
      <c r="B13" s="1" t="s">
        <v>367</v>
      </c>
      <c r="C13" s="25"/>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25"/>
      <c r="B14" s="1" t="s">
        <v>368</v>
      </c>
      <c r="C14" s="25"/>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25"/>
      <c r="B15" s="1" t="s">
        <v>369</v>
      </c>
      <c r="C15" s="25"/>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25"/>
      <c r="B16" s="1" t="s">
        <v>370</v>
      </c>
      <c r="C16" s="25"/>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25"/>
      <c r="B17" s="1" t="s">
        <v>371</v>
      </c>
      <c r="C17" s="25"/>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25"/>
      <c r="B18" s="1" t="s">
        <v>372</v>
      </c>
      <c r="C18" s="25"/>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25"/>
      <c r="B19" s="1" t="s">
        <v>373</v>
      </c>
      <c r="C19" s="25"/>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25"/>
      <c r="B20" s="1" t="s">
        <v>374</v>
      </c>
      <c r="C20" s="25"/>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25"/>
      <c r="B21" s="1" t="s">
        <v>375</v>
      </c>
      <c r="C21" s="25"/>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25"/>
      <c r="B22" s="1" t="s">
        <v>376</v>
      </c>
      <c r="C22" s="25"/>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25"/>
      <c r="B23" s="1" t="s">
        <v>377</v>
      </c>
      <c r="C23" s="25"/>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25"/>
      <c r="B24" s="1" t="s">
        <v>378</v>
      </c>
      <c r="C24" s="25"/>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25"/>
      <c r="B25" s="1" t="s">
        <v>379</v>
      </c>
      <c r="C25" s="25"/>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5"/>
      <c r="B26" s="1" t="s">
        <v>380</v>
      </c>
      <c r="C26" s="25"/>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25"/>
      <c r="B27" s="1" t="s">
        <v>381</v>
      </c>
      <c r="C27" s="25"/>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5"/>
      <c r="B28" s="1" t="s">
        <v>382</v>
      </c>
      <c r="C28" s="25"/>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5"/>
      <c r="B29" s="1" t="s">
        <v>383</v>
      </c>
      <c r="C29" s="25"/>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5"/>
      <c r="B30" s="1" t="s">
        <v>384</v>
      </c>
      <c r="C30" s="25"/>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5"/>
      <c r="B31" s="1" t="s">
        <v>385</v>
      </c>
      <c r="C31" s="25"/>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5"/>
      <c r="B32" s="7"/>
      <c r="C32" s="25"/>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5"/>
      <c r="B33" s="1" t="s">
        <v>386</v>
      </c>
      <c r="C33" s="25"/>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6"/>
      <c r="B34" s="1" t="s">
        <v>387</v>
      </c>
      <c r="C34" s="26"/>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32" t="s">
        <v>388</v>
      </c>
      <c r="B35" s="7" t="s">
        <v>389</v>
      </c>
      <c r="C35" s="29" t="s">
        <v>390</v>
      </c>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5"/>
      <c r="B36" s="1" t="s">
        <v>391</v>
      </c>
      <c r="C36" s="25"/>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5"/>
      <c r="B37" s="1" t="s">
        <v>392</v>
      </c>
      <c r="C37" s="25"/>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6"/>
      <c r="B38" s="1" t="s">
        <v>393</v>
      </c>
      <c r="C38" s="26"/>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30" t="s">
        <v>394</v>
      </c>
      <c r="B39" s="1" t="s">
        <v>395</v>
      </c>
      <c r="C39" s="28" t="s">
        <v>396</v>
      </c>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5"/>
      <c r="B40" s="7" t="s">
        <v>397</v>
      </c>
      <c r="C40" s="25"/>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5"/>
      <c r="B41" s="7" t="s">
        <v>398</v>
      </c>
      <c r="C41" s="25"/>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5"/>
      <c r="B42" s="7" t="s">
        <v>398</v>
      </c>
      <c r="C42" s="25"/>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6"/>
      <c r="B43" s="7" t="s">
        <v>399</v>
      </c>
      <c r="C43" s="26"/>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30" t="s">
        <v>400</v>
      </c>
      <c r="B44" s="1" t="s">
        <v>401</v>
      </c>
      <c r="C44" s="28" t="s">
        <v>402</v>
      </c>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5"/>
      <c r="B45" s="1" t="s">
        <v>403</v>
      </c>
      <c r="C45" s="25"/>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5"/>
      <c r="B46" s="1" t="s">
        <v>404</v>
      </c>
      <c r="C46" s="25"/>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5"/>
      <c r="B47" s="1" t="s">
        <v>405</v>
      </c>
      <c r="C47" s="25"/>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5"/>
      <c r="B48" s="1" t="s">
        <v>406</v>
      </c>
      <c r="C48" s="25"/>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5"/>
      <c r="B49" s="11" t="s">
        <v>407</v>
      </c>
      <c r="C49" s="25"/>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5"/>
      <c r="B50" s="1" t="s">
        <v>408</v>
      </c>
      <c r="C50" s="25"/>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6"/>
      <c r="B51" s="12" t="s">
        <v>409</v>
      </c>
      <c r="C51" s="26"/>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32" t="s">
        <v>410</v>
      </c>
      <c r="B52" s="1" t="s">
        <v>411</v>
      </c>
      <c r="C52" s="32" t="s">
        <v>412</v>
      </c>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5"/>
      <c r="B53" s="1" t="s">
        <v>413</v>
      </c>
      <c r="C53" s="25"/>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5"/>
      <c r="B54" s="1" t="s">
        <v>414</v>
      </c>
      <c r="C54" s="25"/>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5"/>
      <c r="B55" s="11" t="s">
        <v>415</v>
      </c>
      <c r="C55" s="25"/>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5"/>
      <c r="B56" s="11" t="s">
        <v>416</v>
      </c>
      <c r="C56" s="25"/>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5"/>
      <c r="B57" s="1" t="s">
        <v>417</v>
      </c>
      <c r="C57" s="25"/>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5"/>
      <c r="B58" s="1" t="s">
        <v>418</v>
      </c>
      <c r="C58" s="25"/>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6"/>
      <c r="B59" s="12" t="s">
        <v>419</v>
      </c>
      <c r="C59" s="26"/>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32" t="s">
        <v>420</v>
      </c>
      <c r="B60" s="1" t="s">
        <v>421</v>
      </c>
      <c r="C60" s="32" t="s">
        <v>422</v>
      </c>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5"/>
      <c r="B61" s="1" t="s">
        <v>423</v>
      </c>
      <c r="C61" s="25"/>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5"/>
      <c r="B62" s="1" t="s">
        <v>424</v>
      </c>
      <c r="C62" s="25"/>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5"/>
      <c r="B63" s="1" t="s">
        <v>425</v>
      </c>
      <c r="C63" s="25"/>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5"/>
      <c r="B64" s="1" t="s">
        <v>426</v>
      </c>
      <c r="C64" s="25"/>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5"/>
      <c r="B65" s="1" t="s">
        <v>427</v>
      </c>
      <c r="C65" s="25"/>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5"/>
      <c r="B66" s="1" t="s">
        <v>428</v>
      </c>
      <c r="C66" s="25"/>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6"/>
      <c r="B67" s="1" t="s">
        <v>429</v>
      </c>
      <c r="C67" s="26"/>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32" t="s">
        <v>430</v>
      </c>
      <c r="B68" s="1" t="s">
        <v>431</v>
      </c>
      <c r="C68" s="32" t="s">
        <v>432</v>
      </c>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5"/>
      <c r="B69" s="1" t="s">
        <v>433</v>
      </c>
      <c r="C69" s="25"/>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5"/>
      <c r="B70" s="1" t="s">
        <v>434</v>
      </c>
      <c r="C70" s="25"/>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5"/>
      <c r="B71" s="1" t="s">
        <v>435</v>
      </c>
      <c r="C71" s="25"/>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6"/>
      <c r="B72" s="1" t="s">
        <v>436</v>
      </c>
      <c r="C72" s="26"/>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32" t="s">
        <v>437</v>
      </c>
      <c r="B73" s="1" t="s">
        <v>438</v>
      </c>
      <c r="C73" s="38" t="s">
        <v>439</v>
      </c>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5"/>
      <c r="B74" s="1" t="s">
        <v>437</v>
      </c>
      <c r="C74" s="25"/>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5"/>
      <c r="B75" s="1" t="s">
        <v>440</v>
      </c>
      <c r="C75" s="25"/>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5"/>
      <c r="B76" s="1" t="s">
        <v>441</v>
      </c>
      <c r="C76" s="25"/>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5"/>
      <c r="B77" s="1" t="s">
        <v>442</v>
      </c>
      <c r="C77" s="25"/>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5"/>
      <c r="B78" s="1" t="s">
        <v>443</v>
      </c>
      <c r="C78" s="25"/>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5"/>
      <c r="B79" s="1" t="s">
        <v>444</v>
      </c>
      <c r="C79" s="25"/>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5"/>
      <c r="B80" s="1" t="s">
        <v>445</v>
      </c>
      <c r="C80" s="25"/>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5"/>
      <c r="B81" s="1" t="s">
        <v>446</v>
      </c>
      <c r="C81" s="25"/>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5"/>
      <c r="B82" s="1" t="s">
        <v>447</v>
      </c>
      <c r="C82" s="25"/>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6"/>
      <c r="B83" s="1" t="s">
        <v>448</v>
      </c>
      <c r="C83" s="26"/>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33" t="s">
        <v>449</v>
      </c>
      <c r="B84" s="1" t="s">
        <v>450</v>
      </c>
      <c r="C84" s="32" t="s">
        <v>451</v>
      </c>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5"/>
      <c r="B85" s="1" t="s">
        <v>452</v>
      </c>
      <c r="C85" s="25"/>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5"/>
      <c r="B86" s="1" t="s">
        <v>453</v>
      </c>
      <c r="C86" s="25"/>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5"/>
      <c r="B87" s="1" t="s">
        <v>454</v>
      </c>
      <c r="C87" s="25"/>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5"/>
      <c r="B88" s="1" t="s">
        <v>455</v>
      </c>
      <c r="C88" s="25"/>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6"/>
      <c r="B89" s="1" t="s">
        <v>456</v>
      </c>
      <c r="C89" s="26"/>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32" t="s">
        <v>164</v>
      </c>
      <c r="B90" s="1" t="s">
        <v>165</v>
      </c>
      <c r="C90" s="38" t="s">
        <v>457</v>
      </c>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5"/>
      <c r="B91" s="4" t="s">
        <v>458</v>
      </c>
      <c r="C91" s="25"/>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5"/>
      <c r="B92" s="4" t="s">
        <v>459</v>
      </c>
      <c r="C92" s="25"/>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5"/>
      <c r="B93" s="4" t="s">
        <v>460</v>
      </c>
      <c r="C93" s="25"/>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6"/>
      <c r="B94" s="4" t="s">
        <v>461</v>
      </c>
      <c r="C94" s="26"/>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4" t="s">
        <v>462</v>
      </c>
      <c r="B95" s="4" t="s">
        <v>463</v>
      </c>
      <c r="C95" s="24" t="s">
        <v>464</v>
      </c>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5"/>
      <c r="B96" s="1" t="s">
        <v>465</v>
      </c>
      <c r="C96" s="25"/>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5"/>
      <c r="B97" s="7" t="s">
        <v>466</v>
      </c>
      <c r="C97" s="25"/>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6"/>
      <c r="B98" s="1" t="s">
        <v>467</v>
      </c>
      <c r="C98" s="26"/>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32" t="s">
        <v>468</v>
      </c>
      <c r="B99" s="1" t="s">
        <v>469</v>
      </c>
      <c r="C99" s="32" t="s">
        <v>470</v>
      </c>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5"/>
      <c r="B100" s="1" t="s">
        <v>471</v>
      </c>
      <c r="C100" s="25"/>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5"/>
      <c r="B101" s="1" t="s">
        <v>472</v>
      </c>
      <c r="C101" s="25"/>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5"/>
      <c r="B102" s="1" t="s">
        <v>473</v>
      </c>
      <c r="C102" s="25"/>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6"/>
      <c r="B103" s="4" t="s">
        <v>474</v>
      </c>
      <c r="C103" s="26"/>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1"/>
      <c r="C104" s="1"/>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1"/>
      <c r="C105" s="1"/>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1"/>
      <c r="C106" s="1"/>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1"/>
      <c r="C107" s="1"/>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1"/>
      <c r="C108" s="1"/>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1"/>
      <c r="C109" s="1"/>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1"/>
      <c r="C110" s="1"/>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1"/>
      <c r="C111" s="1"/>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1"/>
      <c r="C112" s="1"/>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1"/>
      <c r="C113" s="1"/>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1"/>
      <c r="C114" s="1"/>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1"/>
      <c r="C115" s="1"/>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1"/>
      <c r="C116" s="1"/>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1"/>
      <c r="C117" s="1"/>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1"/>
      <c r="C118" s="1"/>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1"/>
      <c r="C119" s="1"/>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1"/>
      <c r="C120" s="1"/>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1"/>
      <c r="C121" s="1"/>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1"/>
      <c r="C122" s="1"/>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1"/>
      <c r="C123" s="1"/>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1"/>
      <c r="C124" s="1"/>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1"/>
      <c r="C125" s="1"/>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1"/>
      <c r="C126" s="1"/>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1"/>
      <c r="C127" s="1"/>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1"/>
      <c r="C128" s="1"/>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1"/>
      <c r="C129" s="1"/>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1"/>
      <c r="C130" s="1"/>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1"/>
      <c r="C131" s="1"/>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1"/>
      <c r="C132" s="1"/>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1"/>
      <c r="C133" s="1"/>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1"/>
      <c r="C134" s="1"/>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1"/>
      <c r="C135" s="1"/>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1"/>
      <c r="C136" s="1"/>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1"/>
      <c r="C137" s="1"/>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1"/>
      <c r="C138" s="1"/>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1"/>
      <c r="C139" s="1"/>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1"/>
      <c r="C140" s="1"/>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1"/>
      <c r="C141" s="1"/>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1"/>
      <c r="C142" s="1"/>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1"/>
      <c r="C143" s="1"/>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1"/>
      <c r="C144" s="1"/>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1"/>
      <c r="C145" s="1"/>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1"/>
      <c r="C146" s="1"/>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1"/>
      <c r="C147" s="1"/>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1"/>
      <c r="C148" s="1"/>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1"/>
      <c r="C149" s="1"/>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1"/>
      <c r="C150" s="1"/>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1"/>
      <c r="C151" s="1"/>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1"/>
      <c r="C152" s="1"/>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1"/>
      <c r="C153" s="1"/>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1"/>
      <c r="C154" s="1"/>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1"/>
      <c r="C155" s="1"/>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1"/>
      <c r="C156" s="1"/>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1"/>
      <c r="C157" s="1"/>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1"/>
      <c r="C158" s="1"/>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1"/>
      <c r="C159" s="1"/>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1"/>
      <c r="C160" s="1"/>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1"/>
      <c r="C161" s="1"/>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1"/>
      <c r="C162" s="1"/>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1"/>
      <c r="C163" s="1"/>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1"/>
      <c r="C164" s="1"/>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1"/>
      <c r="C165" s="1"/>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1"/>
      <c r="C166" s="1"/>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1"/>
      <c r="C167" s="1"/>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1"/>
      <c r="C168" s="1"/>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1"/>
      <c r="C169" s="1"/>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1"/>
      <c r="C170" s="1"/>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1"/>
      <c r="C171" s="1"/>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1"/>
      <c r="C172" s="1"/>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1"/>
      <c r="C173" s="1"/>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1"/>
      <c r="C174" s="1"/>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1"/>
      <c r="C175" s="1"/>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1"/>
      <c r="C176" s="1"/>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1"/>
      <c r="C177" s="1"/>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1"/>
      <c r="C178" s="1"/>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1"/>
      <c r="C179" s="1"/>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1"/>
      <c r="C180" s="1"/>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1"/>
      <c r="C181" s="1"/>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1"/>
      <c r="C182" s="1"/>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1"/>
      <c r="C183" s="1"/>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1"/>
      <c r="C184" s="1"/>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1"/>
      <c r="C185" s="1"/>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1"/>
      <c r="C186" s="1"/>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1"/>
      <c r="C187" s="1"/>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1"/>
      <c r="C188" s="1"/>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1"/>
      <c r="C189" s="1"/>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1"/>
      <c r="C190" s="1"/>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1"/>
      <c r="C191" s="1"/>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1"/>
      <c r="C192" s="1"/>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1"/>
      <c r="C193" s="1"/>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1"/>
      <c r="C194" s="1"/>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1"/>
      <c r="C195" s="1"/>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1"/>
      <c r="C196" s="1"/>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1"/>
      <c r="C197" s="1"/>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1"/>
      <c r="C198" s="1"/>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1"/>
      <c r="C199" s="1"/>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1"/>
      <c r="C200" s="1"/>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1"/>
      <c r="C201" s="1"/>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1"/>
      <c r="C202" s="1"/>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1"/>
      <c r="C203" s="1"/>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1"/>
      <c r="C204" s="1"/>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1"/>
      <c r="C205" s="1"/>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1"/>
      <c r="C206" s="1"/>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1"/>
      <c r="C207" s="1"/>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1"/>
      <c r="C208" s="1"/>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1"/>
      <c r="C209" s="1"/>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1"/>
      <c r="C210" s="1"/>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1"/>
      <c r="C211" s="1"/>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1"/>
      <c r="C212" s="1"/>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1"/>
      <c r="C213" s="1"/>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1"/>
      <c r="C214" s="1"/>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1"/>
      <c r="C215" s="1"/>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1"/>
      <c r="C216" s="1"/>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1"/>
      <c r="C217" s="1"/>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1"/>
      <c r="C218" s="1"/>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1"/>
      <c r="C219" s="1"/>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1"/>
      <c r="C220" s="1"/>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1"/>
      <c r="C221" s="1"/>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1"/>
      <c r="C222" s="1"/>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1"/>
      <c r="C223" s="1"/>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1"/>
      <c r="C224" s="1"/>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1"/>
      <c r="C225" s="1"/>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1"/>
      <c r="C226" s="1"/>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1"/>
      <c r="C227" s="1"/>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1"/>
      <c r="C228" s="1"/>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1"/>
      <c r="C229" s="1"/>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1"/>
      <c r="C230" s="1"/>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1"/>
      <c r="C231" s="1"/>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1"/>
      <c r="C232" s="1"/>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1"/>
      <c r="C233" s="1"/>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1"/>
      <c r="C234" s="1"/>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1"/>
      <c r="C235" s="1"/>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1"/>
      <c r="C236" s="1"/>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1"/>
      <c r="C237" s="1"/>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1"/>
      <c r="C238" s="1"/>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1"/>
      <c r="C239" s="1"/>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1"/>
      <c r="C240" s="1"/>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1"/>
      <c r="C241" s="1"/>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1"/>
      <c r="C242" s="1"/>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1"/>
      <c r="C243" s="1"/>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1"/>
      <c r="C244" s="1"/>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1"/>
      <c r="C245" s="1"/>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1"/>
      <c r="C246" s="1"/>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1"/>
      <c r="C247" s="1"/>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1"/>
      <c r="C248" s="1"/>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1"/>
      <c r="C249" s="1"/>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1"/>
      <c r="C250" s="1"/>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1"/>
      <c r="C251" s="1"/>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1"/>
      <c r="C252" s="1"/>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1"/>
      <c r="C253" s="1"/>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1"/>
      <c r="C254" s="1"/>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1"/>
      <c r="C255" s="1"/>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1"/>
      <c r="C256" s="1"/>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1"/>
      <c r="C257" s="1"/>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1"/>
      <c r="C258" s="1"/>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1"/>
      <c r="C259" s="1"/>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1"/>
      <c r="C260" s="1"/>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1"/>
      <c r="C261" s="1"/>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1"/>
      <c r="C262" s="1"/>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1"/>
      <c r="C263" s="1"/>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1"/>
      <c r="C264" s="1"/>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1"/>
      <c r="C265" s="1"/>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1"/>
      <c r="C266" s="1"/>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1"/>
      <c r="C267" s="1"/>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1"/>
      <c r="C268" s="1"/>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1"/>
      <c r="C269" s="1"/>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1"/>
      <c r="C270" s="1"/>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1"/>
      <c r="C271" s="1"/>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1"/>
      <c r="C272" s="1"/>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1"/>
      <c r="C273" s="1"/>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1"/>
      <c r="C274" s="1"/>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1"/>
      <c r="C275" s="1"/>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1"/>
      <c r="C276" s="1"/>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1"/>
      <c r="C277" s="1"/>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1"/>
      <c r="C278" s="1"/>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1"/>
      <c r="C279" s="1"/>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1"/>
      <c r="C280" s="1"/>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1"/>
      <c r="C281" s="1"/>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1"/>
      <c r="C282" s="1"/>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1"/>
      <c r="C283" s="1"/>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1"/>
      <c r="C284" s="1"/>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1"/>
      <c r="C285" s="1"/>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1"/>
      <c r="C286" s="1"/>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1"/>
      <c r="C287" s="1"/>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1"/>
      <c r="C288" s="1"/>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1"/>
      <c r="C289" s="1"/>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1"/>
      <c r="C290" s="1"/>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1"/>
      <c r="C291" s="1"/>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1"/>
      <c r="C292" s="1"/>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1"/>
      <c r="C293" s="1"/>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1"/>
      <c r="C294" s="1"/>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1"/>
      <c r="C295" s="1"/>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1"/>
      <c r="C296" s="1"/>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1"/>
      <c r="C297" s="1"/>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1"/>
      <c r="C298" s="1"/>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1"/>
      <c r="C299" s="1"/>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1"/>
      <c r="C300" s="1"/>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1"/>
      <c r="C301" s="1"/>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1"/>
      <c r="C302" s="1"/>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1"/>
      <c r="C303" s="1"/>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1"/>
      <c r="C304" s="1"/>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1"/>
      <c r="C305" s="1"/>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1"/>
      <c r="C306" s="1"/>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1"/>
      <c r="C307" s="1"/>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1"/>
      <c r="C308" s="1"/>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1"/>
      <c r="C309" s="1"/>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1"/>
      <c r="C310" s="1"/>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1"/>
      <c r="C311" s="1"/>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1"/>
      <c r="C312" s="1"/>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1"/>
      <c r="C313" s="1"/>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1"/>
      <c r="C314" s="1"/>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1"/>
      <c r="C315" s="1"/>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1"/>
      <c r="C316" s="1"/>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1"/>
      <c r="C317" s="1"/>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1"/>
      <c r="C318" s="1"/>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1"/>
      <c r="C319" s="1"/>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1"/>
      <c r="C320" s="1"/>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1"/>
      <c r="C321" s="1"/>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1"/>
      <c r="C322" s="1"/>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1"/>
      <c r="C323" s="1"/>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1"/>
      <c r="C324" s="1"/>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1"/>
      <c r="C325" s="1"/>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1"/>
      <c r="C326" s="1"/>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1"/>
      <c r="C327" s="1"/>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1"/>
      <c r="C328" s="1"/>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1"/>
      <c r="C329" s="1"/>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1"/>
      <c r="C330" s="1"/>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1"/>
      <c r="C331" s="1"/>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1"/>
      <c r="C332" s="1"/>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1"/>
      <c r="C333" s="1"/>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1"/>
      <c r="C334" s="1"/>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1"/>
      <c r="C335" s="1"/>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1"/>
      <c r="C336" s="1"/>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1"/>
      <c r="C337" s="1"/>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1"/>
      <c r="C338" s="1"/>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1"/>
      <c r="C339" s="1"/>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1"/>
      <c r="C340" s="1"/>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1"/>
      <c r="C341" s="1"/>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1"/>
      <c r="C342" s="1"/>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1"/>
      <c r="C343" s="1"/>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1"/>
      <c r="C344" s="1"/>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1"/>
      <c r="C345" s="1"/>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1"/>
      <c r="C346" s="1"/>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1"/>
      <c r="C347" s="1"/>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1"/>
      <c r="C348" s="1"/>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1"/>
      <c r="C349" s="1"/>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1"/>
      <c r="C350" s="1"/>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1"/>
      <c r="C351" s="1"/>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1"/>
      <c r="C352" s="1"/>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1"/>
      <c r="C353" s="1"/>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1"/>
      <c r="C354" s="1"/>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1"/>
      <c r="C355" s="1"/>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1"/>
      <c r="C356" s="1"/>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1"/>
      <c r="C357" s="1"/>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1"/>
      <c r="C358" s="1"/>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1"/>
      <c r="C359" s="1"/>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1"/>
      <c r="C360" s="1"/>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1"/>
      <c r="C361" s="1"/>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1"/>
      <c r="C362" s="1"/>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1"/>
      <c r="C363" s="1"/>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1"/>
      <c r="C364" s="1"/>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1"/>
      <c r="C365" s="1"/>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1"/>
      <c r="C366" s="1"/>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1"/>
      <c r="C367" s="1"/>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1"/>
      <c r="C368" s="1"/>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1"/>
      <c r="C369" s="1"/>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1"/>
      <c r="C370" s="1"/>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1"/>
      <c r="C371" s="1"/>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1"/>
      <c r="C372" s="1"/>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1"/>
      <c r="C373" s="1"/>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1"/>
      <c r="C374" s="1"/>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1"/>
      <c r="C375" s="1"/>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1"/>
      <c r="C376" s="1"/>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1"/>
      <c r="C377" s="1"/>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1"/>
      <c r="C378" s="1"/>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1"/>
      <c r="C379" s="1"/>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1"/>
      <c r="C380" s="1"/>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1"/>
      <c r="C381" s="1"/>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1"/>
      <c r="C382" s="1"/>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1"/>
      <c r="C383" s="1"/>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1"/>
      <c r="C384" s="1"/>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1"/>
      <c r="C385" s="1"/>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1"/>
      <c r="C386" s="1"/>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1"/>
      <c r="C387" s="1"/>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1"/>
      <c r="C388" s="1"/>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1"/>
      <c r="C389" s="1"/>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1"/>
      <c r="C390" s="1"/>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1"/>
      <c r="C391" s="1"/>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1"/>
      <c r="C392" s="1"/>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1"/>
      <c r="C393" s="1"/>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1"/>
      <c r="C394" s="1"/>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1"/>
      <c r="C395" s="1"/>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1"/>
      <c r="C396" s="1"/>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1"/>
      <c r="C397" s="1"/>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1"/>
      <c r="C398" s="1"/>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1"/>
      <c r="C399" s="1"/>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1"/>
      <c r="C400" s="1"/>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1"/>
      <c r="C401" s="1"/>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1"/>
      <c r="C402" s="1"/>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1"/>
      <c r="C403" s="1"/>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1"/>
      <c r="C404" s="1"/>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1"/>
      <c r="C405" s="1"/>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1"/>
      <c r="C406" s="1"/>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1"/>
      <c r="C407" s="1"/>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1"/>
      <c r="C408" s="1"/>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1"/>
      <c r="C409" s="1"/>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1"/>
      <c r="C410" s="1"/>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1"/>
      <c r="C411" s="1"/>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1"/>
      <c r="C412" s="1"/>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1"/>
      <c r="C413" s="1"/>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1"/>
      <c r="C414" s="1"/>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1"/>
      <c r="C415" s="1"/>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1"/>
      <c r="C416" s="1"/>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1"/>
      <c r="C417" s="1"/>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1"/>
      <c r="C418" s="1"/>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1"/>
      <c r="C419" s="1"/>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1"/>
      <c r="C420" s="1"/>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1"/>
      <c r="C421" s="1"/>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1"/>
      <c r="C422" s="1"/>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1"/>
      <c r="C423" s="1"/>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1"/>
      <c r="C424" s="1"/>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1"/>
      <c r="C425" s="1"/>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1"/>
      <c r="C426" s="1"/>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1"/>
      <c r="C427" s="1"/>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1"/>
      <c r="C428" s="1"/>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1"/>
      <c r="C429" s="1"/>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1"/>
      <c r="C430" s="1"/>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1"/>
      <c r="C431" s="1"/>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1"/>
      <c r="C432" s="1"/>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1"/>
      <c r="C433" s="1"/>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1"/>
      <c r="C434" s="1"/>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1"/>
      <c r="C435" s="1"/>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1"/>
      <c r="C436" s="1"/>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1"/>
      <c r="C437" s="1"/>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1"/>
      <c r="C438" s="1"/>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1"/>
      <c r="C439" s="1"/>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1"/>
      <c r="C440" s="1"/>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1"/>
      <c r="C441" s="1"/>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1"/>
      <c r="C442" s="1"/>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1"/>
      <c r="C443" s="1"/>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1"/>
      <c r="C444" s="1"/>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1"/>
      <c r="C445" s="1"/>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1"/>
      <c r="C446" s="1"/>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1"/>
      <c r="C447" s="1"/>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1"/>
      <c r="C448" s="1"/>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1"/>
      <c r="C449" s="1"/>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1"/>
      <c r="C450" s="1"/>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1"/>
      <c r="C451" s="1"/>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1"/>
      <c r="C452" s="1"/>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1"/>
      <c r="C453" s="1"/>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1"/>
      <c r="C454" s="1"/>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1"/>
      <c r="C455" s="1"/>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1"/>
      <c r="C456" s="1"/>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1"/>
      <c r="C457" s="1"/>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1"/>
      <c r="C458" s="1"/>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1"/>
      <c r="C459" s="1"/>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1"/>
      <c r="C460" s="1"/>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1"/>
      <c r="C461" s="1"/>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1"/>
      <c r="C462" s="1"/>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1"/>
      <c r="C463" s="1"/>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1"/>
      <c r="C464" s="1"/>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1"/>
      <c r="C465" s="1"/>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1"/>
      <c r="C466" s="1"/>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1"/>
      <c r="C467" s="1"/>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1"/>
      <c r="C468" s="1"/>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1"/>
      <c r="C469" s="1"/>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1"/>
      <c r="C470" s="1"/>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1"/>
      <c r="C471" s="1"/>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1"/>
      <c r="C472" s="1"/>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1"/>
      <c r="C473" s="1"/>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1"/>
      <c r="C474" s="1"/>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1"/>
      <c r="C475" s="1"/>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1"/>
      <c r="C476" s="1"/>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1"/>
      <c r="C477" s="1"/>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1"/>
      <c r="C478" s="1"/>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1"/>
      <c r="C479" s="1"/>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1"/>
      <c r="C480" s="1"/>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1"/>
      <c r="C481" s="1"/>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1"/>
      <c r="C482" s="1"/>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1"/>
      <c r="C483" s="1"/>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1"/>
      <c r="C484" s="1"/>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1"/>
      <c r="C485" s="1"/>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1"/>
      <c r="C486" s="1"/>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1"/>
      <c r="C487" s="1"/>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1"/>
      <c r="C488" s="1"/>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1"/>
      <c r="C489" s="1"/>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1"/>
      <c r="C490" s="1"/>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1"/>
      <c r="C491" s="1"/>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1"/>
      <c r="C492" s="1"/>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1"/>
      <c r="C493" s="1"/>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1"/>
      <c r="C494" s="1"/>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1"/>
      <c r="C495" s="1"/>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1"/>
      <c r="C496" s="1"/>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1"/>
      <c r="C497" s="1"/>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1"/>
      <c r="C498" s="1"/>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1"/>
      <c r="C499" s="1"/>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1"/>
      <c r="C500" s="1"/>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1"/>
      <c r="C501" s="1"/>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1"/>
      <c r="C502" s="1"/>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1"/>
      <c r="C503" s="1"/>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1"/>
      <c r="C504" s="1"/>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1"/>
      <c r="C505" s="1"/>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1"/>
      <c r="C506" s="1"/>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1"/>
      <c r="C507" s="1"/>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1"/>
      <c r="C508" s="1"/>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1"/>
      <c r="C509" s="1"/>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1"/>
      <c r="C510" s="1"/>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1"/>
      <c r="C511" s="1"/>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1"/>
      <c r="C512" s="1"/>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1"/>
      <c r="C513" s="1"/>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1"/>
      <c r="C514" s="1"/>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1"/>
      <c r="C515" s="1"/>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1"/>
      <c r="C516" s="1"/>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1"/>
      <c r="C517" s="1"/>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1"/>
      <c r="C518" s="1"/>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1"/>
      <c r="C519" s="1"/>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1"/>
      <c r="C520" s="1"/>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1"/>
      <c r="C521" s="1"/>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1"/>
      <c r="C522" s="1"/>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1"/>
      <c r="C523" s="1"/>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1"/>
      <c r="C524" s="1"/>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1"/>
      <c r="C525" s="1"/>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1"/>
      <c r="C526" s="1"/>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1"/>
      <c r="C527" s="1"/>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1"/>
      <c r="C528" s="1"/>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1"/>
      <c r="C529" s="1"/>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1"/>
      <c r="C530" s="1"/>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1"/>
      <c r="C531" s="1"/>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1"/>
      <c r="C532" s="1"/>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1"/>
      <c r="C533" s="1"/>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1"/>
      <c r="C534" s="1"/>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1"/>
      <c r="C535" s="1"/>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1"/>
      <c r="C536" s="1"/>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1"/>
      <c r="C537" s="1"/>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1"/>
      <c r="C538" s="1"/>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1"/>
      <c r="C539" s="1"/>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1"/>
      <c r="C540" s="1"/>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1"/>
      <c r="C541" s="1"/>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1"/>
      <c r="C542" s="1"/>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1"/>
      <c r="C543" s="1"/>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1"/>
      <c r="C544" s="1"/>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1"/>
      <c r="C545" s="1"/>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1"/>
      <c r="C546" s="1"/>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1"/>
      <c r="C547" s="1"/>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1"/>
      <c r="C548" s="1"/>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1"/>
      <c r="C549" s="1"/>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1"/>
      <c r="C550" s="1"/>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1"/>
      <c r="C551" s="1"/>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1"/>
      <c r="C552" s="1"/>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1"/>
      <c r="C553" s="1"/>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1"/>
      <c r="C554" s="1"/>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1"/>
      <c r="C555" s="1"/>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1"/>
      <c r="C556" s="1"/>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1"/>
      <c r="C557" s="1"/>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1"/>
      <c r="C558" s="1"/>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1"/>
      <c r="C559" s="1"/>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1"/>
      <c r="C560" s="1"/>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1"/>
      <c r="C561" s="1"/>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1"/>
      <c r="C562" s="1"/>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1"/>
      <c r="C563" s="1"/>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1"/>
      <c r="C564" s="1"/>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1"/>
      <c r="C565" s="1"/>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1"/>
      <c r="C566" s="1"/>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1"/>
      <c r="C567" s="1"/>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1"/>
      <c r="C568" s="1"/>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1"/>
      <c r="C569" s="1"/>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1"/>
      <c r="C570" s="1"/>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1"/>
      <c r="C571" s="1"/>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1"/>
      <c r="C572" s="1"/>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1"/>
      <c r="C573" s="1"/>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1"/>
      <c r="C574" s="1"/>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1"/>
      <c r="C575" s="1"/>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1"/>
      <c r="C576" s="1"/>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1"/>
      <c r="C577" s="1"/>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1"/>
      <c r="C578" s="1"/>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1"/>
      <c r="C579" s="1"/>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1"/>
      <c r="C580" s="1"/>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1"/>
      <c r="C581" s="1"/>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1"/>
      <c r="C582" s="1"/>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1"/>
      <c r="C583" s="1"/>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1"/>
      <c r="C584" s="1"/>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1"/>
      <c r="C585" s="1"/>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1"/>
      <c r="C586" s="1"/>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1"/>
      <c r="C587" s="1"/>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1"/>
      <c r="C588" s="1"/>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1"/>
      <c r="C589" s="1"/>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1"/>
      <c r="C590" s="1"/>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1"/>
      <c r="C591" s="1"/>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1"/>
      <c r="C592" s="1"/>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1"/>
      <c r="C593" s="1"/>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1"/>
      <c r="C594" s="1"/>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1"/>
      <c r="C595" s="1"/>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1"/>
      <c r="C596" s="1"/>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1"/>
      <c r="C597" s="1"/>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1"/>
      <c r="C598" s="1"/>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1"/>
      <c r="C599" s="1"/>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1"/>
      <c r="C600" s="1"/>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1"/>
      <c r="C601" s="1"/>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1"/>
      <c r="C602" s="1"/>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1"/>
      <c r="C603" s="1"/>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1"/>
      <c r="C604" s="1"/>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1"/>
      <c r="C605" s="1"/>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1"/>
      <c r="C606" s="1"/>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1"/>
      <c r="C607" s="1"/>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1"/>
      <c r="C608" s="1"/>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1"/>
      <c r="C609" s="1"/>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1"/>
      <c r="C610" s="1"/>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1"/>
      <c r="C611" s="1"/>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1"/>
      <c r="C612" s="1"/>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1"/>
      <c r="C613" s="1"/>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1"/>
      <c r="C614" s="1"/>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1"/>
      <c r="C615" s="1"/>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1"/>
      <c r="C616" s="1"/>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1"/>
      <c r="C617" s="1"/>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1"/>
      <c r="C618" s="1"/>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1"/>
      <c r="C619" s="1"/>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1"/>
      <c r="C620" s="1"/>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1"/>
      <c r="C621" s="1"/>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1"/>
      <c r="C622" s="1"/>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1"/>
      <c r="C623" s="1"/>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1"/>
      <c r="C624" s="1"/>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1"/>
      <c r="C625" s="1"/>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1"/>
      <c r="C626" s="1"/>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1"/>
      <c r="C627" s="1"/>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1"/>
      <c r="C628" s="1"/>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1"/>
      <c r="C629" s="1"/>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1"/>
      <c r="C630" s="1"/>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1"/>
      <c r="C631" s="1"/>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1"/>
      <c r="C632" s="1"/>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1"/>
      <c r="C633" s="1"/>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1"/>
      <c r="C634" s="1"/>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1"/>
      <c r="C635" s="1"/>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1"/>
      <c r="C636" s="1"/>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1"/>
      <c r="C637" s="1"/>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1"/>
      <c r="C638" s="1"/>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1"/>
      <c r="C639" s="1"/>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1"/>
      <c r="C640" s="1"/>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1"/>
      <c r="C641" s="1"/>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1"/>
      <c r="C642" s="1"/>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1"/>
      <c r="C643" s="1"/>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1"/>
      <c r="C644" s="1"/>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1"/>
      <c r="C645" s="1"/>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1"/>
      <c r="C646" s="1"/>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1"/>
      <c r="C647" s="1"/>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1"/>
      <c r="C648" s="1"/>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1"/>
      <c r="C649" s="1"/>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1"/>
      <c r="C650" s="1"/>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1"/>
      <c r="C651" s="1"/>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1"/>
      <c r="C652" s="1"/>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1"/>
      <c r="C653" s="1"/>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1"/>
      <c r="C654" s="1"/>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1"/>
      <c r="C655" s="1"/>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1"/>
      <c r="C656" s="1"/>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1"/>
      <c r="C657" s="1"/>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1"/>
      <c r="C658" s="1"/>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1"/>
      <c r="C659" s="1"/>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1"/>
      <c r="C660" s="1"/>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1"/>
      <c r="C661" s="1"/>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1"/>
      <c r="C662" s="1"/>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1"/>
      <c r="C663" s="1"/>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1"/>
      <c r="C664" s="1"/>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1"/>
      <c r="C665" s="1"/>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1"/>
      <c r="C666" s="1"/>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1"/>
      <c r="C667" s="1"/>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1"/>
      <c r="C668" s="1"/>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1"/>
      <c r="C669" s="1"/>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1"/>
      <c r="C670" s="1"/>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1"/>
      <c r="C671" s="1"/>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1"/>
      <c r="C672" s="1"/>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1"/>
      <c r="C673" s="1"/>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1"/>
      <c r="C674" s="1"/>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1"/>
      <c r="C675" s="1"/>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1"/>
      <c r="C676" s="1"/>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1"/>
      <c r="C677" s="1"/>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1"/>
      <c r="C678" s="1"/>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1"/>
      <c r="C679" s="1"/>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1"/>
      <c r="C680" s="1"/>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1"/>
      <c r="C681" s="1"/>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1"/>
      <c r="C682" s="1"/>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1"/>
      <c r="C683" s="1"/>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1"/>
      <c r="C684" s="1"/>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1"/>
      <c r="C685" s="1"/>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1"/>
      <c r="C686" s="1"/>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1"/>
      <c r="C687" s="1"/>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1"/>
      <c r="C688" s="1"/>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1"/>
      <c r="C689" s="1"/>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1"/>
      <c r="C690" s="1"/>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1"/>
      <c r="C691" s="1"/>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1"/>
      <c r="C692" s="1"/>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1"/>
      <c r="C693" s="1"/>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1"/>
      <c r="C694" s="1"/>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1"/>
      <c r="C695" s="1"/>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1"/>
      <c r="C696" s="1"/>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1"/>
      <c r="C697" s="1"/>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1"/>
      <c r="C698" s="1"/>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1"/>
      <c r="C699" s="1"/>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1"/>
      <c r="C700" s="1"/>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1"/>
      <c r="C701" s="1"/>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1"/>
      <c r="C702" s="1"/>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1"/>
      <c r="C703" s="1"/>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1"/>
      <c r="C704" s="1"/>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1"/>
      <c r="C705" s="1"/>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1"/>
      <c r="C706" s="1"/>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1"/>
      <c r="C707" s="1"/>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1"/>
      <c r="C708" s="1"/>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1"/>
      <c r="C709" s="1"/>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1"/>
      <c r="C710" s="1"/>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1"/>
      <c r="C711" s="1"/>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1"/>
      <c r="C712" s="1"/>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1"/>
      <c r="C713" s="1"/>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1"/>
      <c r="C714" s="1"/>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1"/>
      <c r="C715" s="1"/>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1"/>
      <c r="C716" s="1"/>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1"/>
      <c r="C717" s="1"/>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1"/>
      <c r="C718" s="1"/>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1"/>
      <c r="C719" s="1"/>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1"/>
      <c r="C720" s="1"/>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1"/>
      <c r="C721" s="1"/>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1"/>
      <c r="C722" s="1"/>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1"/>
      <c r="C723" s="1"/>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1"/>
      <c r="C724" s="1"/>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1"/>
      <c r="C725" s="1"/>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1"/>
      <c r="C726" s="1"/>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1"/>
      <c r="C727" s="1"/>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1"/>
      <c r="C728" s="1"/>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1"/>
      <c r="C729" s="1"/>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1"/>
      <c r="C730" s="1"/>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1"/>
      <c r="C731" s="1"/>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1"/>
      <c r="C732" s="1"/>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1"/>
      <c r="C733" s="1"/>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1"/>
      <c r="C734" s="1"/>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1"/>
      <c r="C735" s="1"/>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1"/>
      <c r="C736" s="1"/>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1"/>
      <c r="C737" s="1"/>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1"/>
      <c r="C738" s="1"/>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1"/>
      <c r="C739" s="1"/>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1"/>
      <c r="C740" s="1"/>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1"/>
      <c r="C741" s="1"/>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1"/>
      <c r="C742" s="1"/>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1"/>
      <c r="C743" s="1"/>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1"/>
      <c r="C744" s="1"/>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1"/>
      <c r="C745" s="1"/>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1"/>
      <c r="C746" s="1"/>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1"/>
      <c r="C747" s="1"/>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1"/>
      <c r="C748" s="1"/>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1"/>
      <c r="C749" s="1"/>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1"/>
      <c r="C750" s="1"/>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1"/>
      <c r="C751" s="1"/>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1"/>
      <c r="C752" s="1"/>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1"/>
      <c r="C753" s="1"/>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1"/>
      <c r="C754" s="1"/>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1"/>
      <c r="C755" s="1"/>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1"/>
      <c r="C756" s="1"/>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1"/>
      <c r="C757" s="1"/>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1"/>
      <c r="C758" s="1"/>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1"/>
      <c r="C759" s="1"/>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1"/>
      <c r="C760" s="1"/>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1"/>
      <c r="C761" s="1"/>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1"/>
      <c r="C762" s="1"/>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1"/>
      <c r="C763" s="1"/>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1"/>
      <c r="C764" s="1"/>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1"/>
      <c r="C765" s="1"/>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1"/>
      <c r="C766" s="1"/>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1"/>
      <c r="C767" s="1"/>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1"/>
      <c r="C768" s="1"/>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1"/>
      <c r="C769" s="1"/>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1"/>
      <c r="C770" s="1"/>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1"/>
      <c r="C771" s="1"/>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1"/>
      <c r="C772" s="1"/>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1"/>
      <c r="C773" s="1"/>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1"/>
      <c r="C774" s="1"/>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1"/>
      <c r="C775" s="1"/>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1"/>
      <c r="C776" s="1"/>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1"/>
      <c r="C777" s="1"/>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1"/>
      <c r="C778" s="1"/>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1"/>
      <c r="C779" s="1"/>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1"/>
      <c r="C780" s="1"/>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1"/>
      <c r="C781" s="1"/>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1"/>
      <c r="C782" s="1"/>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1"/>
      <c r="C783" s="1"/>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1"/>
      <c r="C784" s="1"/>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1"/>
      <c r="C785" s="1"/>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1"/>
      <c r="C786" s="1"/>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1"/>
      <c r="C787" s="1"/>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1"/>
      <c r="C788" s="1"/>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1"/>
      <c r="C789" s="1"/>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1"/>
      <c r="C790" s="1"/>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1"/>
      <c r="C791" s="1"/>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1"/>
      <c r="C792" s="1"/>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1"/>
      <c r="C793" s="1"/>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1"/>
      <c r="C794" s="1"/>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1"/>
      <c r="C795" s="1"/>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1"/>
      <c r="C796" s="1"/>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1"/>
      <c r="C797" s="1"/>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1"/>
      <c r="C798" s="1"/>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1"/>
      <c r="C799" s="1"/>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1"/>
      <c r="C800" s="1"/>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1"/>
      <c r="C801" s="1"/>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1"/>
      <c r="C802" s="1"/>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1"/>
      <c r="C803" s="1"/>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1"/>
      <c r="C804" s="1"/>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1"/>
      <c r="C805" s="1"/>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1"/>
      <c r="C806" s="1"/>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1"/>
      <c r="C807" s="1"/>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1"/>
      <c r="C808" s="1"/>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1"/>
      <c r="C809" s="1"/>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1"/>
      <c r="C810" s="1"/>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1"/>
      <c r="C811" s="1"/>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1"/>
      <c r="C812" s="1"/>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1"/>
      <c r="C813" s="1"/>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1"/>
      <c r="C814" s="1"/>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1"/>
      <c r="C815" s="1"/>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1"/>
      <c r="C816" s="1"/>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1"/>
      <c r="C817" s="1"/>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1"/>
      <c r="C818" s="1"/>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1"/>
      <c r="C819" s="1"/>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1"/>
      <c r="C820" s="1"/>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1"/>
      <c r="C821" s="1"/>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1"/>
      <c r="C822" s="1"/>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1"/>
      <c r="C823" s="1"/>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1"/>
      <c r="C824" s="1"/>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1"/>
      <c r="C825" s="1"/>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1"/>
      <c r="C826" s="1"/>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1"/>
      <c r="C827" s="1"/>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1"/>
      <c r="C828" s="1"/>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1"/>
      <c r="C829" s="1"/>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1"/>
      <c r="C830" s="1"/>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1"/>
      <c r="C831" s="1"/>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1"/>
      <c r="C832" s="1"/>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1"/>
      <c r="C833" s="1"/>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1"/>
      <c r="C834" s="1"/>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1"/>
      <c r="C835" s="1"/>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1"/>
      <c r="C836" s="1"/>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1"/>
      <c r="C837" s="1"/>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1"/>
      <c r="C838" s="1"/>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1"/>
      <c r="C839" s="1"/>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1"/>
      <c r="C840" s="1"/>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1"/>
      <c r="C841" s="1"/>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1"/>
      <c r="C842" s="1"/>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1"/>
      <c r="C843" s="1"/>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1"/>
      <c r="C844" s="1"/>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1"/>
      <c r="C845" s="1"/>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1"/>
      <c r="C846" s="1"/>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1"/>
      <c r="C847" s="1"/>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1"/>
      <c r="C848" s="1"/>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1"/>
      <c r="C849" s="1"/>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1"/>
      <c r="C850" s="1"/>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1"/>
      <c r="C851" s="1"/>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1"/>
      <c r="C852" s="1"/>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1"/>
      <c r="C853" s="1"/>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1"/>
      <c r="C854" s="1"/>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1"/>
      <c r="C855" s="1"/>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1"/>
      <c r="C856" s="1"/>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1"/>
      <c r="C857" s="1"/>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1"/>
      <c r="C858" s="1"/>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1"/>
      <c r="C859" s="1"/>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1"/>
      <c r="C860" s="1"/>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1"/>
      <c r="C861" s="1"/>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1"/>
      <c r="C862" s="1"/>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1"/>
      <c r="C863" s="1"/>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1"/>
      <c r="C864" s="1"/>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1"/>
      <c r="C865" s="1"/>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1"/>
      <c r="C866" s="1"/>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1"/>
      <c r="C867" s="1"/>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1"/>
      <c r="C868" s="1"/>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1"/>
      <c r="C869" s="1"/>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1"/>
      <c r="C870" s="1"/>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1"/>
      <c r="C871" s="1"/>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1"/>
      <c r="C872" s="1"/>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1"/>
      <c r="C873" s="1"/>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1"/>
      <c r="C874" s="1"/>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1"/>
      <c r="C875" s="1"/>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1"/>
      <c r="C876" s="1"/>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1"/>
      <c r="C877" s="1"/>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1"/>
      <c r="C878" s="1"/>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1"/>
      <c r="C879" s="1"/>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1"/>
      <c r="C880" s="1"/>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1"/>
      <c r="C881" s="1"/>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1"/>
      <c r="C882" s="1"/>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1"/>
      <c r="C883" s="1"/>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1"/>
      <c r="C884" s="1"/>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1"/>
      <c r="C885" s="1"/>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1"/>
      <c r="C886" s="1"/>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1"/>
      <c r="C887" s="1"/>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1"/>
      <c r="C888" s="1"/>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1"/>
      <c r="C889" s="1"/>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1"/>
      <c r="C890" s="1"/>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1"/>
      <c r="C891" s="1"/>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1"/>
      <c r="C892" s="1"/>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1"/>
      <c r="C893" s="1"/>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1"/>
      <c r="C894" s="1"/>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1"/>
      <c r="C895" s="1"/>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1"/>
      <c r="C896" s="1"/>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1"/>
      <c r="C897" s="1"/>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1"/>
      <c r="C898" s="1"/>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1"/>
      <c r="C899" s="1"/>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1"/>
      <c r="C900" s="1"/>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1"/>
      <c r="C901" s="1"/>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1"/>
      <c r="C902" s="1"/>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1"/>
      <c r="C903" s="1"/>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1"/>
      <c r="C904" s="1"/>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1"/>
      <c r="C905" s="1"/>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1"/>
      <c r="C906" s="1"/>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1"/>
      <c r="C907" s="1"/>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1"/>
      <c r="C908" s="1"/>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1"/>
      <c r="C909" s="1"/>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1"/>
      <c r="C910" s="1"/>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1"/>
      <c r="C911" s="1"/>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1"/>
      <c r="C912" s="1"/>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1"/>
      <c r="C913" s="1"/>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1"/>
      <c r="C914" s="1"/>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1"/>
      <c r="C915" s="1"/>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1"/>
      <c r="C916" s="1"/>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1"/>
      <c r="C917" s="1"/>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1"/>
      <c r="C918" s="1"/>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1"/>
      <c r="C919" s="1"/>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1"/>
      <c r="C920" s="1"/>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1"/>
      <c r="C921" s="1"/>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1"/>
      <c r="C922" s="1"/>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1"/>
      <c r="C923" s="1"/>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1"/>
      <c r="C924" s="1"/>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1"/>
      <c r="C925" s="1"/>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1"/>
      <c r="C926" s="1"/>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1"/>
      <c r="C927" s="1"/>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1"/>
      <c r="C928" s="1"/>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1"/>
      <c r="C929" s="1"/>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1"/>
      <c r="C930" s="1"/>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1"/>
      <c r="C931" s="1"/>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1"/>
      <c r="C932" s="1"/>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1"/>
      <c r="C933" s="1"/>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1"/>
      <c r="C934" s="1"/>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1"/>
      <c r="C935" s="1"/>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1"/>
      <c r="C936" s="1"/>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1"/>
      <c r="C937" s="1"/>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1"/>
      <c r="C938" s="1"/>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1"/>
      <c r="C939" s="1"/>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1"/>
      <c r="C940" s="1"/>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1"/>
      <c r="C941" s="1"/>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1"/>
      <c r="C942" s="1"/>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1"/>
      <c r="C943" s="1"/>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1"/>
      <c r="C944" s="1"/>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1"/>
      <c r="C945" s="1"/>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1"/>
      <c r="C946" s="1"/>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1"/>
      <c r="C947" s="1"/>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1"/>
      <c r="C948" s="1"/>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1"/>
      <c r="C949" s="1"/>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1"/>
      <c r="C950" s="1"/>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1"/>
      <c r="C951" s="1"/>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1"/>
      <c r="C952" s="1"/>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1"/>
      <c r="C953" s="1"/>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1"/>
      <c r="C954" s="1"/>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1"/>
      <c r="C955" s="1"/>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1"/>
      <c r="C956" s="1"/>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1"/>
      <c r="C957" s="1"/>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1"/>
      <c r="C958" s="1"/>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1"/>
      <c r="C959" s="1"/>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1"/>
      <c r="C960" s="1"/>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1"/>
      <c r="C961" s="1"/>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1"/>
      <c r="C962" s="1"/>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1"/>
      <c r="C963" s="1"/>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1"/>
      <c r="C964" s="1"/>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1"/>
      <c r="C965" s="1"/>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1"/>
      <c r="C966" s="1"/>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1"/>
      <c r="C967" s="1"/>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1"/>
      <c r="C968" s="1"/>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1"/>
      <c r="C969" s="1"/>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1"/>
      <c r="C970" s="1"/>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1"/>
      <c r="C971" s="1"/>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1"/>
      <c r="C972" s="1"/>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1"/>
      <c r="C973" s="1"/>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1"/>
      <c r="C974" s="1"/>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1"/>
      <c r="C975" s="1"/>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1"/>
      <c r="C976" s="1"/>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1"/>
      <c r="C977" s="1"/>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1"/>
      <c r="C978" s="1"/>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1"/>
      <c r="C979" s="1"/>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1"/>
      <c r="C980" s="1"/>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1"/>
      <c r="C981" s="1"/>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1"/>
      <c r="C982" s="1"/>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1"/>
      <c r="C983" s="1"/>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1"/>
      <c r="C984" s="1"/>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1"/>
      <c r="C985" s="1"/>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1"/>
      <c r="C986" s="1"/>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1"/>
      <c r="C987" s="1"/>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1"/>
      <c r="C988" s="1"/>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1"/>
      <c r="C989" s="1"/>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1"/>
      <c r="C990" s="1"/>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1"/>
      <c r="C991" s="1"/>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1"/>
      <c r="C992" s="1"/>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1"/>
      <c r="C993" s="1"/>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1"/>
      <c r="C994" s="1"/>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1"/>
      <c r="C995" s="1"/>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1"/>
      <c r="C996" s="1"/>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1"/>
      <c r="C997" s="1"/>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1"/>
      <c r="C998" s="1"/>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1"/>
      <c r="C999" s="1"/>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1"/>
      <c r="C1000" s="1"/>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c r="A1001" s="1"/>
      <c r="B1001" s="1"/>
      <c r="C1001" s="1"/>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25" customHeight="1">
      <c r="A1002" s="1"/>
      <c r="B1002" s="1"/>
      <c r="C1002" s="1"/>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4.25" customHeight="1">
      <c r="A1003" s="1"/>
      <c r="B1003" s="1"/>
      <c r="C1003" s="1"/>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4.25" customHeight="1">
      <c r="A1004" s="1"/>
      <c r="B1004" s="1"/>
      <c r="C1004" s="1"/>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4.25" customHeight="1">
      <c r="A1005" s="1"/>
      <c r="B1005" s="1"/>
      <c r="C1005" s="1"/>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4.25" customHeight="1">
      <c r="A1006" s="1"/>
      <c r="B1006" s="1"/>
      <c r="C1006" s="1"/>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4.25" customHeight="1">
      <c r="A1007" s="1"/>
      <c r="B1007" s="1"/>
      <c r="C1007" s="1"/>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4.25" customHeight="1">
      <c r="A1008" s="1"/>
      <c r="B1008" s="1"/>
      <c r="C1008" s="1"/>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4.25" customHeight="1">
      <c r="A1009" s="1"/>
      <c r="B1009" s="1"/>
      <c r="C1009" s="1"/>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4.25" customHeight="1">
      <c r="A1010" s="1"/>
      <c r="B1010" s="1"/>
      <c r="C1010" s="1"/>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4.25" customHeight="1">
      <c r="A1011" s="1"/>
      <c r="B1011" s="1"/>
      <c r="C1011" s="1"/>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4.25" customHeight="1">
      <c r="A1012" s="1"/>
      <c r="B1012" s="1"/>
      <c r="C1012" s="1"/>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4.25" customHeight="1">
      <c r="A1013" s="1"/>
      <c r="B1013" s="1"/>
      <c r="C1013" s="1"/>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4.25" customHeight="1">
      <c r="A1014" s="1"/>
      <c r="B1014" s="1"/>
      <c r="C1014" s="1"/>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4.25" customHeight="1">
      <c r="A1015" s="1"/>
      <c r="B1015" s="1"/>
      <c r="C1015" s="1"/>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4.25" customHeight="1">
      <c r="A1016" s="1"/>
      <c r="B1016" s="1"/>
      <c r="C1016" s="1"/>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4.25" customHeight="1">
      <c r="A1017" s="1"/>
      <c r="B1017" s="1"/>
      <c r="C1017" s="1"/>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4.25" customHeight="1">
      <c r="A1018" s="1"/>
      <c r="B1018" s="1"/>
      <c r="C1018" s="1"/>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4.25" customHeight="1">
      <c r="A1019" s="1"/>
      <c r="B1019" s="1"/>
      <c r="C1019" s="1"/>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4.25" customHeight="1">
      <c r="A1020" s="1"/>
      <c r="B1020" s="1"/>
      <c r="C1020" s="1"/>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4.25" customHeight="1">
      <c r="A1021" s="1"/>
      <c r="B1021" s="1"/>
      <c r="C1021" s="1"/>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4.25" customHeight="1">
      <c r="A1022" s="1"/>
      <c r="B1022" s="1"/>
      <c r="C1022" s="1"/>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4.25" customHeight="1">
      <c r="A1023" s="1"/>
      <c r="B1023" s="1"/>
      <c r="C1023" s="1"/>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4.25" customHeight="1">
      <c r="A1024" s="1"/>
      <c r="B1024" s="1"/>
      <c r="C1024" s="1"/>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4.25" customHeight="1">
      <c r="A1025" s="1"/>
      <c r="B1025" s="1"/>
      <c r="C1025" s="1"/>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4.25" customHeight="1">
      <c r="A1026" s="1"/>
      <c r="B1026" s="1"/>
      <c r="C1026" s="1"/>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4.25" customHeight="1">
      <c r="A1027" s="1"/>
      <c r="B1027" s="1"/>
      <c r="C1027" s="1"/>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4.25" customHeight="1">
      <c r="A1028" s="1"/>
      <c r="B1028" s="1"/>
      <c r="C1028" s="1"/>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4.25" customHeight="1">
      <c r="A1029" s="1"/>
      <c r="B1029" s="1"/>
      <c r="C1029" s="1"/>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4.25" customHeight="1">
      <c r="A1030" s="1"/>
      <c r="B1030" s="1"/>
      <c r="C1030" s="1"/>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4.25" customHeight="1">
      <c r="A1031" s="1"/>
      <c r="B1031" s="1"/>
      <c r="C1031" s="1"/>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4.25" customHeight="1">
      <c r="A1032" s="1"/>
      <c r="B1032" s="1"/>
      <c r="C1032" s="1"/>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4.25" customHeight="1">
      <c r="A1033" s="1"/>
      <c r="B1033" s="1"/>
      <c r="C1033" s="1"/>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4.25" customHeight="1">
      <c r="A1034" s="1"/>
      <c r="B1034" s="1"/>
      <c r="C1034" s="1"/>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4.25" customHeight="1">
      <c r="A1035" s="1"/>
      <c r="B1035" s="1"/>
      <c r="C1035" s="1"/>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4.25" customHeight="1">
      <c r="A1036" s="1"/>
      <c r="B1036" s="1"/>
      <c r="C1036" s="1"/>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4.25" customHeight="1">
      <c r="A1037" s="1"/>
      <c r="B1037" s="1"/>
      <c r="C1037" s="1"/>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4.25" customHeight="1">
      <c r="A1038" s="1"/>
      <c r="B1038" s="1"/>
      <c r="C1038" s="1"/>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4.25" customHeight="1">
      <c r="A1039" s="1"/>
      <c r="B1039" s="1"/>
      <c r="C1039" s="1"/>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4.25" customHeight="1">
      <c r="A1040" s="1"/>
      <c r="B1040" s="1"/>
      <c r="C1040" s="1"/>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4.25" customHeight="1">
      <c r="A1041" s="1"/>
      <c r="B1041" s="1"/>
      <c r="C1041" s="1"/>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4.25" customHeight="1">
      <c r="A1042" s="1"/>
      <c r="B1042" s="1"/>
      <c r="C1042" s="1"/>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4.25" customHeight="1">
      <c r="A1043" s="1"/>
      <c r="B1043" s="1"/>
      <c r="C1043" s="1"/>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spans="1:26" ht="14.25" customHeight="1">
      <c r="A1044" s="1"/>
      <c r="B1044" s="1"/>
      <c r="C1044" s="1"/>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spans="1:26" ht="14.25" customHeight="1">
      <c r="A1045" s="1"/>
      <c r="B1045" s="1"/>
      <c r="C1045" s="1"/>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spans="1:26" ht="14.25" customHeight="1">
      <c r="A1046" s="1"/>
      <c r="B1046" s="1"/>
      <c r="C1046" s="1"/>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spans="1:26" ht="14.25" customHeight="1">
      <c r="A1047" s="1"/>
      <c r="B1047" s="1"/>
      <c r="C1047" s="1"/>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spans="1:26" ht="14.25" customHeight="1">
      <c r="A1048" s="1"/>
      <c r="B1048" s="1"/>
      <c r="C1048" s="1"/>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spans="1:26" ht="14.25" customHeight="1">
      <c r="A1049" s="1"/>
      <c r="B1049" s="1"/>
      <c r="C1049" s="1"/>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spans="1:26" ht="14.25" customHeight="1">
      <c r="A1050" s="1"/>
      <c r="B1050" s="1"/>
      <c r="C1050" s="1"/>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spans="1:26" ht="14.25" customHeight="1">
      <c r="A1051" s="1"/>
      <c r="B1051" s="1"/>
      <c r="C1051" s="1"/>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spans="1:26" ht="14.25" customHeight="1">
      <c r="A1052" s="1"/>
      <c r="B1052" s="1"/>
      <c r="C1052" s="1"/>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spans="1:26" ht="14.25" customHeight="1">
      <c r="A1053" s="1"/>
      <c r="B1053" s="1"/>
      <c r="C1053" s="1"/>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sheetData>
  <mergeCells count="24">
    <mergeCell ref="A73:A83"/>
    <mergeCell ref="A84:A89"/>
    <mergeCell ref="A90:A94"/>
    <mergeCell ref="C90:C94"/>
    <mergeCell ref="C95:C98"/>
    <mergeCell ref="C99:C103"/>
    <mergeCell ref="A2:A34"/>
    <mergeCell ref="C2:C34"/>
    <mergeCell ref="A35:A38"/>
    <mergeCell ref="C35:C38"/>
    <mergeCell ref="A39:A43"/>
    <mergeCell ref="C39:C43"/>
    <mergeCell ref="C44:C51"/>
    <mergeCell ref="A95:A98"/>
    <mergeCell ref="A99:A103"/>
    <mergeCell ref="A44:A51"/>
    <mergeCell ref="A52:A59"/>
    <mergeCell ref="A60:A67"/>
    <mergeCell ref="A68:A72"/>
    <mergeCell ref="C52:C59"/>
    <mergeCell ref="C60:C67"/>
    <mergeCell ref="C68:C72"/>
    <mergeCell ref="C73:C83"/>
    <mergeCell ref="C84:C89"/>
  </mergeCells>
  <hyperlinks>
    <hyperlink ref="C2" r:id="rId1" xr:uid="{00000000-0004-0000-0300-000000000000}"/>
    <hyperlink ref="C39" r:id="rId2" xr:uid="{00000000-0004-0000-0300-000001000000}"/>
    <hyperlink ref="C44" r:id="rId3" xr:uid="{00000000-0004-0000-0300-000002000000}"/>
    <hyperlink ref="C73" r:id="rId4" xr:uid="{00000000-0004-0000-0300-000003000000}"/>
    <hyperlink ref="C90" r:id="rId5" xr:uid="{00000000-0004-0000-0300-000004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topLeftCell="A32" workbookViewId="0">
      <selection activeCell="A2" sqref="A2:C33"/>
    </sheetView>
  </sheetViews>
  <sheetFormatPr defaultColWidth="14.44140625" defaultRowHeight="15" customHeight="1"/>
  <cols>
    <col min="1" max="26" width="39.88671875" customWidth="1"/>
  </cols>
  <sheetData>
    <row r="1" spans="1:26" ht="14.4">
      <c r="A1" s="13" t="s">
        <v>475</v>
      </c>
      <c r="B1" s="5" t="s">
        <v>63</v>
      </c>
      <c r="C1" s="13" t="s">
        <v>64</v>
      </c>
      <c r="D1" s="2"/>
      <c r="E1" s="2"/>
      <c r="F1" s="2"/>
      <c r="G1" s="2"/>
      <c r="H1" s="2"/>
      <c r="I1" s="2"/>
      <c r="J1" s="2"/>
      <c r="K1" s="2"/>
      <c r="L1" s="2"/>
      <c r="M1" s="2"/>
      <c r="N1" s="2"/>
      <c r="O1" s="2"/>
      <c r="P1" s="2"/>
      <c r="Q1" s="2"/>
      <c r="R1" s="2"/>
      <c r="S1" s="2"/>
      <c r="T1" s="2"/>
      <c r="U1" s="2"/>
      <c r="V1" s="2"/>
      <c r="W1" s="2"/>
      <c r="X1" s="2"/>
      <c r="Y1" s="2"/>
      <c r="Z1" s="2"/>
    </row>
    <row r="2" spans="1:26" ht="28.8">
      <c r="A2" s="29" t="s">
        <v>476</v>
      </c>
      <c r="B2" s="1" t="s">
        <v>477</v>
      </c>
      <c r="C2" s="28" t="s">
        <v>478</v>
      </c>
      <c r="D2" s="2"/>
      <c r="E2" s="2"/>
      <c r="F2" s="2"/>
      <c r="G2" s="2"/>
      <c r="H2" s="2"/>
      <c r="I2" s="2"/>
      <c r="J2" s="2"/>
      <c r="K2" s="2"/>
      <c r="L2" s="2"/>
      <c r="M2" s="2"/>
      <c r="N2" s="2"/>
      <c r="O2" s="2"/>
      <c r="P2" s="2"/>
      <c r="Q2" s="2"/>
      <c r="R2" s="2"/>
      <c r="S2" s="2"/>
      <c r="T2" s="2"/>
      <c r="U2" s="2"/>
      <c r="V2" s="2"/>
      <c r="W2" s="2"/>
      <c r="X2" s="2"/>
      <c r="Y2" s="2"/>
      <c r="Z2" s="2"/>
    </row>
    <row r="3" spans="1:26" ht="14.4">
      <c r="A3" s="25"/>
      <c r="B3" s="1"/>
      <c r="C3" s="25"/>
      <c r="D3" s="2"/>
      <c r="E3" s="2"/>
      <c r="F3" s="2"/>
      <c r="G3" s="2"/>
      <c r="H3" s="2"/>
      <c r="I3" s="2"/>
      <c r="J3" s="2"/>
      <c r="K3" s="2"/>
      <c r="L3" s="2"/>
      <c r="M3" s="2"/>
      <c r="N3" s="2"/>
      <c r="O3" s="2"/>
      <c r="P3" s="2"/>
      <c r="Q3" s="2"/>
      <c r="R3" s="2"/>
      <c r="S3" s="2"/>
      <c r="T3" s="2"/>
      <c r="U3" s="2"/>
      <c r="V3" s="2"/>
      <c r="W3" s="2"/>
      <c r="X3" s="2"/>
      <c r="Y3" s="2"/>
      <c r="Z3" s="2"/>
    </row>
    <row r="4" spans="1:26" ht="14.4">
      <c r="A4" s="25"/>
      <c r="B4" s="1"/>
      <c r="C4" s="25"/>
      <c r="D4" s="2"/>
      <c r="E4" s="2"/>
      <c r="F4" s="2"/>
      <c r="G4" s="2"/>
      <c r="H4" s="2"/>
      <c r="I4" s="2"/>
      <c r="J4" s="2"/>
      <c r="K4" s="2"/>
      <c r="L4" s="2"/>
      <c r="M4" s="2"/>
      <c r="N4" s="2"/>
      <c r="O4" s="2"/>
      <c r="P4" s="2"/>
      <c r="Q4" s="2"/>
      <c r="R4" s="2"/>
      <c r="S4" s="2"/>
      <c r="T4" s="2"/>
      <c r="U4" s="2"/>
      <c r="V4" s="2"/>
      <c r="W4" s="2"/>
      <c r="X4" s="2"/>
      <c r="Y4" s="2"/>
      <c r="Z4" s="2"/>
    </row>
    <row r="5" spans="1:26" ht="14.4">
      <c r="A5" s="25"/>
      <c r="B5" s="1" t="s">
        <v>479</v>
      </c>
      <c r="C5" s="25"/>
      <c r="D5" s="2"/>
      <c r="E5" s="2"/>
      <c r="F5" s="2"/>
      <c r="G5" s="2"/>
      <c r="H5" s="2"/>
      <c r="I5" s="2"/>
      <c r="J5" s="2"/>
      <c r="K5" s="2"/>
      <c r="L5" s="2"/>
      <c r="M5" s="2"/>
      <c r="N5" s="2"/>
      <c r="O5" s="2"/>
      <c r="P5" s="2"/>
      <c r="Q5" s="2"/>
      <c r="R5" s="2"/>
      <c r="S5" s="2"/>
      <c r="T5" s="2"/>
      <c r="U5" s="2"/>
      <c r="V5" s="2"/>
      <c r="W5" s="2"/>
      <c r="X5" s="2"/>
      <c r="Y5" s="2"/>
      <c r="Z5" s="2"/>
    </row>
    <row r="6" spans="1:26" ht="14.4">
      <c r="A6" s="25"/>
      <c r="B6" s="1" t="s">
        <v>480</v>
      </c>
      <c r="C6" s="25"/>
      <c r="D6" s="2"/>
      <c r="E6" s="2"/>
      <c r="F6" s="2"/>
      <c r="G6" s="2"/>
      <c r="H6" s="2"/>
      <c r="I6" s="2"/>
      <c r="J6" s="2"/>
      <c r="K6" s="2"/>
      <c r="L6" s="2"/>
      <c r="M6" s="2"/>
      <c r="N6" s="2"/>
      <c r="O6" s="2"/>
      <c r="P6" s="2"/>
      <c r="Q6" s="2"/>
      <c r="R6" s="2"/>
      <c r="S6" s="2"/>
      <c r="T6" s="2"/>
      <c r="U6" s="2"/>
      <c r="V6" s="2"/>
      <c r="W6" s="2"/>
      <c r="X6" s="2"/>
      <c r="Y6" s="2"/>
      <c r="Z6" s="2"/>
    </row>
    <row r="7" spans="1:26" ht="14.4">
      <c r="A7" s="25"/>
      <c r="B7" s="1" t="s">
        <v>481</v>
      </c>
      <c r="C7" s="25"/>
      <c r="D7" s="2"/>
      <c r="E7" s="2"/>
      <c r="F7" s="2"/>
      <c r="G7" s="2"/>
      <c r="H7" s="2"/>
      <c r="I7" s="2"/>
      <c r="J7" s="2"/>
      <c r="K7" s="2"/>
      <c r="L7" s="2"/>
      <c r="M7" s="2"/>
      <c r="N7" s="2"/>
      <c r="O7" s="2"/>
      <c r="P7" s="2"/>
      <c r="Q7" s="2"/>
      <c r="R7" s="2"/>
      <c r="S7" s="2"/>
      <c r="T7" s="2"/>
      <c r="U7" s="2"/>
      <c r="V7" s="2"/>
      <c r="W7" s="2"/>
      <c r="X7" s="2"/>
      <c r="Y7" s="2"/>
      <c r="Z7" s="2"/>
    </row>
    <row r="8" spans="1:26" ht="14.4">
      <c r="A8" s="25"/>
      <c r="B8" s="6" t="s">
        <v>482</v>
      </c>
      <c r="C8" s="25"/>
      <c r="D8" s="2"/>
      <c r="E8" s="2"/>
      <c r="F8" s="2"/>
      <c r="G8" s="2"/>
      <c r="H8" s="2"/>
      <c r="I8" s="2"/>
      <c r="J8" s="2"/>
      <c r="K8" s="2"/>
      <c r="L8" s="2"/>
      <c r="M8" s="2"/>
      <c r="N8" s="2"/>
      <c r="O8" s="2"/>
      <c r="P8" s="2"/>
      <c r="Q8" s="2"/>
      <c r="R8" s="2"/>
      <c r="S8" s="2"/>
      <c r="T8" s="2"/>
      <c r="U8" s="2"/>
      <c r="V8" s="2"/>
      <c r="W8" s="2"/>
      <c r="X8" s="2"/>
      <c r="Y8" s="2"/>
      <c r="Z8" s="2"/>
    </row>
    <row r="9" spans="1:26" ht="28.8">
      <c r="A9" s="25"/>
      <c r="B9" s="6" t="s">
        <v>483</v>
      </c>
      <c r="C9" s="25"/>
      <c r="D9" s="2"/>
      <c r="E9" s="2"/>
      <c r="F9" s="2"/>
      <c r="G9" s="2"/>
      <c r="H9" s="2"/>
      <c r="I9" s="2"/>
      <c r="J9" s="2"/>
      <c r="K9" s="2"/>
      <c r="L9" s="2"/>
      <c r="M9" s="2"/>
      <c r="N9" s="2"/>
      <c r="O9" s="2"/>
      <c r="P9" s="2"/>
      <c r="Q9" s="2"/>
      <c r="R9" s="2"/>
      <c r="S9" s="2"/>
      <c r="T9" s="2"/>
      <c r="U9" s="2"/>
      <c r="V9" s="2"/>
      <c r="W9" s="2"/>
      <c r="X9" s="2"/>
      <c r="Y9" s="2"/>
      <c r="Z9" s="2"/>
    </row>
    <row r="10" spans="1:26" ht="14.4">
      <c r="A10" s="25"/>
      <c r="B10" s="6"/>
      <c r="C10" s="25"/>
      <c r="D10" s="2"/>
      <c r="E10" s="2"/>
      <c r="F10" s="2"/>
      <c r="G10" s="2"/>
      <c r="H10" s="2"/>
      <c r="I10" s="2"/>
      <c r="J10" s="2"/>
      <c r="K10" s="2"/>
      <c r="L10" s="2"/>
      <c r="M10" s="2"/>
      <c r="N10" s="2"/>
      <c r="O10" s="2"/>
      <c r="P10" s="2"/>
      <c r="Q10" s="2"/>
      <c r="R10" s="2"/>
      <c r="S10" s="2"/>
      <c r="T10" s="2"/>
      <c r="U10" s="2"/>
      <c r="V10" s="2"/>
      <c r="W10" s="2"/>
      <c r="X10" s="2"/>
      <c r="Y10" s="2"/>
      <c r="Z10" s="2"/>
    </row>
    <row r="11" spans="1:26" ht="14.4">
      <c r="A11" s="26"/>
      <c r="B11" s="6"/>
      <c r="C11" s="26"/>
      <c r="D11" s="2"/>
      <c r="E11" s="2"/>
      <c r="F11" s="2"/>
      <c r="G11" s="2"/>
      <c r="H11" s="2"/>
      <c r="I11" s="2"/>
      <c r="J11" s="2"/>
      <c r="K11" s="2"/>
      <c r="L11" s="2"/>
      <c r="M11" s="2"/>
      <c r="N11" s="2"/>
      <c r="O11" s="2"/>
      <c r="P11" s="2"/>
      <c r="Q11" s="2"/>
      <c r="R11" s="2"/>
      <c r="S11" s="2"/>
      <c r="T11" s="2"/>
      <c r="U11" s="2"/>
      <c r="V11" s="2"/>
      <c r="W11" s="2"/>
      <c r="X11" s="2"/>
      <c r="Y11" s="2"/>
      <c r="Z11" s="2"/>
    </row>
    <row r="12" spans="1:26" ht="28.8">
      <c r="A12" s="40" t="s">
        <v>484</v>
      </c>
      <c r="B12" s="6" t="s">
        <v>485</v>
      </c>
      <c r="C12" s="40" t="s">
        <v>486</v>
      </c>
      <c r="D12" s="2"/>
      <c r="E12" s="2"/>
      <c r="F12" s="2"/>
      <c r="G12" s="2"/>
      <c r="H12" s="2"/>
      <c r="I12" s="2"/>
      <c r="J12" s="2"/>
      <c r="K12" s="2"/>
      <c r="L12" s="2"/>
      <c r="M12" s="2"/>
      <c r="N12" s="2"/>
      <c r="O12" s="2"/>
      <c r="P12" s="2"/>
      <c r="Q12" s="2"/>
      <c r="R12" s="2"/>
      <c r="S12" s="2"/>
      <c r="T12" s="2"/>
      <c r="U12" s="2"/>
      <c r="V12" s="2"/>
      <c r="W12" s="2"/>
      <c r="X12" s="2"/>
      <c r="Y12" s="2"/>
      <c r="Z12" s="2"/>
    </row>
    <row r="13" spans="1:26" ht="28.8">
      <c r="A13" s="25"/>
      <c r="B13" s="4" t="s">
        <v>487</v>
      </c>
      <c r="C13" s="25"/>
      <c r="D13" s="2"/>
      <c r="E13" s="2"/>
      <c r="F13" s="2"/>
      <c r="G13" s="2"/>
      <c r="H13" s="2"/>
      <c r="I13" s="2"/>
      <c r="J13" s="2"/>
      <c r="K13" s="2"/>
      <c r="L13" s="2"/>
      <c r="M13" s="2"/>
      <c r="N13" s="2"/>
      <c r="O13" s="2"/>
      <c r="P13" s="2"/>
      <c r="Q13" s="2"/>
      <c r="R13" s="2"/>
      <c r="S13" s="2"/>
      <c r="T13" s="2"/>
      <c r="U13" s="2"/>
      <c r="V13" s="2"/>
      <c r="W13" s="2"/>
      <c r="X13" s="2"/>
      <c r="Y13" s="2"/>
      <c r="Z13" s="2"/>
    </row>
    <row r="14" spans="1:26" ht="14.4">
      <c r="A14" s="25"/>
      <c r="B14" s="4" t="s">
        <v>488</v>
      </c>
      <c r="C14" s="25"/>
      <c r="D14" s="2"/>
      <c r="E14" s="2"/>
      <c r="F14" s="2"/>
      <c r="G14" s="2"/>
      <c r="H14" s="2"/>
      <c r="I14" s="2"/>
      <c r="J14" s="2"/>
      <c r="K14" s="2"/>
      <c r="L14" s="2"/>
      <c r="M14" s="2"/>
      <c r="N14" s="2"/>
      <c r="O14" s="2"/>
      <c r="P14" s="2"/>
      <c r="Q14" s="2"/>
      <c r="R14" s="2"/>
      <c r="S14" s="2"/>
      <c r="T14" s="2"/>
      <c r="U14" s="2"/>
      <c r="V14" s="2"/>
      <c r="W14" s="2"/>
      <c r="X14" s="2"/>
      <c r="Y14" s="2"/>
      <c r="Z14" s="2"/>
    </row>
    <row r="15" spans="1:26" ht="36" customHeight="1">
      <c r="A15" s="26"/>
      <c r="B15" s="4" t="s">
        <v>489</v>
      </c>
      <c r="C15" s="26"/>
      <c r="D15" s="2"/>
      <c r="E15" s="2"/>
      <c r="F15" s="2"/>
      <c r="G15" s="2"/>
      <c r="H15" s="2"/>
      <c r="I15" s="2"/>
      <c r="J15" s="2"/>
      <c r="K15" s="2"/>
      <c r="L15" s="2"/>
      <c r="M15" s="2"/>
      <c r="N15" s="2"/>
      <c r="O15" s="2"/>
      <c r="P15" s="2"/>
      <c r="Q15" s="2"/>
      <c r="R15" s="2"/>
      <c r="S15" s="2"/>
      <c r="T15" s="2"/>
      <c r="U15" s="2"/>
      <c r="V15" s="2"/>
      <c r="W15" s="2"/>
      <c r="X15" s="2"/>
      <c r="Y15" s="2"/>
      <c r="Z15" s="2"/>
    </row>
    <row r="16" spans="1:26" ht="14.4">
      <c r="A16" s="40" t="s">
        <v>490</v>
      </c>
      <c r="B16" s="4" t="s">
        <v>491</v>
      </c>
      <c r="C16" s="39" t="s">
        <v>492</v>
      </c>
      <c r="D16" s="2"/>
      <c r="E16" s="2"/>
      <c r="F16" s="2"/>
      <c r="G16" s="2"/>
      <c r="H16" s="2"/>
      <c r="I16" s="2"/>
      <c r="J16" s="2"/>
      <c r="K16" s="2"/>
      <c r="L16" s="2"/>
      <c r="M16" s="2"/>
      <c r="N16" s="2"/>
      <c r="O16" s="2"/>
      <c r="P16" s="2"/>
      <c r="Q16" s="2"/>
      <c r="R16" s="2"/>
      <c r="S16" s="2"/>
      <c r="T16" s="2"/>
      <c r="U16" s="2"/>
      <c r="V16" s="2"/>
      <c r="W16" s="2"/>
      <c r="X16" s="2"/>
      <c r="Y16" s="2"/>
      <c r="Z16" s="2"/>
    </row>
    <row r="17" spans="1:26" ht="57" customHeight="1">
      <c r="A17" s="25"/>
      <c r="B17" s="4" t="s">
        <v>493</v>
      </c>
      <c r="C17" s="25"/>
      <c r="D17" s="2"/>
      <c r="E17" s="2"/>
      <c r="F17" s="2"/>
      <c r="G17" s="2"/>
      <c r="H17" s="2"/>
      <c r="I17" s="2"/>
      <c r="J17" s="2"/>
      <c r="K17" s="2"/>
      <c r="L17" s="2"/>
      <c r="M17" s="2"/>
      <c r="N17" s="2"/>
      <c r="O17" s="2"/>
      <c r="P17" s="2"/>
      <c r="Q17" s="2"/>
      <c r="R17" s="2"/>
      <c r="S17" s="2"/>
      <c r="T17" s="2"/>
      <c r="U17" s="2"/>
      <c r="V17" s="2"/>
      <c r="W17" s="2"/>
      <c r="X17" s="2"/>
      <c r="Y17" s="2"/>
      <c r="Z17" s="2"/>
    </row>
    <row r="18" spans="1:26" ht="57" customHeight="1">
      <c r="A18" s="26"/>
      <c r="B18" s="4" t="s">
        <v>494</v>
      </c>
      <c r="C18" s="26"/>
      <c r="D18" s="2"/>
      <c r="E18" s="2"/>
      <c r="F18" s="2"/>
      <c r="G18" s="2"/>
      <c r="H18" s="2"/>
      <c r="I18" s="2"/>
      <c r="J18" s="2"/>
      <c r="K18" s="2"/>
      <c r="L18" s="2"/>
      <c r="M18" s="2"/>
      <c r="N18" s="2"/>
      <c r="O18" s="2"/>
      <c r="P18" s="2"/>
      <c r="Q18" s="2"/>
      <c r="R18" s="2"/>
      <c r="S18" s="2"/>
      <c r="T18" s="2"/>
      <c r="U18" s="2"/>
      <c r="V18" s="2"/>
      <c r="W18" s="2"/>
      <c r="X18" s="2"/>
      <c r="Y18" s="2"/>
      <c r="Z18" s="2"/>
    </row>
    <row r="19" spans="1:26" ht="14.4">
      <c r="A19" s="40" t="s">
        <v>495</v>
      </c>
      <c r="B19" s="24" t="s">
        <v>496</v>
      </c>
      <c r="C19" s="39" t="s">
        <v>497</v>
      </c>
      <c r="D19" s="2"/>
      <c r="E19" s="2"/>
      <c r="F19" s="2"/>
      <c r="G19" s="2"/>
      <c r="H19" s="2"/>
      <c r="I19" s="2"/>
      <c r="J19" s="2"/>
      <c r="K19" s="2"/>
      <c r="L19" s="2"/>
      <c r="M19" s="2"/>
      <c r="N19" s="2"/>
      <c r="O19" s="2"/>
      <c r="P19" s="2"/>
      <c r="Q19" s="2"/>
      <c r="R19" s="2"/>
      <c r="S19" s="2"/>
      <c r="T19" s="2"/>
      <c r="U19" s="2"/>
      <c r="V19" s="2"/>
      <c r="W19" s="2"/>
      <c r="X19" s="2"/>
      <c r="Y19" s="2"/>
      <c r="Z19" s="2"/>
    </row>
    <row r="20" spans="1:26" ht="14.4">
      <c r="A20" s="25"/>
      <c r="B20" s="25"/>
      <c r="C20" s="25"/>
      <c r="D20" s="2"/>
      <c r="E20" s="2"/>
      <c r="F20" s="2"/>
      <c r="G20" s="2"/>
      <c r="H20" s="2"/>
      <c r="I20" s="2"/>
      <c r="J20" s="2"/>
      <c r="K20" s="2"/>
      <c r="L20" s="2"/>
      <c r="M20" s="2"/>
      <c r="N20" s="2"/>
      <c r="O20" s="2"/>
      <c r="P20" s="2"/>
      <c r="Q20" s="2"/>
      <c r="R20" s="2"/>
      <c r="S20" s="2"/>
      <c r="T20" s="2"/>
      <c r="U20" s="2"/>
      <c r="V20" s="2"/>
      <c r="W20" s="2"/>
      <c r="X20" s="2"/>
      <c r="Y20" s="2"/>
      <c r="Z20" s="2"/>
    </row>
    <row r="21" spans="1:26" ht="14.4">
      <c r="A21" s="25"/>
      <c r="B21" s="25"/>
      <c r="C21" s="25"/>
      <c r="D21" s="2"/>
      <c r="E21" s="2"/>
      <c r="F21" s="2"/>
      <c r="G21" s="2"/>
      <c r="H21" s="2"/>
      <c r="I21" s="2"/>
      <c r="J21" s="2"/>
      <c r="K21" s="2"/>
      <c r="L21" s="2"/>
      <c r="M21" s="2"/>
      <c r="N21" s="2"/>
      <c r="O21" s="2"/>
      <c r="P21" s="2"/>
      <c r="Q21" s="2"/>
      <c r="R21" s="2"/>
      <c r="S21" s="2"/>
      <c r="T21" s="2"/>
      <c r="U21" s="2"/>
      <c r="V21" s="2"/>
      <c r="W21" s="2"/>
      <c r="X21" s="2"/>
      <c r="Y21" s="2"/>
      <c r="Z21" s="2"/>
    </row>
    <row r="22" spans="1:26" ht="14.4">
      <c r="A22" s="25"/>
      <c r="B22" s="26"/>
      <c r="C22" s="25"/>
      <c r="D22" s="2"/>
      <c r="E22" s="2"/>
      <c r="F22" s="2"/>
      <c r="G22" s="2"/>
      <c r="H22" s="2"/>
      <c r="I22" s="2"/>
      <c r="J22" s="2"/>
      <c r="K22" s="2"/>
      <c r="L22" s="2"/>
      <c r="M22" s="2"/>
      <c r="N22" s="2"/>
      <c r="O22" s="2"/>
      <c r="P22" s="2"/>
      <c r="Q22" s="2"/>
      <c r="R22" s="2"/>
      <c r="S22" s="2"/>
      <c r="T22" s="2"/>
      <c r="U22" s="2"/>
      <c r="V22" s="2"/>
      <c r="W22" s="2"/>
      <c r="X22" s="2"/>
      <c r="Y22" s="2"/>
      <c r="Z22" s="2"/>
    </row>
    <row r="23" spans="1:26" ht="28.8">
      <c r="A23" s="26"/>
      <c r="B23" s="4" t="s">
        <v>498</v>
      </c>
      <c r="C23" s="26"/>
      <c r="D23" s="2"/>
      <c r="E23" s="2"/>
      <c r="F23" s="2"/>
      <c r="G23" s="2"/>
      <c r="H23" s="2"/>
      <c r="I23" s="2"/>
      <c r="J23" s="2"/>
      <c r="K23" s="2"/>
      <c r="L23" s="2"/>
      <c r="M23" s="2"/>
      <c r="N23" s="2"/>
      <c r="O23" s="2"/>
      <c r="P23" s="2"/>
      <c r="Q23" s="2"/>
      <c r="R23" s="2"/>
      <c r="S23" s="2"/>
      <c r="T23" s="2"/>
      <c r="U23" s="2"/>
      <c r="V23" s="2"/>
      <c r="W23" s="2"/>
      <c r="X23" s="2"/>
      <c r="Y23" s="2"/>
      <c r="Z23" s="2"/>
    </row>
    <row r="24" spans="1:26" ht="14.4">
      <c r="A24" s="40" t="s">
        <v>499</v>
      </c>
      <c r="B24" s="4" t="s">
        <v>500</v>
      </c>
      <c r="C24" s="40" t="s">
        <v>501</v>
      </c>
      <c r="D24" s="2"/>
      <c r="E24" s="2"/>
      <c r="F24" s="2"/>
      <c r="G24" s="2"/>
      <c r="H24" s="2"/>
      <c r="I24" s="2"/>
      <c r="J24" s="2"/>
      <c r="K24" s="2"/>
      <c r="L24" s="2"/>
      <c r="M24" s="2"/>
      <c r="N24" s="2"/>
      <c r="O24" s="2"/>
      <c r="P24" s="2"/>
      <c r="Q24" s="2"/>
      <c r="R24" s="2"/>
      <c r="S24" s="2"/>
      <c r="T24" s="2"/>
      <c r="U24" s="2"/>
      <c r="V24" s="2"/>
      <c r="W24" s="2"/>
      <c r="X24" s="2"/>
      <c r="Y24" s="2"/>
      <c r="Z24" s="2"/>
    </row>
    <row r="25" spans="1:26" ht="28.8">
      <c r="A25" s="25"/>
      <c r="B25" s="4" t="s">
        <v>502</v>
      </c>
      <c r="C25" s="25"/>
      <c r="D25" s="2"/>
      <c r="E25" s="2"/>
      <c r="F25" s="2"/>
      <c r="G25" s="2"/>
      <c r="H25" s="2"/>
      <c r="I25" s="2"/>
      <c r="J25" s="2"/>
      <c r="K25" s="2"/>
      <c r="L25" s="2"/>
      <c r="M25" s="2"/>
      <c r="N25" s="2"/>
      <c r="O25" s="2"/>
      <c r="P25" s="2"/>
      <c r="Q25" s="2"/>
      <c r="R25" s="2"/>
      <c r="S25" s="2"/>
      <c r="T25" s="2"/>
      <c r="U25" s="2"/>
      <c r="V25" s="2"/>
      <c r="W25" s="2"/>
      <c r="X25" s="2"/>
      <c r="Y25" s="2"/>
      <c r="Z25" s="2"/>
    </row>
    <row r="26" spans="1:26" ht="14.4">
      <c r="A26" s="25"/>
      <c r="B26" s="4" t="s">
        <v>503</v>
      </c>
      <c r="C26" s="25"/>
      <c r="D26" s="2"/>
      <c r="E26" s="2"/>
      <c r="F26" s="2"/>
      <c r="G26" s="2"/>
      <c r="H26" s="2"/>
      <c r="I26" s="2"/>
      <c r="J26" s="2"/>
      <c r="K26" s="2"/>
      <c r="L26" s="2"/>
      <c r="M26" s="2"/>
      <c r="N26" s="2"/>
      <c r="O26" s="2"/>
      <c r="P26" s="2"/>
      <c r="Q26" s="2"/>
      <c r="R26" s="2"/>
      <c r="S26" s="2"/>
      <c r="T26" s="2"/>
      <c r="U26" s="2"/>
      <c r="V26" s="2"/>
      <c r="W26" s="2"/>
      <c r="X26" s="2"/>
      <c r="Y26" s="2"/>
      <c r="Z26" s="2"/>
    </row>
    <row r="27" spans="1:26" ht="26.25" customHeight="1">
      <c r="A27" s="26"/>
      <c r="B27" s="4" t="s">
        <v>504</v>
      </c>
      <c r="C27" s="26"/>
      <c r="D27" s="2"/>
      <c r="E27" s="2"/>
      <c r="F27" s="2"/>
      <c r="G27" s="2"/>
      <c r="H27" s="2"/>
      <c r="I27" s="2"/>
      <c r="J27" s="2"/>
      <c r="K27" s="2"/>
      <c r="L27" s="2"/>
      <c r="M27" s="2"/>
      <c r="N27" s="2"/>
      <c r="O27" s="2"/>
      <c r="P27" s="2"/>
      <c r="Q27" s="2"/>
      <c r="R27" s="2"/>
      <c r="S27" s="2"/>
      <c r="T27" s="2"/>
      <c r="U27" s="2"/>
      <c r="V27" s="2"/>
      <c r="W27" s="2"/>
      <c r="X27" s="2"/>
      <c r="Y27" s="2"/>
      <c r="Z27" s="2"/>
    </row>
    <row r="28" spans="1:26" ht="14.4">
      <c r="A28" s="40" t="s">
        <v>505</v>
      </c>
      <c r="B28" s="14" t="s">
        <v>506</v>
      </c>
      <c r="C28" s="40" t="s">
        <v>507</v>
      </c>
      <c r="D28" s="2"/>
      <c r="E28" s="2"/>
      <c r="F28" s="2"/>
      <c r="G28" s="2"/>
      <c r="H28" s="2"/>
      <c r="I28" s="2"/>
      <c r="J28" s="2"/>
      <c r="K28" s="2"/>
      <c r="L28" s="2"/>
      <c r="M28" s="2"/>
      <c r="N28" s="2"/>
      <c r="O28" s="2"/>
      <c r="P28" s="2"/>
      <c r="Q28" s="2"/>
      <c r="R28" s="2"/>
      <c r="S28" s="2"/>
      <c r="T28" s="2"/>
      <c r="U28" s="2"/>
      <c r="V28" s="2"/>
      <c r="W28" s="2"/>
      <c r="X28" s="2"/>
      <c r="Y28" s="2"/>
      <c r="Z28" s="2"/>
    </row>
    <row r="29" spans="1:26" ht="14.4">
      <c r="A29" s="25"/>
      <c r="B29" s="4" t="s">
        <v>508</v>
      </c>
      <c r="C29" s="25"/>
      <c r="D29" s="2"/>
      <c r="E29" s="2"/>
      <c r="F29" s="2"/>
      <c r="G29" s="2"/>
      <c r="H29" s="2"/>
      <c r="I29" s="2"/>
      <c r="J29" s="2"/>
      <c r="K29" s="2"/>
      <c r="L29" s="2"/>
      <c r="M29" s="2"/>
      <c r="N29" s="2"/>
      <c r="O29" s="2"/>
      <c r="P29" s="2"/>
      <c r="Q29" s="2"/>
      <c r="R29" s="2"/>
      <c r="S29" s="2"/>
      <c r="T29" s="2"/>
      <c r="U29" s="2"/>
      <c r="V29" s="2"/>
      <c r="W29" s="2"/>
      <c r="X29" s="2"/>
      <c r="Y29" s="2"/>
      <c r="Z29" s="2"/>
    </row>
    <row r="30" spans="1:26" ht="14.4">
      <c r="A30" s="25"/>
      <c r="B30" s="4" t="s">
        <v>509</v>
      </c>
      <c r="C30" s="25"/>
      <c r="D30" s="2"/>
      <c r="E30" s="2"/>
      <c r="F30" s="2"/>
      <c r="G30" s="2"/>
      <c r="H30" s="2"/>
      <c r="I30" s="2"/>
      <c r="J30" s="2"/>
      <c r="K30" s="2"/>
      <c r="L30" s="2"/>
      <c r="M30" s="2"/>
      <c r="N30" s="2"/>
      <c r="O30" s="2"/>
      <c r="P30" s="2"/>
      <c r="Q30" s="2"/>
      <c r="R30" s="2"/>
      <c r="S30" s="2"/>
      <c r="T30" s="2"/>
      <c r="U30" s="2"/>
      <c r="V30" s="2"/>
      <c r="W30" s="2"/>
      <c r="X30" s="2"/>
      <c r="Y30" s="2"/>
      <c r="Z30" s="2"/>
    </row>
    <row r="31" spans="1:26" ht="14.4">
      <c r="A31" s="26"/>
      <c r="B31" s="4" t="s">
        <v>510</v>
      </c>
      <c r="C31" s="26"/>
      <c r="D31" s="2"/>
      <c r="E31" s="2"/>
      <c r="F31" s="2"/>
      <c r="G31" s="2"/>
      <c r="H31" s="2"/>
      <c r="I31" s="2"/>
      <c r="J31" s="2"/>
      <c r="K31" s="2"/>
      <c r="L31" s="2"/>
      <c r="M31" s="2"/>
      <c r="N31" s="2"/>
      <c r="O31" s="2"/>
      <c r="P31" s="2"/>
      <c r="Q31" s="2"/>
      <c r="R31" s="2"/>
      <c r="S31" s="2"/>
      <c r="T31" s="2"/>
      <c r="U31" s="2"/>
      <c r="V31" s="2"/>
      <c r="W31" s="2"/>
      <c r="X31" s="2"/>
      <c r="Y31" s="2"/>
      <c r="Z31" s="2"/>
    </row>
    <row r="32" spans="1:26" ht="72">
      <c r="A32" s="40" t="s">
        <v>511</v>
      </c>
      <c r="B32" s="4" t="s">
        <v>512</v>
      </c>
      <c r="C32" s="41" t="s">
        <v>513</v>
      </c>
      <c r="D32" s="2"/>
      <c r="E32" s="2"/>
      <c r="F32" s="2"/>
      <c r="G32" s="2"/>
      <c r="H32" s="2"/>
      <c r="I32" s="2"/>
      <c r="J32" s="2"/>
      <c r="K32" s="2"/>
      <c r="L32" s="2"/>
      <c r="M32" s="2"/>
      <c r="N32" s="2"/>
      <c r="O32" s="2"/>
      <c r="P32" s="2"/>
      <c r="Q32" s="2"/>
      <c r="R32" s="2"/>
      <c r="S32" s="2"/>
      <c r="T32" s="2"/>
      <c r="U32" s="2"/>
      <c r="V32" s="2"/>
      <c r="W32" s="2"/>
      <c r="X32" s="2"/>
      <c r="Y32" s="2"/>
      <c r="Z32" s="2"/>
    </row>
    <row r="33" spans="1:26" ht="14.4">
      <c r="A33" s="26"/>
      <c r="B33" s="4" t="s">
        <v>514</v>
      </c>
      <c r="C33" s="26"/>
      <c r="D33" s="2"/>
      <c r="E33" s="2"/>
      <c r="F33" s="2"/>
      <c r="G33" s="2"/>
      <c r="H33" s="2"/>
      <c r="I33" s="2"/>
      <c r="J33" s="2"/>
      <c r="K33" s="2"/>
      <c r="L33" s="2"/>
      <c r="M33" s="2"/>
      <c r="N33" s="2"/>
      <c r="O33" s="2"/>
      <c r="P33" s="2"/>
      <c r="Q33" s="2"/>
      <c r="R33" s="2"/>
      <c r="S33" s="2"/>
      <c r="T33" s="2"/>
      <c r="U33" s="2"/>
      <c r="V33" s="2"/>
      <c r="W33" s="2"/>
      <c r="X33" s="2"/>
      <c r="Y33" s="2"/>
      <c r="Z33" s="2"/>
    </row>
    <row r="34" spans="1:26" ht="14.4">
      <c r="A34" s="14"/>
      <c r="B34" s="4"/>
      <c r="C34" s="14"/>
      <c r="D34" s="2"/>
      <c r="E34" s="2"/>
      <c r="F34" s="2"/>
      <c r="G34" s="2"/>
      <c r="H34" s="2"/>
      <c r="I34" s="2"/>
      <c r="J34" s="2"/>
      <c r="K34" s="2"/>
      <c r="L34" s="2"/>
      <c r="M34" s="2"/>
      <c r="N34" s="2"/>
      <c r="O34" s="2"/>
      <c r="P34" s="2"/>
      <c r="Q34" s="2"/>
      <c r="R34" s="2"/>
      <c r="S34" s="2"/>
      <c r="T34" s="2"/>
      <c r="U34" s="2"/>
      <c r="V34" s="2"/>
      <c r="W34" s="2"/>
      <c r="X34" s="2"/>
      <c r="Y34" s="2"/>
      <c r="Z34" s="2"/>
    </row>
    <row r="35" spans="1:26" ht="14.4">
      <c r="A35" s="14"/>
      <c r="B35" s="4"/>
      <c r="C35" s="14"/>
      <c r="D35" s="2"/>
      <c r="E35" s="2"/>
      <c r="F35" s="2"/>
      <c r="G35" s="2"/>
      <c r="H35" s="2"/>
      <c r="I35" s="2"/>
      <c r="J35" s="2"/>
      <c r="K35" s="2"/>
      <c r="L35" s="2"/>
      <c r="M35" s="2"/>
      <c r="N35" s="2"/>
      <c r="O35" s="2"/>
      <c r="P35" s="2"/>
      <c r="Q35" s="2"/>
      <c r="R35" s="2"/>
      <c r="S35" s="2"/>
      <c r="T35" s="2"/>
      <c r="U35" s="2"/>
      <c r="V35" s="2"/>
      <c r="W35" s="2"/>
      <c r="X35" s="2"/>
      <c r="Y35" s="2"/>
      <c r="Z35" s="2"/>
    </row>
    <row r="36" spans="1:26" ht="14.4">
      <c r="A36" s="14"/>
      <c r="B36" s="4"/>
      <c r="C36" s="14"/>
      <c r="D36" s="2"/>
      <c r="E36" s="2"/>
      <c r="F36" s="2"/>
      <c r="G36" s="2"/>
      <c r="H36" s="2"/>
      <c r="I36" s="2"/>
      <c r="J36" s="2"/>
      <c r="K36" s="2"/>
      <c r="L36" s="2"/>
      <c r="M36" s="2"/>
      <c r="N36" s="2"/>
      <c r="O36" s="2"/>
      <c r="P36" s="2"/>
      <c r="Q36" s="2"/>
      <c r="R36" s="2"/>
      <c r="S36" s="2"/>
      <c r="T36" s="2"/>
      <c r="U36" s="2"/>
      <c r="V36" s="2"/>
      <c r="W36" s="2"/>
      <c r="X36" s="2"/>
      <c r="Y36" s="2"/>
      <c r="Z36" s="2"/>
    </row>
    <row r="37" spans="1:26" ht="14.4">
      <c r="A37" s="14"/>
      <c r="B37" s="4"/>
      <c r="C37" s="14"/>
      <c r="D37" s="2"/>
      <c r="E37" s="2"/>
      <c r="F37" s="2"/>
      <c r="G37" s="2"/>
      <c r="H37" s="2"/>
      <c r="I37" s="2"/>
      <c r="J37" s="2"/>
      <c r="K37" s="2"/>
      <c r="L37" s="2"/>
      <c r="M37" s="2"/>
      <c r="N37" s="2"/>
      <c r="O37" s="2"/>
      <c r="P37" s="2"/>
      <c r="Q37" s="2"/>
      <c r="R37" s="2"/>
      <c r="S37" s="2"/>
      <c r="T37" s="2"/>
      <c r="U37" s="2"/>
      <c r="V37" s="2"/>
      <c r="W37" s="2"/>
      <c r="X37" s="2"/>
      <c r="Y37" s="2"/>
      <c r="Z37" s="2"/>
    </row>
    <row r="38" spans="1:26" ht="14.4">
      <c r="A38" s="14"/>
      <c r="B38" s="4"/>
      <c r="C38" s="14"/>
      <c r="D38" s="2"/>
      <c r="E38" s="2"/>
      <c r="F38" s="2"/>
      <c r="G38" s="2"/>
      <c r="H38" s="2"/>
      <c r="I38" s="2"/>
      <c r="J38" s="2"/>
      <c r="K38" s="2"/>
      <c r="L38" s="2"/>
      <c r="M38" s="2"/>
      <c r="N38" s="2"/>
      <c r="O38" s="2"/>
      <c r="P38" s="2"/>
      <c r="Q38" s="2"/>
      <c r="R38" s="2"/>
      <c r="S38" s="2"/>
      <c r="T38" s="2"/>
      <c r="U38" s="2"/>
      <c r="V38" s="2"/>
      <c r="W38" s="2"/>
      <c r="X38" s="2"/>
      <c r="Y38" s="2"/>
      <c r="Z38" s="2"/>
    </row>
    <row r="39" spans="1:26" ht="14.4">
      <c r="A39" s="14"/>
      <c r="B39" s="4"/>
      <c r="C39" s="14"/>
      <c r="D39" s="2"/>
      <c r="E39" s="2"/>
      <c r="F39" s="2"/>
      <c r="G39" s="2"/>
      <c r="H39" s="2"/>
      <c r="I39" s="2"/>
      <c r="J39" s="2"/>
      <c r="K39" s="2"/>
      <c r="L39" s="2"/>
      <c r="M39" s="2"/>
      <c r="N39" s="2"/>
      <c r="O39" s="2"/>
      <c r="P39" s="2"/>
      <c r="Q39" s="2"/>
      <c r="R39" s="2"/>
      <c r="S39" s="2"/>
      <c r="T39" s="2"/>
      <c r="U39" s="2"/>
      <c r="V39" s="2"/>
      <c r="W39" s="2"/>
      <c r="X39" s="2"/>
      <c r="Y39" s="2"/>
      <c r="Z39" s="2"/>
    </row>
    <row r="40" spans="1:26" ht="14.4">
      <c r="A40" s="14"/>
      <c r="B40" s="4"/>
      <c r="C40" s="14"/>
      <c r="D40" s="2"/>
      <c r="E40" s="2"/>
      <c r="F40" s="2"/>
      <c r="G40" s="2"/>
      <c r="H40" s="2"/>
      <c r="I40" s="2"/>
      <c r="J40" s="2"/>
      <c r="K40" s="2"/>
      <c r="L40" s="2"/>
      <c r="M40" s="2"/>
      <c r="N40" s="2"/>
      <c r="O40" s="2"/>
      <c r="P40" s="2"/>
      <c r="Q40" s="2"/>
      <c r="R40" s="2"/>
      <c r="S40" s="2"/>
      <c r="T40" s="2"/>
      <c r="U40" s="2"/>
      <c r="V40" s="2"/>
      <c r="W40" s="2"/>
      <c r="X40" s="2"/>
      <c r="Y40" s="2"/>
      <c r="Z40" s="2"/>
    </row>
    <row r="41" spans="1:26" ht="14.4">
      <c r="A41" s="14"/>
      <c r="B41" s="4"/>
      <c r="C41" s="14"/>
      <c r="D41" s="2"/>
      <c r="E41" s="2"/>
      <c r="F41" s="2"/>
      <c r="G41" s="2"/>
      <c r="H41" s="2"/>
      <c r="I41" s="2"/>
      <c r="J41" s="2"/>
      <c r="K41" s="2"/>
      <c r="L41" s="2"/>
      <c r="M41" s="2"/>
      <c r="N41" s="2"/>
      <c r="O41" s="2"/>
      <c r="P41" s="2"/>
      <c r="Q41" s="2"/>
      <c r="R41" s="2"/>
      <c r="S41" s="2"/>
      <c r="T41" s="2"/>
      <c r="U41" s="2"/>
      <c r="V41" s="2"/>
      <c r="W41" s="2"/>
      <c r="X41" s="2"/>
      <c r="Y41" s="2"/>
      <c r="Z41" s="2"/>
    </row>
    <row r="42" spans="1:26" ht="14.4">
      <c r="A42" s="14"/>
      <c r="B42" s="4"/>
      <c r="C42" s="14"/>
      <c r="D42" s="2"/>
      <c r="E42" s="2"/>
      <c r="F42" s="2"/>
      <c r="G42" s="2"/>
      <c r="H42" s="2"/>
      <c r="I42" s="2"/>
      <c r="J42" s="2"/>
      <c r="K42" s="2"/>
      <c r="L42" s="2"/>
      <c r="M42" s="2"/>
      <c r="N42" s="2"/>
      <c r="O42" s="2"/>
      <c r="P42" s="2"/>
      <c r="Q42" s="2"/>
      <c r="R42" s="2"/>
      <c r="S42" s="2"/>
      <c r="T42" s="2"/>
      <c r="U42" s="2"/>
      <c r="V42" s="2"/>
      <c r="W42" s="2"/>
      <c r="X42" s="2"/>
      <c r="Y42" s="2"/>
      <c r="Z42" s="2"/>
    </row>
    <row r="43" spans="1:26" ht="14.4">
      <c r="A43" s="14"/>
      <c r="B43" s="4"/>
      <c r="C43" s="14"/>
      <c r="D43" s="2"/>
      <c r="E43" s="2"/>
      <c r="F43" s="2"/>
      <c r="G43" s="2"/>
      <c r="H43" s="2"/>
      <c r="I43" s="2"/>
      <c r="J43" s="2"/>
      <c r="K43" s="2"/>
      <c r="L43" s="2"/>
      <c r="M43" s="2"/>
      <c r="N43" s="2"/>
      <c r="O43" s="2"/>
      <c r="P43" s="2"/>
      <c r="Q43" s="2"/>
      <c r="R43" s="2"/>
      <c r="S43" s="2"/>
      <c r="T43" s="2"/>
      <c r="U43" s="2"/>
      <c r="V43" s="2"/>
      <c r="W43" s="2"/>
      <c r="X43" s="2"/>
      <c r="Y43" s="2"/>
      <c r="Z43" s="2"/>
    </row>
    <row r="44" spans="1:26" ht="14.4">
      <c r="A44" s="14"/>
      <c r="B44" s="4"/>
      <c r="C44" s="14"/>
      <c r="D44" s="2"/>
      <c r="E44" s="2"/>
      <c r="F44" s="2"/>
      <c r="G44" s="2"/>
      <c r="H44" s="2"/>
      <c r="I44" s="2"/>
      <c r="J44" s="2"/>
      <c r="K44" s="2"/>
      <c r="L44" s="2"/>
      <c r="M44" s="2"/>
      <c r="N44" s="2"/>
      <c r="O44" s="2"/>
      <c r="P44" s="2"/>
      <c r="Q44" s="2"/>
      <c r="R44" s="2"/>
      <c r="S44" s="2"/>
      <c r="T44" s="2"/>
      <c r="U44" s="2"/>
      <c r="V44" s="2"/>
      <c r="W44" s="2"/>
      <c r="X44" s="2"/>
      <c r="Y44" s="2"/>
      <c r="Z44" s="2"/>
    </row>
    <row r="45" spans="1:26" ht="14.4">
      <c r="A45" s="14"/>
      <c r="B45" s="4"/>
      <c r="C45" s="14"/>
      <c r="D45" s="2"/>
      <c r="E45" s="2"/>
      <c r="F45" s="2"/>
      <c r="G45" s="2"/>
      <c r="H45" s="2"/>
      <c r="I45" s="2"/>
      <c r="J45" s="2"/>
      <c r="K45" s="2"/>
      <c r="L45" s="2"/>
      <c r="M45" s="2"/>
      <c r="N45" s="2"/>
      <c r="O45" s="2"/>
      <c r="P45" s="2"/>
      <c r="Q45" s="2"/>
      <c r="R45" s="2"/>
      <c r="S45" s="2"/>
      <c r="T45" s="2"/>
      <c r="U45" s="2"/>
      <c r="V45" s="2"/>
      <c r="W45" s="2"/>
      <c r="X45" s="2"/>
      <c r="Y45" s="2"/>
      <c r="Z45" s="2"/>
    </row>
    <row r="46" spans="1:26" ht="14.4">
      <c r="A46" s="14"/>
      <c r="B46" s="4"/>
      <c r="C46" s="14"/>
      <c r="D46" s="2"/>
      <c r="E46" s="2"/>
      <c r="F46" s="2"/>
      <c r="G46" s="2"/>
      <c r="H46" s="2"/>
      <c r="I46" s="2"/>
      <c r="J46" s="2"/>
      <c r="K46" s="2"/>
      <c r="L46" s="2"/>
      <c r="M46" s="2"/>
      <c r="N46" s="2"/>
      <c r="O46" s="2"/>
      <c r="P46" s="2"/>
      <c r="Q46" s="2"/>
      <c r="R46" s="2"/>
      <c r="S46" s="2"/>
      <c r="T46" s="2"/>
      <c r="U46" s="2"/>
      <c r="V46" s="2"/>
      <c r="W46" s="2"/>
      <c r="X46" s="2"/>
      <c r="Y46" s="2"/>
      <c r="Z46" s="2"/>
    </row>
    <row r="47" spans="1:26" ht="14.4">
      <c r="A47" s="14"/>
      <c r="B47" s="4"/>
      <c r="C47" s="14"/>
      <c r="D47" s="2"/>
      <c r="E47" s="2"/>
      <c r="F47" s="2"/>
      <c r="G47" s="2"/>
      <c r="H47" s="2"/>
      <c r="I47" s="2"/>
      <c r="J47" s="2"/>
      <c r="K47" s="2"/>
      <c r="L47" s="2"/>
      <c r="M47" s="2"/>
      <c r="N47" s="2"/>
      <c r="O47" s="2"/>
      <c r="P47" s="2"/>
      <c r="Q47" s="2"/>
      <c r="R47" s="2"/>
      <c r="S47" s="2"/>
      <c r="T47" s="2"/>
      <c r="U47" s="2"/>
      <c r="V47" s="2"/>
      <c r="W47" s="2"/>
      <c r="X47" s="2"/>
      <c r="Y47" s="2"/>
      <c r="Z47" s="2"/>
    </row>
    <row r="48" spans="1:26" ht="14.4">
      <c r="A48" s="14"/>
      <c r="B48" s="4"/>
      <c r="C48" s="14"/>
      <c r="D48" s="2"/>
      <c r="E48" s="2"/>
      <c r="F48" s="2"/>
      <c r="G48" s="2"/>
      <c r="H48" s="2"/>
      <c r="I48" s="2"/>
      <c r="J48" s="2"/>
      <c r="K48" s="2"/>
      <c r="L48" s="2"/>
      <c r="M48" s="2"/>
      <c r="N48" s="2"/>
      <c r="O48" s="2"/>
      <c r="P48" s="2"/>
      <c r="Q48" s="2"/>
      <c r="R48" s="2"/>
      <c r="S48" s="2"/>
      <c r="T48" s="2"/>
      <c r="U48" s="2"/>
      <c r="V48" s="2"/>
      <c r="W48" s="2"/>
      <c r="X48" s="2"/>
      <c r="Y48" s="2"/>
      <c r="Z48" s="2"/>
    </row>
    <row r="49" spans="1:26" ht="14.4">
      <c r="A49" s="14"/>
      <c r="B49" s="4"/>
      <c r="C49" s="14"/>
      <c r="D49" s="2"/>
      <c r="E49" s="2"/>
      <c r="F49" s="2"/>
      <c r="G49" s="2"/>
      <c r="H49" s="2"/>
      <c r="I49" s="2"/>
      <c r="J49" s="2"/>
      <c r="K49" s="2"/>
      <c r="L49" s="2"/>
      <c r="M49" s="2"/>
      <c r="N49" s="2"/>
      <c r="O49" s="2"/>
      <c r="P49" s="2"/>
      <c r="Q49" s="2"/>
      <c r="R49" s="2"/>
      <c r="S49" s="2"/>
      <c r="T49" s="2"/>
      <c r="U49" s="2"/>
      <c r="V49" s="2"/>
      <c r="W49" s="2"/>
      <c r="X49" s="2"/>
      <c r="Y49" s="2"/>
      <c r="Z49" s="2"/>
    </row>
    <row r="50" spans="1:26" ht="14.4">
      <c r="A50" s="14"/>
      <c r="B50" s="4"/>
      <c r="C50" s="14"/>
      <c r="D50" s="2"/>
      <c r="E50" s="2"/>
      <c r="F50" s="2"/>
      <c r="G50" s="2"/>
      <c r="H50" s="2"/>
      <c r="I50" s="2"/>
      <c r="J50" s="2"/>
      <c r="K50" s="2"/>
      <c r="L50" s="2"/>
      <c r="M50" s="2"/>
      <c r="N50" s="2"/>
      <c r="O50" s="2"/>
      <c r="P50" s="2"/>
      <c r="Q50" s="2"/>
      <c r="R50" s="2"/>
      <c r="S50" s="2"/>
      <c r="T50" s="2"/>
      <c r="U50" s="2"/>
      <c r="V50" s="2"/>
      <c r="W50" s="2"/>
      <c r="X50" s="2"/>
      <c r="Y50" s="2"/>
      <c r="Z50" s="2"/>
    </row>
    <row r="51" spans="1:26" ht="14.4">
      <c r="A51" s="14"/>
      <c r="B51" s="4"/>
      <c r="C51" s="14"/>
      <c r="D51" s="2"/>
      <c r="E51" s="2"/>
      <c r="F51" s="2"/>
      <c r="G51" s="2"/>
      <c r="H51" s="2"/>
      <c r="I51" s="2"/>
      <c r="J51" s="2"/>
      <c r="K51" s="2"/>
      <c r="L51" s="2"/>
      <c r="M51" s="2"/>
      <c r="N51" s="2"/>
      <c r="O51" s="2"/>
      <c r="P51" s="2"/>
      <c r="Q51" s="2"/>
      <c r="R51" s="2"/>
      <c r="S51" s="2"/>
      <c r="T51" s="2"/>
      <c r="U51" s="2"/>
      <c r="V51" s="2"/>
      <c r="W51" s="2"/>
      <c r="X51" s="2"/>
      <c r="Y51" s="2"/>
      <c r="Z51" s="2"/>
    </row>
    <row r="52" spans="1:26" ht="14.4">
      <c r="A52" s="14"/>
      <c r="B52" s="4"/>
      <c r="C52" s="14"/>
      <c r="D52" s="2"/>
      <c r="E52" s="2"/>
      <c r="F52" s="2"/>
      <c r="G52" s="2"/>
      <c r="H52" s="2"/>
      <c r="I52" s="2"/>
      <c r="J52" s="2"/>
      <c r="K52" s="2"/>
      <c r="L52" s="2"/>
      <c r="M52" s="2"/>
      <c r="N52" s="2"/>
      <c r="O52" s="2"/>
      <c r="P52" s="2"/>
      <c r="Q52" s="2"/>
      <c r="R52" s="2"/>
      <c r="S52" s="2"/>
      <c r="T52" s="2"/>
      <c r="U52" s="2"/>
      <c r="V52" s="2"/>
      <c r="W52" s="2"/>
      <c r="X52" s="2"/>
      <c r="Y52" s="2"/>
      <c r="Z52" s="2"/>
    </row>
    <row r="53" spans="1:26" ht="14.4">
      <c r="A53" s="14"/>
      <c r="B53" s="4"/>
      <c r="C53" s="14"/>
      <c r="D53" s="2"/>
      <c r="E53" s="2"/>
      <c r="F53" s="2"/>
      <c r="G53" s="2"/>
      <c r="H53" s="2"/>
      <c r="I53" s="2"/>
      <c r="J53" s="2"/>
      <c r="K53" s="2"/>
      <c r="L53" s="2"/>
      <c r="M53" s="2"/>
      <c r="N53" s="2"/>
      <c r="O53" s="2"/>
      <c r="P53" s="2"/>
      <c r="Q53" s="2"/>
      <c r="R53" s="2"/>
      <c r="S53" s="2"/>
      <c r="T53" s="2"/>
      <c r="U53" s="2"/>
      <c r="V53" s="2"/>
      <c r="W53" s="2"/>
      <c r="X53" s="2"/>
      <c r="Y53" s="2"/>
      <c r="Z53" s="2"/>
    </row>
    <row r="54" spans="1:26" ht="14.4">
      <c r="A54" s="14"/>
      <c r="B54" s="4"/>
      <c r="C54" s="14"/>
      <c r="D54" s="2"/>
      <c r="E54" s="2"/>
      <c r="F54" s="2"/>
      <c r="G54" s="2"/>
      <c r="H54" s="2"/>
      <c r="I54" s="2"/>
      <c r="J54" s="2"/>
      <c r="K54" s="2"/>
      <c r="L54" s="2"/>
      <c r="M54" s="2"/>
      <c r="N54" s="2"/>
      <c r="O54" s="2"/>
      <c r="P54" s="2"/>
      <c r="Q54" s="2"/>
      <c r="R54" s="2"/>
      <c r="S54" s="2"/>
      <c r="T54" s="2"/>
      <c r="U54" s="2"/>
      <c r="V54" s="2"/>
      <c r="W54" s="2"/>
      <c r="X54" s="2"/>
      <c r="Y54" s="2"/>
      <c r="Z54" s="2"/>
    </row>
    <row r="55" spans="1:26" ht="14.4">
      <c r="A55" s="14"/>
      <c r="B55" s="4"/>
      <c r="C55" s="14"/>
      <c r="D55" s="2"/>
      <c r="E55" s="2"/>
      <c r="F55" s="2"/>
      <c r="G55" s="2"/>
      <c r="H55" s="2"/>
      <c r="I55" s="2"/>
      <c r="J55" s="2"/>
      <c r="K55" s="2"/>
      <c r="L55" s="2"/>
      <c r="M55" s="2"/>
      <c r="N55" s="2"/>
      <c r="O55" s="2"/>
      <c r="P55" s="2"/>
      <c r="Q55" s="2"/>
      <c r="R55" s="2"/>
      <c r="S55" s="2"/>
      <c r="T55" s="2"/>
      <c r="U55" s="2"/>
      <c r="V55" s="2"/>
      <c r="W55" s="2"/>
      <c r="X55" s="2"/>
      <c r="Y55" s="2"/>
      <c r="Z55" s="2"/>
    </row>
    <row r="56" spans="1:26" ht="14.4">
      <c r="A56" s="14"/>
      <c r="B56" s="4"/>
      <c r="C56" s="14"/>
      <c r="D56" s="2"/>
      <c r="E56" s="2"/>
      <c r="F56" s="2"/>
      <c r="G56" s="2"/>
      <c r="H56" s="2"/>
      <c r="I56" s="2"/>
      <c r="J56" s="2"/>
      <c r="K56" s="2"/>
      <c r="L56" s="2"/>
      <c r="M56" s="2"/>
      <c r="N56" s="2"/>
      <c r="O56" s="2"/>
      <c r="P56" s="2"/>
      <c r="Q56" s="2"/>
      <c r="R56" s="2"/>
      <c r="S56" s="2"/>
      <c r="T56" s="2"/>
      <c r="U56" s="2"/>
      <c r="V56" s="2"/>
      <c r="W56" s="2"/>
      <c r="X56" s="2"/>
      <c r="Y56" s="2"/>
      <c r="Z56" s="2"/>
    </row>
    <row r="57" spans="1:26" ht="14.4">
      <c r="A57" s="14"/>
      <c r="B57" s="4"/>
      <c r="C57" s="14"/>
      <c r="D57" s="2"/>
      <c r="E57" s="2"/>
      <c r="F57" s="2"/>
      <c r="G57" s="2"/>
      <c r="H57" s="2"/>
      <c r="I57" s="2"/>
      <c r="J57" s="2"/>
      <c r="K57" s="2"/>
      <c r="L57" s="2"/>
      <c r="M57" s="2"/>
      <c r="N57" s="2"/>
      <c r="O57" s="2"/>
      <c r="P57" s="2"/>
      <c r="Q57" s="2"/>
      <c r="R57" s="2"/>
      <c r="S57" s="2"/>
      <c r="T57" s="2"/>
      <c r="U57" s="2"/>
      <c r="V57" s="2"/>
      <c r="W57" s="2"/>
      <c r="X57" s="2"/>
      <c r="Y57" s="2"/>
      <c r="Z57" s="2"/>
    </row>
    <row r="58" spans="1:26" ht="14.4">
      <c r="A58" s="14"/>
      <c r="B58" s="4"/>
      <c r="C58" s="14"/>
      <c r="D58" s="2"/>
      <c r="E58" s="2"/>
      <c r="F58" s="2"/>
      <c r="G58" s="2"/>
      <c r="H58" s="2"/>
      <c r="I58" s="2"/>
      <c r="J58" s="2"/>
      <c r="K58" s="2"/>
      <c r="L58" s="2"/>
      <c r="M58" s="2"/>
      <c r="N58" s="2"/>
      <c r="O58" s="2"/>
      <c r="P58" s="2"/>
      <c r="Q58" s="2"/>
      <c r="R58" s="2"/>
      <c r="S58" s="2"/>
      <c r="T58" s="2"/>
      <c r="U58" s="2"/>
      <c r="V58" s="2"/>
      <c r="W58" s="2"/>
      <c r="X58" s="2"/>
      <c r="Y58" s="2"/>
      <c r="Z58" s="2"/>
    </row>
    <row r="59" spans="1:26" ht="14.4">
      <c r="A59" s="14"/>
      <c r="B59" s="4"/>
      <c r="C59" s="14"/>
      <c r="D59" s="2"/>
      <c r="E59" s="2"/>
      <c r="F59" s="2"/>
      <c r="G59" s="2"/>
      <c r="H59" s="2"/>
      <c r="I59" s="2"/>
      <c r="J59" s="2"/>
      <c r="K59" s="2"/>
      <c r="L59" s="2"/>
      <c r="M59" s="2"/>
      <c r="N59" s="2"/>
      <c r="O59" s="2"/>
      <c r="P59" s="2"/>
      <c r="Q59" s="2"/>
      <c r="R59" s="2"/>
      <c r="S59" s="2"/>
      <c r="T59" s="2"/>
      <c r="U59" s="2"/>
      <c r="V59" s="2"/>
      <c r="W59" s="2"/>
      <c r="X59" s="2"/>
      <c r="Y59" s="2"/>
      <c r="Z59" s="2"/>
    </row>
    <row r="60" spans="1:26" ht="14.4">
      <c r="A60" s="14"/>
      <c r="B60" s="4"/>
      <c r="C60" s="14"/>
      <c r="D60" s="2"/>
      <c r="E60" s="2"/>
      <c r="F60" s="2"/>
      <c r="G60" s="2"/>
      <c r="H60" s="2"/>
      <c r="I60" s="2"/>
      <c r="J60" s="2"/>
      <c r="K60" s="2"/>
      <c r="L60" s="2"/>
      <c r="M60" s="2"/>
      <c r="N60" s="2"/>
      <c r="O60" s="2"/>
      <c r="P60" s="2"/>
      <c r="Q60" s="2"/>
      <c r="R60" s="2"/>
      <c r="S60" s="2"/>
      <c r="T60" s="2"/>
      <c r="U60" s="2"/>
      <c r="V60" s="2"/>
      <c r="W60" s="2"/>
      <c r="X60" s="2"/>
      <c r="Y60" s="2"/>
      <c r="Z60" s="2"/>
    </row>
    <row r="61" spans="1:26" ht="14.4">
      <c r="A61" s="14"/>
      <c r="B61" s="4"/>
      <c r="C61" s="14"/>
      <c r="D61" s="2"/>
      <c r="E61" s="2"/>
      <c r="F61" s="2"/>
      <c r="G61" s="2"/>
      <c r="H61" s="2"/>
      <c r="I61" s="2"/>
      <c r="J61" s="2"/>
      <c r="K61" s="2"/>
      <c r="L61" s="2"/>
      <c r="M61" s="2"/>
      <c r="N61" s="2"/>
      <c r="O61" s="2"/>
      <c r="P61" s="2"/>
      <c r="Q61" s="2"/>
      <c r="R61" s="2"/>
      <c r="S61" s="2"/>
      <c r="T61" s="2"/>
      <c r="U61" s="2"/>
      <c r="V61" s="2"/>
      <c r="W61" s="2"/>
      <c r="X61" s="2"/>
      <c r="Y61" s="2"/>
      <c r="Z61" s="2"/>
    </row>
    <row r="62" spans="1:26" ht="14.4">
      <c r="A62" s="14"/>
      <c r="B62" s="4"/>
      <c r="C62" s="14"/>
      <c r="D62" s="2"/>
      <c r="E62" s="2"/>
      <c r="F62" s="2"/>
      <c r="G62" s="2"/>
      <c r="H62" s="2"/>
      <c r="I62" s="2"/>
      <c r="J62" s="2"/>
      <c r="K62" s="2"/>
      <c r="L62" s="2"/>
      <c r="M62" s="2"/>
      <c r="N62" s="2"/>
      <c r="O62" s="2"/>
      <c r="P62" s="2"/>
      <c r="Q62" s="2"/>
      <c r="R62" s="2"/>
      <c r="S62" s="2"/>
      <c r="T62" s="2"/>
      <c r="U62" s="2"/>
      <c r="V62" s="2"/>
      <c r="W62" s="2"/>
      <c r="X62" s="2"/>
      <c r="Y62" s="2"/>
      <c r="Z62" s="2"/>
    </row>
    <row r="63" spans="1:26" ht="14.4">
      <c r="A63" s="14"/>
      <c r="B63" s="4"/>
      <c r="C63" s="14"/>
      <c r="D63" s="2"/>
      <c r="E63" s="2"/>
      <c r="F63" s="2"/>
      <c r="G63" s="2"/>
      <c r="H63" s="2"/>
      <c r="I63" s="2"/>
      <c r="J63" s="2"/>
      <c r="K63" s="2"/>
      <c r="L63" s="2"/>
      <c r="M63" s="2"/>
      <c r="N63" s="2"/>
      <c r="O63" s="2"/>
      <c r="P63" s="2"/>
      <c r="Q63" s="2"/>
      <c r="R63" s="2"/>
      <c r="S63" s="2"/>
      <c r="T63" s="2"/>
      <c r="U63" s="2"/>
      <c r="V63" s="2"/>
      <c r="W63" s="2"/>
      <c r="X63" s="2"/>
      <c r="Y63" s="2"/>
      <c r="Z63" s="2"/>
    </row>
    <row r="64" spans="1:26" ht="14.4">
      <c r="A64" s="14"/>
      <c r="B64" s="4"/>
      <c r="C64" s="14"/>
      <c r="D64" s="2"/>
      <c r="E64" s="2"/>
      <c r="F64" s="2"/>
      <c r="G64" s="2"/>
      <c r="H64" s="2"/>
      <c r="I64" s="2"/>
      <c r="J64" s="2"/>
      <c r="K64" s="2"/>
      <c r="L64" s="2"/>
      <c r="M64" s="2"/>
      <c r="N64" s="2"/>
      <c r="O64" s="2"/>
      <c r="P64" s="2"/>
      <c r="Q64" s="2"/>
      <c r="R64" s="2"/>
      <c r="S64" s="2"/>
      <c r="T64" s="2"/>
      <c r="U64" s="2"/>
      <c r="V64" s="2"/>
      <c r="W64" s="2"/>
      <c r="X64" s="2"/>
      <c r="Y64" s="2"/>
      <c r="Z64" s="2"/>
    </row>
    <row r="65" spans="1:26" ht="14.4">
      <c r="A65" s="14"/>
      <c r="B65" s="4"/>
      <c r="C65" s="14"/>
      <c r="D65" s="2"/>
      <c r="E65" s="2"/>
      <c r="F65" s="2"/>
      <c r="G65" s="2"/>
      <c r="H65" s="2"/>
      <c r="I65" s="2"/>
      <c r="J65" s="2"/>
      <c r="K65" s="2"/>
      <c r="L65" s="2"/>
      <c r="M65" s="2"/>
      <c r="N65" s="2"/>
      <c r="O65" s="2"/>
      <c r="P65" s="2"/>
      <c r="Q65" s="2"/>
      <c r="R65" s="2"/>
      <c r="S65" s="2"/>
      <c r="T65" s="2"/>
      <c r="U65" s="2"/>
      <c r="V65" s="2"/>
      <c r="W65" s="2"/>
      <c r="X65" s="2"/>
      <c r="Y65" s="2"/>
      <c r="Z65" s="2"/>
    </row>
    <row r="66" spans="1:26" ht="14.4">
      <c r="A66" s="14"/>
      <c r="B66" s="4"/>
      <c r="C66" s="14"/>
      <c r="D66" s="2"/>
      <c r="E66" s="2"/>
      <c r="F66" s="2"/>
      <c r="G66" s="2"/>
      <c r="H66" s="2"/>
      <c r="I66" s="2"/>
      <c r="J66" s="2"/>
      <c r="K66" s="2"/>
      <c r="L66" s="2"/>
      <c r="M66" s="2"/>
      <c r="N66" s="2"/>
      <c r="O66" s="2"/>
      <c r="P66" s="2"/>
      <c r="Q66" s="2"/>
      <c r="R66" s="2"/>
      <c r="S66" s="2"/>
      <c r="T66" s="2"/>
      <c r="U66" s="2"/>
      <c r="V66" s="2"/>
      <c r="W66" s="2"/>
      <c r="X66" s="2"/>
      <c r="Y66" s="2"/>
      <c r="Z66" s="2"/>
    </row>
    <row r="67" spans="1:26" ht="14.4">
      <c r="A67" s="14"/>
      <c r="B67" s="4"/>
      <c r="C67" s="14"/>
      <c r="D67" s="2"/>
      <c r="E67" s="2"/>
      <c r="F67" s="2"/>
      <c r="G67" s="2"/>
      <c r="H67" s="2"/>
      <c r="I67" s="2"/>
      <c r="J67" s="2"/>
      <c r="K67" s="2"/>
      <c r="L67" s="2"/>
      <c r="M67" s="2"/>
      <c r="N67" s="2"/>
      <c r="O67" s="2"/>
      <c r="P67" s="2"/>
      <c r="Q67" s="2"/>
      <c r="R67" s="2"/>
      <c r="S67" s="2"/>
      <c r="T67" s="2"/>
      <c r="U67" s="2"/>
      <c r="V67" s="2"/>
      <c r="W67" s="2"/>
      <c r="X67" s="2"/>
      <c r="Y67" s="2"/>
      <c r="Z67" s="2"/>
    </row>
    <row r="68" spans="1:26" ht="14.4">
      <c r="A68" s="14"/>
      <c r="B68" s="4"/>
      <c r="C68" s="14"/>
      <c r="D68" s="2"/>
      <c r="E68" s="2"/>
      <c r="F68" s="2"/>
      <c r="G68" s="2"/>
      <c r="H68" s="2"/>
      <c r="I68" s="2"/>
      <c r="J68" s="2"/>
      <c r="K68" s="2"/>
      <c r="L68" s="2"/>
      <c r="M68" s="2"/>
      <c r="N68" s="2"/>
      <c r="O68" s="2"/>
      <c r="P68" s="2"/>
      <c r="Q68" s="2"/>
      <c r="R68" s="2"/>
      <c r="S68" s="2"/>
      <c r="T68" s="2"/>
      <c r="U68" s="2"/>
      <c r="V68" s="2"/>
      <c r="W68" s="2"/>
      <c r="X68" s="2"/>
      <c r="Y68" s="2"/>
      <c r="Z68" s="2"/>
    </row>
    <row r="69" spans="1:26" ht="14.4">
      <c r="A69" s="14"/>
      <c r="B69" s="4"/>
      <c r="C69" s="14"/>
      <c r="D69" s="2"/>
      <c r="E69" s="2"/>
      <c r="F69" s="2"/>
      <c r="G69" s="2"/>
      <c r="H69" s="2"/>
      <c r="I69" s="2"/>
      <c r="J69" s="2"/>
      <c r="K69" s="2"/>
      <c r="L69" s="2"/>
      <c r="M69" s="2"/>
      <c r="N69" s="2"/>
      <c r="O69" s="2"/>
      <c r="P69" s="2"/>
      <c r="Q69" s="2"/>
      <c r="R69" s="2"/>
      <c r="S69" s="2"/>
      <c r="T69" s="2"/>
      <c r="U69" s="2"/>
      <c r="V69" s="2"/>
      <c r="W69" s="2"/>
      <c r="X69" s="2"/>
      <c r="Y69" s="2"/>
      <c r="Z69" s="2"/>
    </row>
    <row r="70" spans="1:26" ht="14.4">
      <c r="A70" s="14"/>
      <c r="B70" s="4"/>
      <c r="C70" s="14"/>
      <c r="D70" s="2"/>
      <c r="E70" s="2"/>
      <c r="F70" s="2"/>
      <c r="G70" s="2"/>
      <c r="H70" s="2"/>
      <c r="I70" s="2"/>
      <c r="J70" s="2"/>
      <c r="K70" s="2"/>
      <c r="L70" s="2"/>
      <c r="M70" s="2"/>
      <c r="N70" s="2"/>
      <c r="O70" s="2"/>
      <c r="P70" s="2"/>
      <c r="Q70" s="2"/>
      <c r="R70" s="2"/>
      <c r="S70" s="2"/>
      <c r="T70" s="2"/>
      <c r="U70" s="2"/>
      <c r="V70" s="2"/>
      <c r="W70" s="2"/>
      <c r="X70" s="2"/>
      <c r="Y70" s="2"/>
      <c r="Z70" s="2"/>
    </row>
    <row r="71" spans="1:26" ht="14.4">
      <c r="A71" s="14"/>
      <c r="B71" s="4"/>
      <c r="C71" s="14"/>
      <c r="D71" s="2"/>
      <c r="E71" s="2"/>
      <c r="F71" s="2"/>
      <c r="G71" s="2"/>
      <c r="H71" s="2"/>
      <c r="I71" s="2"/>
      <c r="J71" s="2"/>
      <c r="K71" s="2"/>
      <c r="L71" s="2"/>
      <c r="M71" s="2"/>
      <c r="N71" s="2"/>
      <c r="O71" s="2"/>
      <c r="P71" s="2"/>
      <c r="Q71" s="2"/>
      <c r="R71" s="2"/>
      <c r="S71" s="2"/>
      <c r="T71" s="2"/>
      <c r="U71" s="2"/>
      <c r="V71" s="2"/>
      <c r="W71" s="2"/>
      <c r="X71" s="2"/>
      <c r="Y71" s="2"/>
      <c r="Z71" s="2"/>
    </row>
    <row r="72" spans="1:26" ht="14.4">
      <c r="A72" s="14"/>
      <c r="B72" s="4"/>
      <c r="C72" s="14"/>
      <c r="D72" s="2"/>
      <c r="E72" s="2"/>
      <c r="F72" s="2"/>
      <c r="G72" s="2"/>
      <c r="H72" s="2"/>
      <c r="I72" s="2"/>
      <c r="J72" s="2"/>
      <c r="K72" s="2"/>
      <c r="L72" s="2"/>
      <c r="M72" s="2"/>
      <c r="N72" s="2"/>
      <c r="O72" s="2"/>
      <c r="P72" s="2"/>
      <c r="Q72" s="2"/>
      <c r="R72" s="2"/>
      <c r="S72" s="2"/>
      <c r="T72" s="2"/>
      <c r="U72" s="2"/>
      <c r="V72" s="2"/>
      <c r="W72" s="2"/>
      <c r="X72" s="2"/>
      <c r="Y72" s="2"/>
      <c r="Z72" s="2"/>
    </row>
    <row r="73" spans="1:26" ht="14.4">
      <c r="A73" s="14"/>
      <c r="B73" s="4"/>
      <c r="C73" s="14"/>
      <c r="D73" s="2"/>
      <c r="E73" s="2"/>
      <c r="F73" s="2"/>
      <c r="G73" s="2"/>
      <c r="H73" s="2"/>
      <c r="I73" s="2"/>
      <c r="J73" s="2"/>
      <c r="K73" s="2"/>
      <c r="L73" s="2"/>
      <c r="M73" s="2"/>
      <c r="N73" s="2"/>
      <c r="O73" s="2"/>
      <c r="P73" s="2"/>
      <c r="Q73" s="2"/>
      <c r="R73" s="2"/>
      <c r="S73" s="2"/>
      <c r="T73" s="2"/>
      <c r="U73" s="2"/>
      <c r="V73" s="2"/>
      <c r="W73" s="2"/>
      <c r="X73" s="2"/>
      <c r="Y73" s="2"/>
      <c r="Z73" s="2"/>
    </row>
    <row r="74" spans="1:26" ht="14.4">
      <c r="A74" s="14"/>
      <c r="B74" s="4"/>
      <c r="C74" s="14"/>
      <c r="D74" s="2"/>
      <c r="E74" s="2"/>
      <c r="F74" s="2"/>
      <c r="G74" s="2"/>
      <c r="H74" s="2"/>
      <c r="I74" s="2"/>
      <c r="J74" s="2"/>
      <c r="K74" s="2"/>
      <c r="L74" s="2"/>
      <c r="M74" s="2"/>
      <c r="N74" s="2"/>
      <c r="O74" s="2"/>
      <c r="P74" s="2"/>
      <c r="Q74" s="2"/>
      <c r="R74" s="2"/>
      <c r="S74" s="2"/>
      <c r="T74" s="2"/>
      <c r="U74" s="2"/>
      <c r="V74" s="2"/>
      <c r="W74" s="2"/>
      <c r="X74" s="2"/>
      <c r="Y74" s="2"/>
      <c r="Z74" s="2"/>
    </row>
    <row r="75" spans="1:26" ht="14.4">
      <c r="A75" s="14"/>
      <c r="B75" s="4"/>
      <c r="C75" s="14"/>
      <c r="D75" s="2"/>
      <c r="E75" s="2"/>
      <c r="F75" s="2"/>
      <c r="G75" s="2"/>
      <c r="H75" s="2"/>
      <c r="I75" s="2"/>
      <c r="J75" s="2"/>
      <c r="K75" s="2"/>
      <c r="L75" s="2"/>
      <c r="M75" s="2"/>
      <c r="N75" s="2"/>
      <c r="O75" s="2"/>
      <c r="P75" s="2"/>
      <c r="Q75" s="2"/>
      <c r="R75" s="2"/>
      <c r="S75" s="2"/>
      <c r="T75" s="2"/>
      <c r="U75" s="2"/>
      <c r="V75" s="2"/>
      <c r="W75" s="2"/>
      <c r="X75" s="2"/>
      <c r="Y75" s="2"/>
      <c r="Z75" s="2"/>
    </row>
    <row r="76" spans="1:26" ht="14.4">
      <c r="A76" s="14"/>
      <c r="B76" s="4"/>
      <c r="C76" s="14"/>
      <c r="D76" s="2"/>
      <c r="E76" s="2"/>
      <c r="F76" s="2"/>
      <c r="G76" s="2"/>
      <c r="H76" s="2"/>
      <c r="I76" s="2"/>
      <c r="J76" s="2"/>
      <c r="K76" s="2"/>
      <c r="L76" s="2"/>
      <c r="M76" s="2"/>
      <c r="N76" s="2"/>
      <c r="O76" s="2"/>
      <c r="P76" s="2"/>
      <c r="Q76" s="2"/>
      <c r="R76" s="2"/>
      <c r="S76" s="2"/>
      <c r="T76" s="2"/>
      <c r="U76" s="2"/>
      <c r="V76" s="2"/>
      <c r="W76" s="2"/>
      <c r="X76" s="2"/>
      <c r="Y76" s="2"/>
      <c r="Z76" s="2"/>
    </row>
    <row r="77" spans="1:26" ht="14.4">
      <c r="A77" s="14"/>
      <c r="B77" s="4"/>
      <c r="C77" s="14"/>
      <c r="D77" s="2"/>
      <c r="E77" s="2"/>
      <c r="F77" s="2"/>
      <c r="G77" s="2"/>
      <c r="H77" s="2"/>
      <c r="I77" s="2"/>
      <c r="J77" s="2"/>
      <c r="K77" s="2"/>
      <c r="L77" s="2"/>
      <c r="M77" s="2"/>
      <c r="N77" s="2"/>
      <c r="O77" s="2"/>
      <c r="P77" s="2"/>
      <c r="Q77" s="2"/>
      <c r="R77" s="2"/>
      <c r="S77" s="2"/>
      <c r="T77" s="2"/>
      <c r="U77" s="2"/>
      <c r="V77" s="2"/>
      <c r="W77" s="2"/>
      <c r="X77" s="2"/>
      <c r="Y77" s="2"/>
      <c r="Z77" s="2"/>
    </row>
    <row r="78" spans="1:26" ht="14.4">
      <c r="A78" s="14"/>
      <c r="B78" s="4"/>
      <c r="C78" s="14"/>
      <c r="D78" s="2"/>
      <c r="E78" s="2"/>
      <c r="F78" s="2"/>
      <c r="G78" s="2"/>
      <c r="H78" s="2"/>
      <c r="I78" s="2"/>
      <c r="J78" s="2"/>
      <c r="K78" s="2"/>
      <c r="L78" s="2"/>
      <c r="M78" s="2"/>
      <c r="N78" s="2"/>
      <c r="O78" s="2"/>
      <c r="P78" s="2"/>
      <c r="Q78" s="2"/>
      <c r="R78" s="2"/>
      <c r="S78" s="2"/>
      <c r="T78" s="2"/>
      <c r="U78" s="2"/>
      <c r="V78" s="2"/>
      <c r="W78" s="2"/>
      <c r="X78" s="2"/>
      <c r="Y78" s="2"/>
      <c r="Z78" s="2"/>
    </row>
    <row r="79" spans="1:26" ht="14.4">
      <c r="A79" s="14"/>
      <c r="B79" s="4"/>
      <c r="C79" s="14"/>
      <c r="D79" s="2"/>
      <c r="E79" s="2"/>
      <c r="F79" s="2"/>
      <c r="G79" s="2"/>
      <c r="H79" s="2"/>
      <c r="I79" s="2"/>
      <c r="J79" s="2"/>
      <c r="K79" s="2"/>
      <c r="L79" s="2"/>
      <c r="M79" s="2"/>
      <c r="N79" s="2"/>
      <c r="O79" s="2"/>
      <c r="P79" s="2"/>
      <c r="Q79" s="2"/>
      <c r="R79" s="2"/>
      <c r="S79" s="2"/>
      <c r="T79" s="2"/>
      <c r="U79" s="2"/>
      <c r="V79" s="2"/>
      <c r="W79" s="2"/>
      <c r="X79" s="2"/>
      <c r="Y79" s="2"/>
      <c r="Z79" s="2"/>
    </row>
    <row r="80" spans="1:26" ht="14.4">
      <c r="A80" s="14"/>
      <c r="B80" s="4"/>
      <c r="C80" s="14"/>
      <c r="D80" s="2"/>
      <c r="E80" s="2"/>
      <c r="F80" s="2"/>
      <c r="G80" s="2"/>
      <c r="H80" s="2"/>
      <c r="I80" s="2"/>
      <c r="J80" s="2"/>
      <c r="K80" s="2"/>
      <c r="L80" s="2"/>
      <c r="M80" s="2"/>
      <c r="N80" s="2"/>
      <c r="O80" s="2"/>
      <c r="P80" s="2"/>
      <c r="Q80" s="2"/>
      <c r="R80" s="2"/>
      <c r="S80" s="2"/>
      <c r="T80" s="2"/>
      <c r="U80" s="2"/>
      <c r="V80" s="2"/>
      <c r="W80" s="2"/>
      <c r="X80" s="2"/>
      <c r="Y80" s="2"/>
      <c r="Z80" s="2"/>
    </row>
    <row r="81" spans="1:26" ht="14.4">
      <c r="A81" s="14"/>
      <c r="B81" s="4"/>
      <c r="C81" s="14"/>
      <c r="D81" s="2"/>
      <c r="E81" s="2"/>
      <c r="F81" s="2"/>
      <c r="G81" s="2"/>
      <c r="H81" s="2"/>
      <c r="I81" s="2"/>
      <c r="J81" s="2"/>
      <c r="K81" s="2"/>
      <c r="L81" s="2"/>
      <c r="M81" s="2"/>
      <c r="N81" s="2"/>
      <c r="O81" s="2"/>
      <c r="P81" s="2"/>
      <c r="Q81" s="2"/>
      <c r="R81" s="2"/>
      <c r="S81" s="2"/>
      <c r="T81" s="2"/>
      <c r="U81" s="2"/>
      <c r="V81" s="2"/>
      <c r="W81" s="2"/>
      <c r="X81" s="2"/>
      <c r="Y81" s="2"/>
      <c r="Z81" s="2"/>
    </row>
    <row r="82" spans="1:26" ht="14.4">
      <c r="A82" s="14"/>
      <c r="B82" s="4"/>
      <c r="C82" s="14"/>
      <c r="D82" s="2"/>
      <c r="E82" s="2"/>
      <c r="F82" s="2"/>
      <c r="G82" s="2"/>
      <c r="H82" s="2"/>
      <c r="I82" s="2"/>
      <c r="J82" s="2"/>
      <c r="K82" s="2"/>
      <c r="L82" s="2"/>
      <c r="M82" s="2"/>
      <c r="N82" s="2"/>
      <c r="O82" s="2"/>
      <c r="P82" s="2"/>
      <c r="Q82" s="2"/>
      <c r="R82" s="2"/>
      <c r="S82" s="2"/>
      <c r="T82" s="2"/>
      <c r="U82" s="2"/>
      <c r="V82" s="2"/>
      <c r="W82" s="2"/>
      <c r="X82" s="2"/>
      <c r="Y82" s="2"/>
      <c r="Z82" s="2"/>
    </row>
    <row r="83" spans="1:26" ht="14.4">
      <c r="A83" s="14"/>
      <c r="B83" s="4"/>
      <c r="C83" s="14"/>
      <c r="D83" s="2"/>
      <c r="E83" s="2"/>
      <c r="F83" s="2"/>
      <c r="G83" s="2"/>
      <c r="H83" s="2"/>
      <c r="I83" s="2"/>
      <c r="J83" s="2"/>
      <c r="K83" s="2"/>
      <c r="L83" s="2"/>
      <c r="M83" s="2"/>
      <c r="N83" s="2"/>
      <c r="O83" s="2"/>
      <c r="P83" s="2"/>
      <c r="Q83" s="2"/>
      <c r="R83" s="2"/>
      <c r="S83" s="2"/>
      <c r="T83" s="2"/>
      <c r="U83" s="2"/>
      <c r="V83" s="2"/>
      <c r="W83" s="2"/>
      <c r="X83" s="2"/>
      <c r="Y83" s="2"/>
      <c r="Z83" s="2"/>
    </row>
    <row r="84" spans="1:26" ht="14.4">
      <c r="A84" s="14"/>
      <c r="B84" s="4"/>
      <c r="C84" s="14"/>
      <c r="D84" s="2"/>
      <c r="E84" s="2"/>
      <c r="F84" s="2"/>
      <c r="G84" s="2"/>
      <c r="H84" s="2"/>
      <c r="I84" s="2"/>
      <c r="J84" s="2"/>
      <c r="K84" s="2"/>
      <c r="L84" s="2"/>
      <c r="M84" s="2"/>
      <c r="N84" s="2"/>
      <c r="O84" s="2"/>
      <c r="P84" s="2"/>
      <c r="Q84" s="2"/>
      <c r="R84" s="2"/>
      <c r="S84" s="2"/>
      <c r="T84" s="2"/>
      <c r="U84" s="2"/>
      <c r="V84" s="2"/>
      <c r="W84" s="2"/>
      <c r="X84" s="2"/>
      <c r="Y84" s="2"/>
      <c r="Z84" s="2"/>
    </row>
    <row r="85" spans="1:26" ht="14.4">
      <c r="A85" s="14"/>
      <c r="B85" s="4"/>
      <c r="C85" s="14"/>
      <c r="D85" s="2"/>
      <c r="E85" s="2"/>
      <c r="F85" s="2"/>
      <c r="G85" s="2"/>
      <c r="H85" s="2"/>
      <c r="I85" s="2"/>
      <c r="J85" s="2"/>
      <c r="K85" s="2"/>
      <c r="L85" s="2"/>
      <c r="M85" s="2"/>
      <c r="N85" s="2"/>
      <c r="O85" s="2"/>
      <c r="P85" s="2"/>
      <c r="Q85" s="2"/>
      <c r="R85" s="2"/>
      <c r="S85" s="2"/>
      <c r="T85" s="2"/>
      <c r="U85" s="2"/>
      <c r="V85" s="2"/>
      <c r="W85" s="2"/>
      <c r="X85" s="2"/>
      <c r="Y85" s="2"/>
      <c r="Z85" s="2"/>
    </row>
    <row r="86" spans="1:26" ht="14.4">
      <c r="A86" s="14"/>
      <c r="B86" s="4"/>
      <c r="C86" s="14"/>
      <c r="D86" s="2"/>
      <c r="E86" s="2"/>
      <c r="F86" s="2"/>
      <c r="G86" s="2"/>
      <c r="H86" s="2"/>
      <c r="I86" s="2"/>
      <c r="J86" s="2"/>
      <c r="K86" s="2"/>
      <c r="L86" s="2"/>
      <c r="M86" s="2"/>
      <c r="N86" s="2"/>
      <c r="O86" s="2"/>
      <c r="P86" s="2"/>
      <c r="Q86" s="2"/>
      <c r="R86" s="2"/>
      <c r="S86" s="2"/>
      <c r="T86" s="2"/>
      <c r="U86" s="2"/>
      <c r="V86" s="2"/>
      <c r="W86" s="2"/>
      <c r="X86" s="2"/>
      <c r="Y86" s="2"/>
      <c r="Z86" s="2"/>
    </row>
    <row r="87" spans="1:26" ht="14.4">
      <c r="A87" s="14"/>
      <c r="B87" s="4"/>
      <c r="C87" s="14"/>
      <c r="D87" s="2"/>
      <c r="E87" s="2"/>
      <c r="F87" s="2"/>
      <c r="G87" s="2"/>
      <c r="H87" s="2"/>
      <c r="I87" s="2"/>
      <c r="J87" s="2"/>
      <c r="K87" s="2"/>
      <c r="L87" s="2"/>
      <c r="M87" s="2"/>
      <c r="N87" s="2"/>
      <c r="O87" s="2"/>
      <c r="P87" s="2"/>
      <c r="Q87" s="2"/>
      <c r="R87" s="2"/>
      <c r="S87" s="2"/>
      <c r="T87" s="2"/>
      <c r="U87" s="2"/>
      <c r="V87" s="2"/>
      <c r="W87" s="2"/>
      <c r="X87" s="2"/>
      <c r="Y87" s="2"/>
      <c r="Z87" s="2"/>
    </row>
    <row r="88" spans="1:26" ht="14.4">
      <c r="A88" s="14"/>
      <c r="B88" s="4"/>
      <c r="C88" s="14"/>
      <c r="D88" s="2"/>
      <c r="E88" s="2"/>
      <c r="F88" s="2"/>
      <c r="G88" s="2"/>
      <c r="H88" s="2"/>
      <c r="I88" s="2"/>
      <c r="J88" s="2"/>
      <c r="K88" s="2"/>
      <c r="L88" s="2"/>
      <c r="M88" s="2"/>
      <c r="N88" s="2"/>
      <c r="O88" s="2"/>
      <c r="P88" s="2"/>
      <c r="Q88" s="2"/>
      <c r="R88" s="2"/>
      <c r="S88" s="2"/>
      <c r="T88" s="2"/>
      <c r="U88" s="2"/>
      <c r="V88" s="2"/>
      <c r="W88" s="2"/>
      <c r="X88" s="2"/>
      <c r="Y88" s="2"/>
      <c r="Z88" s="2"/>
    </row>
    <row r="89" spans="1:26" ht="14.4">
      <c r="A89" s="14"/>
      <c r="B89" s="4"/>
      <c r="C89" s="14"/>
      <c r="D89" s="2"/>
      <c r="E89" s="2"/>
      <c r="F89" s="2"/>
      <c r="G89" s="2"/>
      <c r="H89" s="2"/>
      <c r="I89" s="2"/>
      <c r="J89" s="2"/>
      <c r="K89" s="2"/>
      <c r="L89" s="2"/>
      <c r="M89" s="2"/>
      <c r="N89" s="2"/>
      <c r="O89" s="2"/>
      <c r="P89" s="2"/>
      <c r="Q89" s="2"/>
      <c r="R89" s="2"/>
      <c r="S89" s="2"/>
      <c r="T89" s="2"/>
      <c r="U89" s="2"/>
      <c r="V89" s="2"/>
      <c r="W89" s="2"/>
      <c r="X89" s="2"/>
      <c r="Y89" s="2"/>
      <c r="Z89" s="2"/>
    </row>
    <row r="90" spans="1:26" ht="14.4">
      <c r="A90" s="14"/>
      <c r="B90" s="4"/>
      <c r="C90" s="14"/>
      <c r="D90" s="2"/>
      <c r="E90" s="2"/>
      <c r="F90" s="2"/>
      <c r="G90" s="2"/>
      <c r="H90" s="2"/>
      <c r="I90" s="2"/>
      <c r="J90" s="2"/>
      <c r="K90" s="2"/>
      <c r="L90" s="2"/>
      <c r="M90" s="2"/>
      <c r="N90" s="2"/>
      <c r="O90" s="2"/>
      <c r="P90" s="2"/>
      <c r="Q90" s="2"/>
      <c r="R90" s="2"/>
      <c r="S90" s="2"/>
      <c r="T90" s="2"/>
      <c r="U90" s="2"/>
      <c r="V90" s="2"/>
      <c r="W90" s="2"/>
      <c r="X90" s="2"/>
      <c r="Y90" s="2"/>
      <c r="Z90" s="2"/>
    </row>
    <row r="91" spans="1:26" ht="14.4">
      <c r="A91" s="14"/>
      <c r="B91" s="4"/>
      <c r="C91" s="14"/>
      <c r="D91" s="2"/>
      <c r="E91" s="2"/>
      <c r="F91" s="2"/>
      <c r="G91" s="2"/>
      <c r="H91" s="2"/>
      <c r="I91" s="2"/>
      <c r="J91" s="2"/>
      <c r="K91" s="2"/>
      <c r="L91" s="2"/>
      <c r="M91" s="2"/>
      <c r="N91" s="2"/>
      <c r="O91" s="2"/>
      <c r="P91" s="2"/>
      <c r="Q91" s="2"/>
      <c r="R91" s="2"/>
      <c r="S91" s="2"/>
      <c r="T91" s="2"/>
      <c r="U91" s="2"/>
      <c r="V91" s="2"/>
      <c r="W91" s="2"/>
      <c r="X91" s="2"/>
      <c r="Y91" s="2"/>
      <c r="Z91" s="2"/>
    </row>
    <row r="92" spans="1:26" ht="14.4">
      <c r="A92" s="14"/>
      <c r="B92" s="4"/>
      <c r="C92" s="14"/>
      <c r="D92" s="2"/>
      <c r="E92" s="2"/>
      <c r="F92" s="2"/>
      <c r="G92" s="2"/>
      <c r="H92" s="2"/>
      <c r="I92" s="2"/>
      <c r="J92" s="2"/>
      <c r="K92" s="2"/>
      <c r="L92" s="2"/>
      <c r="M92" s="2"/>
      <c r="N92" s="2"/>
      <c r="O92" s="2"/>
      <c r="P92" s="2"/>
      <c r="Q92" s="2"/>
      <c r="R92" s="2"/>
      <c r="S92" s="2"/>
      <c r="T92" s="2"/>
      <c r="U92" s="2"/>
      <c r="V92" s="2"/>
      <c r="W92" s="2"/>
      <c r="X92" s="2"/>
      <c r="Y92" s="2"/>
      <c r="Z92" s="2"/>
    </row>
    <row r="93" spans="1:26" ht="14.4">
      <c r="A93" s="14"/>
      <c r="B93" s="4"/>
      <c r="C93" s="14"/>
      <c r="D93" s="2"/>
      <c r="E93" s="2"/>
      <c r="F93" s="2"/>
      <c r="G93" s="2"/>
      <c r="H93" s="2"/>
      <c r="I93" s="2"/>
      <c r="J93" s="2"/>
      <c r="K93" s="2"/>
      <c r="L93" s="2"/>
      <c r="M93" s="2"/>
      <c r="N93" s="2"/>
      <c r="O93" s="2"/>
      <c r="P93" s="2"/>
      <c r="Q93" s="2"/>
      <c r="R93" s="2"/>
      <c r="S93" s="2"/>
      <c r="T93" s="2"/>
      <c r="U93" s="2"/>
      <c r="V93" s="2"/>
      <c r="W93" s="2"/>
      <c r="X93" s="2"/>
      <c r="Y93" s="2"/>
      <c r="Z93" s="2"/>
    </row>
    <row r="94" spans="1:26" ht="14.4">
      <c r="A94" s="14"/>
      <c r="B94" s="4"/>
      <c r="C94" s="14"/>
      <c r="D94" s="2"/>
      <c r="E94" s="2"/>
      <c r="F94" s="2"/>
      <c r="G94" s="2"/>
      <c r="H94" s="2"/>
      <c r="I94" s="2"/>
      <c r="J94" s="2"/>
      <c r="K94" s="2"/>
      <c r="L94" s="2"/>
      <c r="M94" s="2"/>
      <c r="N94" s="2"/>
      <c r="O94" s="2"/>
      <c r="P94" s="2"/>
      <c r="Q94" s="2"/>
      <c r="R94" s="2"/>
      <c r="S94" s="2"/>
      <c r="T94" s="2"/>
      <c r="U94" s="2"/>
      <c r="V94" s="2"/>
      <c r="W94" s="2"/>
      <c r="X94" s="2"/>
      <c r="Y94" s="2"/>
      <c r="Z94" s="2"/>
    </row>
    <row r="95" spans="1:26" ht="14.4">
      <c r="A95" s="14"/>
      <c r="B95" s="4"/>
      <c r="C95" s="14"/>
      <c r="D95" s="2"/>
      <c r="E95" s="2"/>
      <c r="F95" s="2"/>
      <c r="G95" s="2"/>
      <c r="H95" s="2"/>
      <c r="I95" s="2"/>
      <c r="J95" s="2"/>
      <c r="K95" s="2"/>
      <c r="L95" s="2"/>
      <c r="M95" s="2"/>
      <c r="N95" s="2"/>
      <c r="O95" s="2"/>
      <c r="P95" s="2"/>
      <c r="Q95" s="2"/>
      <c r="R95" s="2"/>
      <c r="S95" s="2"/>
      <c r="T95" s="2"/>
      <c r="U95" s="2"/>
      <c r="V95" s="2"/>
      <c r="W95" s="2"/>
      <c r="X95" s="2"/>
      <c r="Y95" s="2"/>
      <c r="Z95" s="2"/>
    </row>
    <row r="96" spans="1:26" ht="14.4">
      <c r="A96" s="14"/>
      <c r="B96" s="4"/>
      <c r="C96" s="14"/>
      <c r="D96" s="2"/>
      <c r="E96" s="2"/>
      <c r="F96" s="2"/>
      <c r="G96" s="2"/>
      <c r="H96" s="2"/>
      <c r="I96" s="2"/>
      <c r="J96" s="2"/>
      <c r="K96" s="2"/>
      <c r="L96" s="2"/>
      <c r="M96" s="2"/>
      <c r="N96" s="2"/>
      <c r="O96" s="2"/>
      <c r="P96" s="2"/>
      <c r="Q96" s="2"/>
      <c r="R96" s="2"/>
      <c r="S96" s="2"/>
      <c r="T96" s="2"/>
      <c r="U96" s="2"/>
      <c r="V96" s="2"/>
      <c r="W96" s="2"/>
      <c r="X96" s="2"/>
      <c r="Y96" s="2"/>
      <c r="Z96" s="2"/>
    </row>
    <row r="97" spans="1:26" ht="14.4">
      <c r="A97" s="14"/>
      <c r="B97" s="4"/>
      <c r="C97" s="14"/>
      <c r="D97" s="2"/>
      <c r="E97" s="2"/>
      <c r="F97" s="2"/>
      <c r="G97" s="2"/>
      <c r="H97" s="2"/>
      <c r="I97" s="2"/>
      <c r="J97" s="2"/>
      <c r="K97" s="2"/>
      <c r="L97" s="2"/>
      <c r="M97" s="2"/>
      <c r="N97" s="2"/>
      <c r="O97" s="2"/>
      <c r="P97" s="2"/>
      <c r="Q97" s="2"/>
      <c r="R97" s="2"/>
      <c r="S97" s="2"/>
      <c r="T97" s="2"/>
      <c r="U97" s="2"/>
      <c r="V97" s="2"/>
      <c r="W97" s="2"/>
      <c r="X97" s="2"/>
      <c r="Y97" s="2"/>
      <c r="Z97" s="2"/>
    </row>
    <row r="98" spans="1:26" ht="14.4">
      <c r="A98" s="14"/>
      <c r="B98" s="4"/>
      <c r="C98" s="14"/>
      <c r="D98" s="2"/>
      <c r="E98" s="2"/>
      <c r="F98" s="2"/>
      <c r="G98" s="2"/>
      <c r="H98" s="2"/>
      <c r="I98" s="2"/>
      <c r="J98" s="2"/>
      <c r="K98" s="2"/>
      <c r="L98" s="2"/>
      <c r="M98" s="2"/>
      <c r="N98" s="2"/>
      <c r="O98" s="2"/>
      <c r="P98" s="2"/>
      <c r="Q98" s="2"/>
      <c r="R98" s="2"/>
      <c r="S98" s="2"/>
      <c r="T98" s="2"/>
      <c r="U98" s="2"/>
      <c r="V98" s="2"/>
      <c r="W98" s="2"/>
      <c r="X98" s="2"/>
      <c r="Y98" s="2"/>
      <c r="Z98" s="2"/>
    </row>
    <row r="99" spans="1:26" ht="14.4">
      <c r="A99" s="14"/>
      <c r="B99" s="4"/>
      <c r="C99" s="14"/>
      <c r="D99" s="2"/>
      <c r="E99" s="2"/>
      <c r="F99" s="2"/>
      <c r="G99" s="2"/>
      <c r="H99" s="2"/>
      <c r="I99" s="2"/>
      <c r="J99" s="2"/>
      <c r="K99" s="2"/>
      <c r="L99" s="2"/>
      <c r="M99" s="2"/>
      <c r="N99" s="2"/>
      <c r="O99" s="2"/>
      <c r="P99" s="2"/>
      <c r="Q99" s="2"/>
      <c r="R99" s="2"/>
      <c r="S99" s="2"/>
      <c r="T99" s="2"/>
      <c r="U99" s="2"/>
      <c r="V99" s="2"/>
      <c r="W99" s="2"/>
      <c r="X99" s="2"/>
      <c r="Y99" s="2"/>
      <c r="Z99" s="2"/>
    </row>
    <row r="100" spans="1:26" ht="14.4">
      <c r="A100" s="14"/>
      <c r="B100" s="4"/>
      <c r="C100" s="14"/>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4">
      <c r="A101" s="14"/>
      <c r="B101" s="4"/>
      <c r="C101" s="14"/>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4">
      <c r="A102" s="14"/>
      <c r="B102" s="4"/>
      <c r="C102" s="14"/>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4">
      <c r="A103" s="14"/>
      <c r="B103" s="4"/>
      <c r="C103" s="14"/>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4">
      <c r="A104" s="14"/>
      <c r="B104" s="4"/>
      <c r="C104" s="14"/>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4">
      <c r="A105" s="14"/>
      <c r="B105" s="4"/>
      <c r="C105" s="14"/>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4">
      <c r="A106" s="14"/>
      <c r="B106" s="4"/>
      <c r="C106" s="14"/>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4">
      <c r="A107" s="14"/>
      <c r="B107" s="4"/>
      <c r="C107" s="14"/>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4">
      <c r="A108" s="14"/>
      <c r="B108" s="4"/>
      <c r="C108" s="14"/>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4">
      <c r="A109" s="14"/>
      <c r="B109" s="4"/>
      <c r="C109" s="14"/>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4">
      <c r="A110" s="14"/>
      <c r="B110" s="4"/>
      <c r="C110" s="14"/>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4">
      <c r="A111" s="14"/>
      <c r="B111" s="4"/>
      <c r="C111" s="14"/>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4">
      <c r="A112" s="14"/>
      <c r="B112" s="4"/>
      <c r="C112" s="14"/>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4">
      <c r="A113" s="14"/>
      <c r="B113" s="4"/>
      <c r="C113" s="14"/>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4">
      <c r="A114" s="14"/>
      <c r="B114" s="4"/>
      <c r="C114" s="14"/>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4">
      <c r="A115" s="14"/>
      <c r="B115" s="4"/>
      <c r="C115" s="14"/>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4">
      <c r="A116" s="14"/>
      <c r="B116" s="4"/>
      <c r="C116" s="14"/>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4">
      <c r="A117" s="14"/>
      <c r="B117" s="4"/>
      <c r="C117" s="14"/>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4">
      <c r="A118" s="14"/>
      <c r="B118" s="4"/>
      <c r="C118" s="14"/>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4">
      <c r="A119" s="14"/>
      <c r="B119" s="4"/>
      <c r="C119" s="14"/>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4">
      <c r="A120" s="14"/>
      <c r="B120" s="4"/>
      <c r="C120" s="14"/>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4">
      <c r="A121" s="14"/>
      <c r="B121" s="4"/>
      <c r="C121" s="14"/>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4">
      <c r="A122" s="14"/>
      <c r="B122" s="4"/>
      <c r="C122" s="14"/>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4">
      <c r="A123" s="14"/>
      <c r="B123" s="4"/>
      <c r="C123" s="14"/>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4">
      <c r="A124" s="14"/>
      <c r="B124" s="4"/>
      <c r="C124" s="14"/>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4">
      <c r="A125" s="14"/>
      <c r="B125" s="4"/>
      <c r="C125" s="14"/>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4">
      <c r="A126" s="14"/>
      <c r="B126" s="4"/>
      <c r="C126" s="14"/>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4">
      <c r="A127" s="14"/>
      <c r="B127" s="4"/>
      <c r="C127" s="14"/>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4">
      <c r="A128" s="14"/>
      <c r="B128" s="4"/>
      <c r="C128" s="14"/>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4">
      <c r="A129" s="14"/>
      <c r="B129" s="4"/>
      <c r="C129" s="14"/>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4">
      <c r="A130" s="14"/>
      <c r="B130" s="4"/>
      <c r="C130" s="14"/>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4">
      <c r="A131" s="14"/>
      <c r="B131" s="4"/>
      <c r="C131" s="14"/>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4">
      <c r="A132" s="14"/>
      <c r="B132" s="4"/>
      <c r="C132" s="14"/>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4">
      <c r="A133" s="14"/>
      <c r="B133" s="4"/>
      <c r="C133" s="14"/>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4">
      <c r="A134" s="14"/>
      <c r="B134" s="4"/>
      <c r="C134" s="14"/>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4">
      <c r="A135" s="14"/>
      <c r="B135" s="4"/>
      <c r="C135" s="14"/>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4">
      <c r="A136" s="14"/>
      <c r="B136" s="4"/>
      <c r="C136" s="14"/>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4">
      <c r="A137" s="14"/>
      <c r="B137" s="4"/>
      <c r="C137" s="14"/>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4">
      <c r="A138" s="14"/>
      <c r="B138" s="4"/>
      <c r="C138" s="14"/>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4">
      <c r="A139" s="14"/>
      <c r="B139" s="4"/>
      <c r="C139" s="14"/>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4">
      <c r="A140" s="14"/>
      <c r="B140" s="4"/>
      <c r="C140" s="14"/>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4">
      <c r="A141" s="14"/>
      <c r="B141" s="4"/>
      <c r="C141" s="14"/>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4">
      <c r="A142" s="14"/>
      <c r="B142" s="4"/>
      <c r="C142" s="14"/>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4">
      <c r="A143" s="14"/>
      <c r="B143" s="4"/>
      <c r="C143" s="14"/>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4">
      <c r="A144" s="14"/>
      <c r="B144" s="4"/>
      <c r="C144" s="14"/>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4">
      <c r="A145" s="14"/>
      <c r="B145" s="4"/>
      <c r="C145" s="14"/>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4">
      <c r="A146" s="14"/>
      <c r="B146" s="4"/>
      <c r="C146" s="14"/>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4">
      <c r="A147" s="14"/>
      <c r="B147" s="4"/>
      <c r="C147" s="14"/>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4">
      <c r="A148" s="14"/>
      <c r="B148" s="4"/>
      <c r="C148" s="14"/>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4">
      <c r="A149" s="14"/>
      <c r="B149" s="4"/>
      <c r="C149" s="14"/>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4">
      <c r="A150" s="14"/>
      <c r="B150" s="4"/>
      <c r="C150" s="14"/>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4">
      <c r="A151" s="14"/>
      <c r="B151" s="4"/>
      <c r="C151" s="14"/>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4">
      <c r="A152" s="14"/>
      <c r="B152" s="4"/>
      <c r="C152" s="14"/>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4">
      <c r="A153" s="14"/>
      <c r="B153" s="4"/>
      <c r="C153" s="14"/>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4">
      <c r="A154" s="14"/>
      <c r="B154" s="4"/>
      <c r="C154" s="14"/>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4">
      <c r="A155" s="14"/>
      <c r="B155" s="4"/>
      <c r="C155" s="14"/>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4">
      <c r="A156" s="14"/>
      <c r="B156" s="4"/>
      <c r="C156" s="14"/>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4">
      <c r="A157" s="14"/>
      <c r="B157" s="4"/>
      <c r="C157" s="14"/>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4">
      <c r="A158" s="14"/>
      <c r="B158" s="4"/>
      <c r="C158" s="14"/>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4">
      <c r="A159" s="14"/>
      <c r="B159" s="4"/>
      <c r="C159" s="14"/>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4">
      <c r="A160" s="14"/>
      <c r="B160" s="4"/>
      <c r="C160" s="14"/>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4">
      <c r="A161" s="14"/>
      <c r="B161" s="4"/>
      <c r="C161" s="14"/>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4">
      <c r="A162" s="14"/>
      <c r="B162" s="4"/>
      <c r="C162" s="14"/>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4">
      <c r="A163" s="14"/>
      <c r="B163" s="4"/>
      <c r="C163" s="14"/>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4">
      <c r="A164" s="14"/>
      <c r="B164" s="4"/>
      <c r="C164" s="14"/>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4">
      <c r="A165" s="14"/>
      <c r="B165" s="4"/>
      <c r="C165" s="14"/>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4">
      <c r="A166" s="14"/>
      <c r="B166" s="4"/>
      <c r="C166" s="14"/>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4">
      <c r="A167" s="14"/>
      <c r="B167" s="4"/>
      <c r="C167" s="14"/>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4">
      <c r="A168" s="14"/>
      <c r="B168" s="4"/>
      <c r="C168" s="14"/>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4">
      <c r="A169" s="14"/>
      <c r="B169" s="4"/>
      <c r="C169" s="14"/>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4">
      <c r="A170" s="14"/>
      <c r="B170" s="4"/>
      <c r="C170" s="14"/>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4">
      <c r="A171" s="14"/>
      <c r="B171" s="4"/>
      <c r="C171" s="14"/>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4">
      <c r="A172" s="14"/>
      <c r="B172" s="4"/>
      <c r="C172" s="14"/>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4">
      <c r="A173" s="14"/>
      <c r="B173" s="4"/>
      <c r="C173" s="14"/>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4">
      <c r="A174" s="14"/>
      <c r="B174" s="4"/>
      <c r="C174" s="14"/>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4">
      <c r="A175" s="14"/>
      <c r="B175" s="4"/>
      <c r="C175" s="14"/>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4">
      <c r="A176" s="14"/>
      <c r="B176" s="4"/>
      <c r="C176" s="14"/>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4">
      <c r="A177" s="14"/>
      <c r="B177" s="4"/>
      <c r="C177" s="14"/>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4">
      <c r="A178" s="14"/>
      <c r="B178" s="4"/>
      <c r="C178" s="14"/>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4">
      <c r="A179" s="14"/>
      <c r="B179" s="4"/>
      <c r="C179" s="14"/>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4">
      <c r="A180" s="14"/>
      <c r="B180" s="4"/>
      <c r="C180" s="14"/>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4">
      <c r="A181" s="14"/>
      <c r="B181" s="4"/>
      <c r="C181" s="14"/>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4">
      <c r="A182" s="14"/>
      <c r="B182" s="4"/>
      <c r="C182" s="14"/>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4">
      <c r="A183" s="14"/>
      <c r="B183" s="4"/>
      <c r="C183" s="14"/>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4">
      <c r="A184" s="14"/>
      <c r="B184" s="4"/>
      <c r="C184" s="14"/>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4">
      <c r="A185" s="14"/>
      <c r="B185" s="4"/>
      <c r="C185" s="14"/>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4">
      <c r="A186" s="14"/>
      <c r="B186" s="4"/>
      <c r="C186" s="14"/>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4">
      <c r="A187" s="14"/>
      <c r="B187" s="4"/>
      <c r="C187" s="14"/>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4">
      <c r="A188" s="14"/>
      <c r="B188" s="4"/>
      <c r="C188" s="14"/>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4">
      <c r="A189" s="14"/>
      <c r="B189" s="4"/>
      <c r="C189" s="14"/>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4">
      <c r="A190" s="14"/>
      <c r="B190" s="4"/>
      <c r="C190" s="14"/>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4">
      <c r="A191" s="14"/>
      <c r="B191" s="4"/>
      <c r="C191" s="14"/>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4">
      <c r="A192" s="14"/>
      <c r="B192" s="4"/>
      <c r="C192" s="14"/>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4">
      <c r="A193" s="14"/>
      <c r="B193" s="4"/>
      <c r="C193" s="14"/>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4">
      <c r="A194" s="14"/>
      <c r="B194" s="4"/>
      <c r="C194" s="14"/>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4">
      <c r="A195" s="14"/>
      <c r="B195" s="4"/>
      <c r="C195" s="14"/>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4">
      <c r="A196" s="14"/>
      <c r="B196" s="4"/>
      <c r="C196" s="14"/>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4">
      <c r="A197" s="14"/>
      <c r="B197" s="4"/>
      <c r="C197" s="14"/>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4">
      <c r="A198" s="14"/>
      <c r="B198" s="4"/>
      <c r="C198" s="14"/>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4">
      <c r="A199" s="14"/>
      <c r="B199" s="4"/>
      <c r="C199" s="14"/>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4">
      <c r="A200" s="14"/>
      <c r="B200" s="4"/>
      <c r="C200" s="14"/>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4">
      <c r="A201" s="14"/>
      <c r="B201" s="4"/>
      <c r="C201" s="14"/>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4">
      <c r="A202" s="14"/>
      <c r="B202" s="4"/>
      <c r="C202" s="14"/>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4">
      <c r="A203" s="14"/>
      <c r="B203" s="4"/>
      <c r="C203" s="14"/>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4">
      <c r="A204" s="14"/>
      <c r="B204" s="4"/>
      <c r="C204" s="14"/>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4">
      <c r="A205" s="14"/>
      <c r="B205" s="4"/>
      <c r="C205" s="14"/>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4">
      <c r="A206" s="14"/>
      <c r="B206" s="4"/>
      <c r="C206" s="14"/>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4">
      <c r="A207" s="14"/>
      <c r="B207" s="4"/>
      <c r="C207" s="14"/>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4">
      <c r="A208" s="14"/>
      <c r="B208" s="4"/>
      <c r="C208" s="14"/>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4">
      <c r="A209" s="14"/>
      <c r="B209" s="4"/>
      <c r="C209" s="14"/>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4">
      <c r="A210" s="14"/>
      <c r="B210" s="4"/>
      <c r="C210" s="14"/>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4">
      <c r="A211" s="14"/>
      <c r="B211" s="4"/>
      <c r="C211" s="14"/>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4">
      <c r="A212" s="14"/>
      <c r="B212" s="4"/>
      <c r="C212" s="14"/>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4">
      <c r="A213" s="14"/>
      <c r="B213" s="4"/>
      <c r="C213" s="14"/>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4">
      <c r="A214" s="14"/>
      <c r="B214" s="4"/>
      <c r="C214" s="14"/>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4">
      <c r="A215" s="14"/>
      <c r="B215" s="4"/>
      <c r="C215" s="14"/>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4">
      <c r="A216" s="14"/>
      <c r="B216" s="4"/>
      <c r="C216" s="14"/>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4">
      <c r="A217" s="14"/>
      <c r="B217" s="4"/>
      <c r="C217" s="14"/>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4">
      <c r="A218" s="14"/>
      <c r="B218" s="4"/>
      <c r="C218" s="14"/>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4">
      <c r="A219" s="14"/>
      <c r="B219" s="4"/>
      <c r="C219" s="14"/>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4">
      <c r="A220" s="14"/>
      <c r="B220" s="4"/>
      <c r="C220" s="14"/>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4">
      <c r="A221" s="14"/>
      <c r="B221" s="4"/>
      <c r="C221" s="14"/>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4">
      <c r="A222" s="14"/>
      <c r="B222" s="4"/>
      <c r="C222" s="14"/>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4">
      <c r="A223" s="14"/>
      <c r="B223" s="4"/>
      <c r="C223" s="14"/>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4">
      <c r="A224" s="14"/>
      <c r="B224" s="4"/>
      <c r="C224" s="14"/>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4">
      <c r="A225" s="14"/>
      <c r="B225" s="4"/>
      <c r="C225" s="14"/>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4">
      <c r="A226" s="14"/>
      <c r="B226" s="4"/>
      <c r="C226" s="14"/>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4">
      <c r="A227" s="14"/>
      <c r="B227" s="4"/>
      <c r="C227" s="14"/>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4">
      <c r="A228" s="14"/>
      <c r="B228" s="4"/>
      <c r="C228" s="14"/>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4">
      <c r="A229" s="14"/>
      <c r="B229" s="4"/>
      <c r="C229" s="14"/>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4">
      <c r="A230" s="14"/>
      <c r="B230" s="4"/>
      <c r="C230" s="14"/>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4">
      <c r="A231" s="14"/>
      <c r="B231" s="4"/>
      <c r="C231" s="14"/>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4">
      <c r="A232" s="14"/>
      <c r="B232" s="4"/>
      <c r="C232" s="14"/>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4">
      <c r="A233" s="14"/>
      <c r="B233" s="4"/>
      <c r="C233" s="14"/>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4">
      <c r="A234" s="14"/>
      <c r="B234" s="4"/>
      <c r="C234" s="14"/>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4">
      <c r="A235" s="14"/>
      <c r="B235" s="4"/>
      <c r="C235" s="14"/>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4">
      <c r="A236" s="14"/>
      <c r="B236" s="4"/>
      <c r="C236" s="14"/>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4">
      <c r="A237" s="14"/>
      <c r="B237" s="4"/>
      <c r="C237" s="14"/>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4">
      <c r="A238" s="14"/>
      <c r="B238" s="4"/>
      <c r="C238" s="14"/>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4">
      <c r="A239" s="14"/>
      <c r="B239" s="4"/>
      <c r="C239" s="14"/>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4">
      <c r="A240" s="14"/>
      <c r="B240" s="4"/>
      <c r="C240" s="14"/>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4">
      <c r="A241" s="14"/>
      <c r="B241" s="4"/>
      <c r="C241" s="14"/>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4">
      <c r="A242" s="14"/>
      <c r="B242" s="4"/>
      <c r="C242" s="14"/>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4">
      <c r="A243" s="14"/>
      <c r="B243" s="4"/>
      <c r="C243" s="14"/>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4">
      <c r="A244" s="14"/>
      <c r="B244" s="4"/>
      <c r="C244" s="14"/>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4">
      <c r="A245" s="14"/>
      <c r="B245" s="4"/>
      <c r="C245" s="14"/>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4">
      <c r="A246" s="14"/>
      <c r="B246" s="4"/>
      <c r="C246" s="14"/>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4">
      <c r="A247" s="14"/>
      <c r="B247" s="4"/>
      <c r="C247" s="14"/>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4">
      <c r="A248" s="14"/>
      <c r="B248" s="4"/>
      <c r="C248" s="14"/>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4">
      <c r="A249" s="14"/>
      <c r="B249" s="4"/>
      <c r="C249" s="14"/>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4">
      <c r="A250" s="14"/>
      <c r="B250" s="4"/>
      <c r="C250" s="14"/>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4">
      <c r="A251" s="14"/>
      <c r="B251" s="4"/>
      <c r="C251" s="14"/>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4">
      <c r="A252" s="14"/>
      <c r="B252" s="4"/>
      <c r="C252" s="14"/>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4">
      <c r="A253" s="14"/>
      <c r="B253" s="4"/>
      <c r="C253" s="14"/>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4">
      <c r="A254" s="14"/>
      <c r="B254" s="4"/>
      <c r="C254" s="14"/>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4">
      <c r="A255" s="14"/>
      <c r="B255" s="4"/>
      <c r="C255" s="14"/>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4">
      <c r="A256" s="14"/>
      <c r="B256" s="4"/>
      <c r="C256" s="14"/>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4">
      <c r="A257" s="14"/>
      <c r="B257" s="4"/>
      <c r="C257" s="14"/>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4">
      <c r="A258" s="14"/>
      <c r="B258" s="4"/>
      <c r="C258" s="14"/>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4">
      <c r="A259" s="14"/>
      <c r="B259" s="4"/>
      <c r="C259" s="14"/>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4">
      <c r="A260" s="14"/>
      <c r="B260" s="4"/>
      <c r="C260" s="14"/>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4">
      <c r="A261" s="14"/>
      <c r="B261" s="4"/>
      <c r="C261" s="14"/>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4">
      <c r="A262" s="14"/>
      <c r="B262" s="4"/>
      <c r="C262" s="14"/>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4">
      <c r="A263" s="14"/>
      <c r="B263" s="4"/>
      <c r="C263" s="14"/>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4">
      <c r="A264" s="14"/>
      <c r="B264" s="4"/>
      <c r="C264" s="14"/>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4">
      <c r="A265" s="14"/>
      <c r="B265" s="4"/>
      <c r="C265" s="14"/>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4">
      <c r="A266" s="14"/>
      <c r="B266" s="4"/>
      <c r="C266" s="14"/>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4">
      <c r="A267" s="14"/>
      <c r="B267" s="4"/>
      <c r="C267" s="14"/>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4">
      <c r="A268" s="14"/>
      <c r="B268" s="4"/>
      <c r="C268" s="14"/>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4">
      <c r="A269" s="14"/>
      <c r="B269" s="4"/>
      <c r="C269" s="14"/>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4">
      <c r="A270" s="14"/>
      <c r="B270" s="4"/>
      <c r="C270" s="14"/>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4">
      <c r="A271" s="14"/>
      <c r="B271" s="4"/>
      <c r="C271" s="14"/>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4">
      <c r="A272" s="14"/>
      <c r="B272" s="4"/>
      <c r="C272" s="14"/>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4">
      <c r="A273" s="14"/>
      <c r="B273" s="4"/>
      <c r="C273" s="14"/>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4">
      <c r="A274" s="14"/>
      <c r="B274" s="4"/>
      <c r="C274" s="14"/>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4">
      <c r="A275" s="14"/>
      <c r="B275" s="4"/>
      <c r="C275" s="14"/>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4">
      <c r="A276" s="14"/>
      <c r="B276" s="4"/>
      <c r="C276" s="14"/>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4">
      <c r="A277" s="14"/>
      <c r="B277" s="4"/>
      <c r="C277" s="14"/>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4">
      <c r="A278" s="14"/>
      <c r="B278" s="4"/>
      <c r="C278" s="14"/>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4">
      <c r="A279" s="14"/>
      <c r="B279" s="4"/>
      <c r="C279" s="14"/>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4">
      <c r="A280" s="14"/>
      <c r="B280" s="4"/>
      <c r="C280" s="14"/>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4">
      <c r="A281" s="14"/>
      <c r="B281" s="4"/>
      <c r="C281" s="14"/>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4">
      <c r="A282" s="14"/>
      <c r="B282" s="4"/>
      <c r="C282" s="14"/>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4">
      <c r="A283" s="14"/>
      <c r="B283" s="4"/>
      <c r="C283" s="14"/>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4">
      <c r="A284" s="14"/>
      <c r="B284" s="4"/>
      <c r="C284" s="14"/>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4">
      <c r="A285" s="14"/>
      <c r="B285" s="4"/>
      <c r="C285" s="14"/>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4">
      <c r="A286" s="14"/>
      <c r="B286" s="4"/>
      <c r="C286" s="14"/>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4">
      <c r="A287" s="14"/>
      <c r="B287" s="4"/>
      <c r="C287" s="14"/>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4">
      <c r="A288" s="14"/>
      <c r="B288" s="4"/>
      <c r="C288" s="14"/>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4">
      <c r="A289" s="14"/>
      <c r="B289" s="4"/>
      <c r="C289" s="14"/>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4">
      <c r="A290" s="14"/>
      <c r="B290" s="4"/>
      <c r="C290" s="14"/>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4">
      <c r="A291" s="14"/>
      <c r="B291" s="4"/>
      <c r="C291" s="14"/>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4">
      <c r="A292" s="14"/>
      <c r="B292" s="4"/>
      <c r="C292" s="14"/>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4">
      <c r="A293" s="14"/>
      <c r="B293" s="4"/>
      <c r="C293" s="14"/>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4">
      <c r="A294" s="14"/>
      <c r="B294" s="4"/>
      <c r="C294" s="14"/>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4">
      <c r="A295" s="14"/>
      <c r="B295" s="4"/>
      <c r="C295" s="14"/>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4">
      <c r="A296" s="14"/>
      <c r="B296" s="4"/>
      <c r="C296" s="14"/>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4">
      <c r="A297" s="14"/>
      <c r="B297" s="4"/>
      <c r="C297" s="14"/>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4">
      <c r="A298" s="14"/>
      <c r="B298" s="4"/>
      <c r="C298" s="14"/>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4">
      <c r="A299" s="14"/>
      <c r="B299" s="4"/>
      <c r="C299" s="14"/>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4">
      <c r="A300" s="14"/>
      <c r="B300" s="4"/>
      <c r="C300" s="14"/>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4">
      <c r="A301" s="14"/>
      <c r="B301" s="4"/>
      <c r="C301" s="14"/>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4">
      <c r="A302" s="14"/>
      <c r="B302" s="4"/>
      <c r="C302" s="14"/>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4">
      <c r="A303" s="14"/>
      <c r="B303" s="4"/>
      <c r="C303" s="14"/>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4">
      <c r="A304" s="14"/>
      <c r="B304" s="4"/>
      <c r="C304" s="14"/>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4">
      <c r="A305" s="14"/>
      <c r="B305" s="4"/>
      <c r="C305" s="14"/>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4">
      <c r="A306" s="14"/>
      <c r="B306" s="4"/>
      <c r="C306" s="14"/>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4">
      <c r="A307" s="14"/>
      <c r="B307" s="4"/>
      <c r="C307" s="14"/>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4">
      <c r="A308" s="14"/>
      <c r="B308" s="4"/>
      <c r="C308" s="14"/>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4">
      <c r="A309" s="14"/>
      <c r="B309" s="4"/>
      <c r="C309" s="14"/>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4">
      <c r="A310" s="14"/>
      <c r="B310" s="4"/>
      <c r="C310" s="14"/>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4">
      <c r="A311" s="14"/>
      <c r="B311" s="4"/>
      <c r="C311" s="14"/>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4">
      <c r="A312" s="14"/>
      <c r="B312" s="4"/>
      <c r="C312" s="14"/>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4">
      <c r="A313" s="14"/>
      <c r="B313" s="4"/>
      <c r="C313" s="14"/>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4">
      <c r="A314" s="14"/>
      <c r="B314" s="4"/>
      <c r="C314" s="14"/>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4">
      <c r="A315" s="14"/>
      <c r="B315" s="4"/>
      <c r="C315" s="14"/>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4">
      <c r="A316" s="14"/>
      <c r="B316" s="4"/>
      <c r="C316" s="14"/>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4">
      <c r="A317" s="14"/>
      <c r="B317" s="4"/>
      <c r="C317" s="14"/>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4">
      <c r="A318" s="14"/>
      <c r="B318" s="4"/>
      <c r="C318" s="14"/>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4">
      <c r="A319" s="14"/>
      <c r="B319" s="4"/>
      <c r="C319" s="14"/>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4">
      <c r="A320" s="14"/>
      <c r="B320" s="4"/>
      <c r="C320" s="14"/>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4">
      <c r="A321" s="14"/>
      <c r="B321" s="4"/>
      <c r="C321" s="14"/>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4">
      <c r="A322" s="14"/>
      <c r="B322" s="4"/>
      <c r="C322" s="14"/>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4">
      <c r="A323" s="14"/>
      <c r="B323" s="4"/>
      <c r="C323" s="14"/>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4">
      <c r="A324" s="14"/>
      <c r="B324" s="4"/>
      <c r="C324" s="14"/>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4">
      <c r="A325" s="14"/>
      <c r="B325" s="4"/>
      <c r="C325" s="14"/>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4">
      <c r="A326" s="14"/>
      <c r="B326" s="4"/>
      <c r="C326" s="14"/>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4">
      <c r="A327" s="14"/>
      <c r="B327" s="4"/>
      <c r="C327" s="14"/>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4">
      <c r="A328" s="14"/>
      <c r="B328" s="4"/>
      <c r="C328" s="14"/>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4">
      <c r="A329" s="14"/>
      <c r="B329" s="4"/>
      <c r="C329" s="14"/>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4">
      <c r="A330" s="14"/>
      <c r="B330" s="4"/>
      <c r="C330" s="14"/>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4">
      <c r="A331" s="14"/>
      <c r="B331" s="4"/>
      <c r="C331" s="14"/>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4">
      <c r="A332" s="14"/>
      <c r="B332" s="4"/>
      <c r="C332" s="14"/>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4">
      <c r="A333" s="14"/>
      <c r="B333" s="4"/>
      <c r="C333" s="14"/>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4">
      <c r="A334" s="14"/>
      <c r="B334" s="4"/>
      <c r="C334" s="14"/>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4">
      <c r="A335" s="14"/>
      <c r="B335" s="4"/>
      <c r="C335" s="14"/>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4">
      <c r="A336" s="14"/>
      <c r="B336" s="4"/>
      <c r="C336" s="14"/>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4">
      <c r="A337" s="14"/>
      <c r="B337" s="4"/>
      <c r="C337" s="14"/>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4">
      <c r="A338" s="14"/>
      <c r="B338" s="4"/>
      <c r="C338" s="14"/>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4">
      <c r="A339" s="14"/>
      <c r="B339" s="4"/>
      <c r="C339" s="14"/>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4">
      <c r="A340" s="14"/>
      <c r="B340" s="4"/>
      <c r="C340" s="14"/>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4">
      <c r="A341" s="14"/>
      <c r="B341" s="4"/>
      <c r="C341" s="14"/>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4">
      <c r="A342" s="14"/>
      <c r="B342" s="4"/>
      <c r="C342" s="14"/>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4">
      <c r="A343" s="14"/>
      <c r="B343" s="4"/>
      <c r="C343" s="14"/>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4">
      <c r="A344" s="14"/>
      <c r="B344" s="4"/>
      <c r="C344" s="14"/>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4">
      <c r="A345" s="14"/>
      <c r="B345" s="4"/>
      <c r="C345" s="14"/>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4">
      <c r="A346" s="14"/>
      <c r="B346" s="4"/>
      <c r="C346" s="14"/>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4">
      <c r="A347" s="14"/>
      <c r="B347" s="4"/>
      <c r="C347" s="14"/>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4">
      <c r="A348" s="14"/>
      <c r="B348" s="4"/>
      <c r="C348" s="14"/>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4">
      <c r="A349" s="14"/>
      <c r="B349" s="4"/>
      <c r="C349" s="14"/>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4">
      <c r="A350" s="14"/>
      <c r="B350" s="4"/>
      <c r="C350" s="14"/>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4">
      <c r="A351" s="14"/>
      <c r="B351" s="4"/>
      <c r="C351" s="14"/>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4">
      <c r="A352" s="14"/>
      <c r="B352" s="4"/>
      <c r="C352" s="14"/>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4">
      <c r="A353" s="14"/>
      <c r="B353" s="4"/>
      <c r="C353" s="14"/>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4">
      <c r="A354" s="14"/>
      <c r="B354" s="4"/>
      <c r="C354" s="14"/>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4">
      <c r="A355" s="14"/>
      <c r="B355" s="4"/>
      <c r="C355" s="14"/>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4">
      <c r="A356" s="14"/>
      <c r="B356" s="4"/>
      <c r="C356" s="14"/>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4">
      <c r="A357" s="14"/>
      <c r="B357" s="4"/>
      <c r="C357" s="14"/>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4">
      <c r="A358" s="14"/>
      <c r="B358" s="4"/>
      <c r="C358" s="14"/>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4">
      <c r="A359" s="14"/>
      <c r="B359" s="4"/>
      <c r="C359" s="14"/>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4">
      <c r="A360" s="14"/>
      <c r="B360" s="4"/>
      <c r="C360" s="14"/>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4">
      <c r="A361" s="14"/>
      <c r="B361" s="4"/>
      <c r="C361" s="14"/>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4">
      <c r="A362" s="14"/>
      <c r="B362" s="4"/>
      <c r="C362" s="14"/>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4">
      <c r="A363" s="14"/>
      <c r="B363" s="4"/>
      <c r="C363" s="14"/>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4">
      <c r="A364" s="14"/>
      <c r="B364" s="4"/>
      <c r="C364" s="14"/>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4">
      <c r="A365" s="14"/>
      <c r="B365" s="4"/>
      <c r="C365" s="14"/>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4">
      <c r="A366" s="14"/>
      <c r="B366" s="4"/>
      <c r="C366" s="14"/>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4">
      <c r="A367" s="14"/>
      <c r="B367" s="4"/>
      <c r="C367" s="14"/>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4">
      <c r="A368" s="14"/>
      <c r="B368" s="4"/>
      <c r="C368" s="14"/>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4">
      <c r="A369" s="14"/>
      <c r="B369" s="4"/>
      <c r="C369" s="14"/>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4">
      <c r="A370" s="14"/>
      <c r="B370" s="4"/>
      <c r="C370" s="14"/>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4">
      <c r="A371" s="14"/>
      <c r="B371" s="4"/>
      <c r="C371" s="14"/>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4">
      <c r="A372" s="14"/>
      <c r="B372" s="4"/>
      <c r="C372" s="14"/>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4">
      <c r="A373" s="14"/>
      <c r="B373" s="4"/>
      <c r="C373" s="14"/>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4">
      <c r="A374" s="14"/>
      <c r="B374" s="4"/>
      <c r="C374" s="14"/>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4">
      <c r="A375" s="14"/>
      <c r="B375" s="4"/>
      <c r="C375" s="14"/>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4">
      <c r="A376" s="14"/>
      <c r="B376" s="4"/>
      <c r="C376" s="14"/>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4">
      <c r="A377" s="14"/>
      <c r="B377" s="4"/>
      <c r="C377" s="14"/>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4">
      <c r="A378" s="14"/>
      <c r="B378" s="4"/>
      <c r="C378" s="14"/>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4">
      <c r="A379" s="14"/>
      <c r="B379" s="4"/>
      <c r="C379" s="14"/>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4">
      <c r="A380" s="14"/>
      <c r="B380" s="4"/>
      <c r="C380" s="14"/>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4">
      <c r="A381" s="14"/>
      <c r="B381" s="4"/>
      <c r="C381" s="14"/>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4">
      <c r="A382" s="14"/>
      <c r="B382" s="4"/>
      <c r="C382" s="14"/>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4">
      <c r="A383" s="14"/>
      <c r="B383" s="4"/>
      <c r="C383" s="14"/>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4">
      <c r="A384" s="14"/>
      <c r="B384" s="4"/>
      <c r="C384" s="14"/>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4">
      <c r="A385" s="14"/>
      <c r="B385" s="4"/>
      <c r="C385" s="14"/>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4">
      <c r="A386" s="14"/>
      <c r="B386" s="4"/>
      <c r="C386" s="14"/>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4">
      <c r="A387" s="14"/>
      <c r="B387" s="4"/>
      <c r="C387" s="14"/>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4">
      <c r="A388" s="14"/>
      <c r="B388" s="4"/>
      <c r="C388" s="14"/>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4">
      <c r="A389" s="14"/>
      <c r="B389" s="4"/>
      <c r="C389" s="14"/>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4">
      <c r="A390" s="14"/>
      <c r="B390" s="4"/>
      <c r="C390" s="14"/>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4">
      <c r="A391" s="14"/>
      <c r="B391" s="4"/>
      <c r="C391" s="14"/>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4">
      <c r="A392" s="14"/>
      <c r="B392" s="4"/>
      <c r="C392" s="14"/>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4">
      <c r="A393" s="14"/>
      <c r="B393" s="4"/>
      <c r="C393" s="14"/>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4">
      <c r="A394" s="14"/>
      <c r="B394" s="4"/>
      <c r="C394" s="14"/>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4">
      <c r="A395" s="14"/>
      <c r="B395" s="4"/>
      <c r="C395" s="14"/>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4">
      <c r="A396" s="14"/>
      <c r="B396" s="4"/>
      <c r="C396" s="14"/>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4">
      <c r="A397" s="14"/>
      <c r="B397" s="4"/>
      <c r="C397" s="14"/>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4">
      <c r="A398" s="14"/>
      <c r="B398" s="4"/>
      <c r="C398" s="14"/>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4">
      <c r="A399" s="14"/>
      <c r="B399" s="4"/>
      <c r="C399" s="14"/>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4">
      <c r="A400" s="14"/>
      <c r="B400" s="4"/>
      <c r="C400" s="14"/>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4">
      <c r="A401" s="14"/>
      <c r="B401" s="4"/>
      <c r="C401" s="14"/>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4">
      <c r="A402" s="14"/>
      <c r="B402" s="4"/>
      <c r="C402" s="14"/>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4">
      <c r="A403" s="14"/>
      <c r="B403" s="4"/>
      <c r="C403" s="14"/>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4">
      <c r="A404" s="14"/>
      <c r="B404" s="4"/>
      <c r="C404" s="14"/>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4">
      <c r="A405" s="14"/>
      <c r="B405" s="4"/>
      <c r="C405" s="14"/>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4">
      <c r="A406" s="14"/>
      <c r="B406" s="4"/>
      <c r="C406" s="14"/>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4">
      <c r="A407" s="14"/>
      <c r="B407" s="4"/>
      <c r="C407" s="14"/>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4">
      <c r="A408" s="14"/>
      <c r="B408" s="4"/>
      <c r="C408" s="14"/>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4">
      <c r="A409" s="14"/>
      <c r="B409" s="4"/>
      <c r="C409" s="14"/>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4">
      <c r="A410" s="14"/>
      <c r="B410" s="4"/>
      <c r="C410" s="14"/>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4">
      <c r="A411" s="14"/>
      <c r="B411" s="4"/>
      <c r="C411" s="14"/>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4">
      <c r="A412" s="14"/>
      <c r="B412" s="4"/>
      <c r="C412" s="14"/>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4">
      <c r="A413" s="14"/>
      <c r="B413" s="4"/>
      <c r="C413" s="14"/>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4">
      <c r="A414" s="14"/>
      <c r="B414" s="4"/>
      <c r="C414" s="14"/>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4">
      <c r="A415" s="14"/>
      <c r="B415" s="4"/>
      <c r="C415" s="14"/>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4">
      <c r="A416" s="14"/>
      <c r="B416" s="4"/>
      <c r="C416" s="14"/>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4">
      <c r="A417" s="14"/>
      <c r="B417" s="4"/>
      <c r="C417" s="14"/>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4">
      <c r="A418" s="14"/>
      <c r="B418" s="4"/>
      <c r="C418" s="14"/>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4">
      <c r="A419" s="14"/>
      <c r="B419" s="4"/>
      <c r="C419" s="14"/>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4">
      <c r="A420" s="14"/>
      <c r="B420" s="4"/>
      <c r="C420" s="14"/>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4">
      <c r="A421" s="14"/>
      <c r="B421" s="4"/>
      <c r="C421" s="14"/>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4">
      <c r="A422" s="14"/>
      <c r="B422" s="4"/>
      <c r="C422" s="14"/>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4">
      <c r="A423" s="14"/>
      <c r="B423" s="4"/>
      <c r="C423" s="14"/>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4">
      <c r="A424" s="14"/>
      <c r="B424" s="4"/>
      <c r="C424" s="14"/>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4">
      <c r="A425" s="14"/>
      <c r="B425" s="4"/>
      <c r="C425" s="14"/>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4">
      <c r="A426" s="14"/>
      <c r="B426" s="4"/>
      <c r="C426" s="14"/>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4">
      <c r="A427" s="14"/>
      <c r="B427" s="4"/>
      <c r="C427" s="14"/>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4">
      <c r="A428" s="14"/>
      <c r="B428" s="4"/>
      <c r="C428" s="14"/>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4">
      <c r="A429" s="14"/>
      <c r="B429" s="4"/>
      <c r="C429" s="14"/>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4">
      <c r="A430" s="14"/>
      <c r="B430" s="4"/>
      <c r="C430" s="14"/>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4">
      <c r="A431" s="14"/>
      <c r="B431" s="4"/>
      <c r="C431" s="14"/>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4">
      <c r="A432" s="14"/>
      <c r="B432" s="4"/>
      <c r="C432" s="14"/>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4">
      <c r="A433" s="14"/>
      <c r="B433" s="4"/>
      <c r="C433" s="14"/>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4">
      <c r="A434" s="14"/>
      <c r="B434" s="4"/>
      <c r="C434" s="14"/>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4">
      <c r="A435" s="14"/>
      <c r="B435" s="4"/>
      <c r="C435" s="14"/>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4">
      <c r="A436" s="14"/>
      <c r="B436" s="4"/>
      <c r="C436" s="14"/>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4">
      <c r="A437" s="14"/>
      <c r="B437" s="4"/>
      <c r="C437" s="14"/>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4">
      <c r="A438" s="14"/>
      <c r="B438" s="4"/>
      <c r="C438" s="14"/>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4">
      <c r="A439" s="14"/>
      <c r="B439" s="4"/>
      <c r="C439" s="14"/>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4">
      <c r="A440" s="14"/>
      <c r="B440" s="4"/>
      <c r="C440" s="14"/>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4">
      <c r="A441" s="14"/>
      <c r="B441" s="4"/>
      <c r="C441" s="14"/>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4">
      <c r="A442" s="14"/>
      <c r="B442" s="4"/>
      <c r="C442" s="14"/>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4">
      <c r="A443" s="14"/>
      <c r="B443" s="4"/>
      <c r="C443" s="14"/>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4">
      <c r="A444" s="14"/>
      <c r="B444" s="4"/>
      <c r="C444" s="14"/>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4">
      <c r="A445" s="14"/>
      <c r="B445" s="4"/>
      <c r="C445" s="14"/>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4">
      <c r="A446" s="14"/>
      <c r="B446" s="4"/>
      <c r="C446" s="14"/>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4">
      <c r="A447" s="14"/>
      <c r="B447" s="4"/>
      <c r="C447" s="14"/>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4">
      <c r="A448" s="14"/>
      <c r="B448" s="4"/>
      <c r="C448" s="14"/>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4">
      <c r="A449" s="14"/>
      <c r="B449" s="4"/>
      <c r="C449" s="14"/>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4">
      <c r="A450" s="14"/>
      <c r="B450" s="4"/>
      <c r="C450" s="14"/>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4">
      <c r="A451" s="14"/>
      <c r="B451" s="4"/>
      <c r="C451" s="14"/>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4">
      <c r="A452" s="14"/>
      <c r="B452" s="4"/>
      <c r="C452" s="14"/>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4">
      <c r="A453" s="14"/>
      <c r="B453" s="4"/>
      <c r="C453" s="14"/>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4">
      <c r="A454" s="14"/>
      <c r="B454" s="4"/>
      <c r="C454" s="14"/>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4">
      <c r="A455" s="14"/>
      <c r="B455" s="4"/>
      <c r="C455" s="14"/>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4">
      <c r="A456" s="14"/>
      <c r="B456" s="4"/>
      <c r="C456" s="14"/>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4">
      <c r="A457" s="14"/>
      <c r="B457" s="4"/>
      <c r="C457" s="14"/>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4">
      <c r="A458" s="14"/>
      <c r="B458" s="4"/>
      <c r="C458" s="14"/>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4">
      <c r="A459" s="14"/>
      <c r="B459" s="4"/>
      <c r="C459" s="14"/>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4">
      <c r="A460" s="14"/>
      <c r="B460" s="4"/>
      <c r="C460" s="14"/>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4">
      <c r="A461" s="14"/>
      <c r="B461" s="4"/>
      <c r="C461" s="14"/>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4">
      <c r="A462" s="14"/>
      <c r="B462" s="4"/>
      <c r="C462" s="14"/>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4">
      <c r="A463" s="14"/>
      <c r="B463" s="4"/>
      <c r="C463" s="14"/>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4">
      <c r="A464" s="14"/>
      <c r="B464" s="4"/>
      <c r="C464" s="14"/>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4">
      <c r="A465" s="14"/>
      <c r="B465" s="4"/>
      <c r="C465" s="14"/>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4">
      <c r="A466" s="14"/>
      <c r="B466" s="4"/>
      <c r="C466" s="14"/>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4">
      <c r="A467" s="14"/>
      <c r="B467" s="4"/>
      <c r="C467" s="14"/>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4">
      <c r="A468" s="14"/>
      <c r="B468" s="4"/>
      <c r="C468" s="14"/>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4">
      <c r="A469" s="14"/>
      <c r="B469" s="4"/>
      <c r="C469" s="14"/>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4">
      <c r="A470" s="14"/>
      <c r="B470" s="4"/>
      <c r="C470" s="14"/>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4">
      <c r="A471" s="14"/>
      <c r="B471" s="4"/>
      <c r="C471" s="14"/>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4">
      <c r="A472" s="14"/>
      <c r="B472" s="4"/>
      <c r="C472" s="14"/>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4">
      <c r="A473" s="14"/>
      <c r="B473" s="4"/>
      <c r="C473" s="14"/>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4">
      <c r="A474" s="14"/>
      <c r="B474" s="4"/>
      <c r="C474" s="14"/>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4">
      <c r="A475" s="14"/>
      <c r="B475" s="4"/>
      <c r="C475" s="14"/>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4">
      <c r="A476" s="14"/>
      <c r="B476" s="4"/>
      <c r="C476" s="14"/>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4">
      <c r="A477" s="14"/>
      <c r="B477" s="4"/>
      <c r="C477" s="14"/>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4">
      <c r="A478" s="14"/>
      <c r="B478" s="4"/>
      <c r="C478" s="14"/>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4">
      <c r="A479" s="14"/>
      <c r="B479" s="4"/>
      <c r="C479" s="14"/>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4">
      <c r="A480" s="14"/>
      <c r="B480" s="4"/>
      <c r="C480" s="14"/>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4">
      <c r="A481" s="14"/>
      <c r="B481" s="4"/>
      <c r="C481" s="14"/>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4">
      <c r="A482" s="14"/>
      <c r="B482" s="4"/>
      <c r="C482" s="14"/>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4">
      <c r="A483" s="14"/>
      <c r="B483" s="4"/>
      <c r="C483" s="14"/>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4">
      <c r="A484" s="14"/>
      <c r="B484" s="4"/>
      <c r="C484" s="14"/>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4">
      <c r="A485" s="14"/>
      <c r="B485" s="4"/>
      <c r="C485" s="14"/>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4">
      <c r="A486" s="14"/>
      <c r="B486" s="4"/>
      <c r="C486" s="14"/>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4">
      <c r="A487" s="14"/>
      <c r="B487" s="4"/>
      <c r="C487" s="14"/>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4">
      <c r="A488" s="14"/>
      <c r="B488" s="4"/>
      <c r="C488" s="14"/>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4">
      <c r="A489" s="14"/>
      <c r="B489" s="4"/>
      <c r="C489" s="14"/>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4">
      <c r="A490" s="14"/>
      <c r="B490" s="4"/>
      <c r="C490" s="14"/>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4">
      <c r="A491" s="14"/>
      <c r="B491" s="4"/>
      <c r="C491" s="14"/>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4">
      <c r="A492" s="14"/>
      <c r="B492" s="4"/>
      <c r="C492" s="14"/>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4">
      <c r="A493" s="14"/>
      <c r="B493" s="4"/>
      <c r="C493" s="14"/>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4">
      <c r="A494" s="14"/>
      <c r="B494" s="4"/>
      <c r="C494" s="14"/>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4">
      <c r="A495" s="14"/>
      <c r="B495" s="4"/>
      <c r="C495" s="14"/>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4">
      <c r="A496" s="14"/>
      <c r="B496" s="4"/>
      <c r="C496" s="14"/>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4">
      <c r="A497" s="14"/>
      <c r="B497" s="4"/>
      <c r="C497" s="14"/>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4">
      <c r="A498" s="14"/>
      <c r="B498" s="4"/>
      <c r="C498" s="14"/>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4">
      <c r="A499" s="14"/>
      <c r="B499" s="4"/>
      <c r="C499" s="14"/>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4">
      <c r="A500" s="14"/>
      <c r="B500" s="4"/>
      <c r="C500" s="14"/>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4">
      <c r="A501" s="14"/>
      <c r="B501" s="4"/>
      <c r="C501" s="14"/>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4">
      <c r="A502" s="14"/>
      <c r="B502" s="4"/>
      <c r="C502" s="14"/>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4">
      <c r="A503" s="14"/>
      <c r="B503" s="4"/>
      <c r="C503" s="14"/>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4">
      <c r="A504" s="14"/>
      <c r="B504" s="4"/>
      <c r="C504" s="14"/>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4">
      <c r="A505" s="14"/>
      <c r="B505" s="4"/>
      <c r="C505" s="14"/>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4">
      <c r="A506" s="14"/>
      <c r="B506" s="4"/>
      <c r="C506" s="14"/>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4">
      <c r="A507" s="14"/>
      <c r="B507" s="4"/>
      <c r="C507" s="14"/>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4">
      <c r="A508" s="14"/>
      <c r="B508" s="4"/>
      <c r="C508" s="14"/>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4">
      <c r="A509" s="14"/>
      <c r="B509" s="4"/>
      <c r="C509" s="14"/>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4">
      <c r="A510" s="14"/>
      <c r="B510" s="4"/>
      <c r="C510" s="14"/>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4">
      <c r="A511" s="14"/>
      <c r="B511" s="4"/>
      <c r="C511" s="14"/>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4">
      <c r="A512" s="14"/>
      <c r="B512" s="4"/>
      <c r="C512" s="14"/>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4">
      <c r="A513" s="14"/>
      <c r="B513" s="4"/>
      <c r="C513" s="14"/>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4">
      <c r="A514" s="14"/>
      <c r="B514" s="4"/>
      <c r="C514" s="14"/>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4">
      <c r="A515" s="14"/>
      <c r="B515" s="4"/>
      <c r="C515" s="14"/>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4">
      <c r="A516" s="14"/>
      <c r="B516" s="4"/>
      <c r="C516" s="14"/>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4">
      <c r="A517" s="14"/>
      <c r="B517" s="4"/>
      <c r="C517" s="14"/>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4">
      <c r="A518" s="14"/>
      <c r="B518" s="4"/>
      <c r="C518" s="14"/>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4">
      <c r="A519" s="14"/>
      <c r="B519" s="4"/>
      <c r="C519" s="14"/>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4">
      <c r="A520" s="14"/>
      <c r="B520" s="4"/>
      <c r="C520" s="14"/>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4">
      <c r="A521" s="14"/>
      <c r="B521" s="4"/>
      <c r="C521" s="14"/>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4">
      <c r="A522" s="14"/>
      <c r="B522" s="4"/>
      <c r="C522" s="14"/>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4">
      <c r="A523" s="14"/>
      <c r="B523" s="4"/>
      <c r="C523" s="14"/>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4">
      <c r="A524" s="14"/>
      <c r="B524" s="4"/>
      <c r="C524" s="14"/>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4">
      <c r="A525" s="14"/>
      <c r="B525" s="4"/>
      <c r="C525" s="14"/>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4">
      <c r="A526" s="14"/>
      <c r="B526" s="4"/>
      <c r="C526" s="14"/>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4">
      <c r="A527" s="14"/>
      <c r="B527" s="4"/>
      <c r="C527" s="14"/>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4">
      <c r="A528" s="14"/>
      <c r="B528" s="4"/>
      <c r="C528" s="14"/>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4">
      <c r="A529" s="14"/>
      <c r="B529" s="4"/>
      <c r="C529" s="14"/>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4">
      <c r="A530" s="14"/>
      <c r="B530" s="4"/>
      <c r="C530" s="14"/>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4">
      <c r="A531" s="14"/>
      <c r="B531" s="4"/>
      <c r="C531" s="14"/>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4">
      <c r="A532" s="14"/>
      <c r="B532" s="4"/>
      <c r="C532" s="14"/>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4">
      <c r="A533" s="14"/>
      <c r="B533" s="4"/>
      <c r="C533" s="14"/>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4">
      <c r="A534" s="14"/>
      <c r="B534" s="4"/>
      <c r="C534" s="14"/>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4">
      <c r="A535" s="14"/>
      <c r="B535" s="4"/>
      <c r="C535" s="14"/>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4">
      <c r="A536" s="14"/>
      <c r="B536" s="4"/>
      <c r="C536" s="14"/>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4">
      <c r="A537" s="14"/>
      <c r="B537" s="4"/>
      <c r="C537" s="14"/>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4">
      <c r="A538" s="14"/>
      <c r="B538" s="4"/>
      <c r="C538" s="14"/>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4">
      <c r="A539" s="14"/>
      <c r="B539" s="4"/>
      <c r="C539" s="14"/>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4">
      <c r="A540" s="14"/>
      <c r="B540" s="4"/>
      <c r="C540" s="14"/>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4">
      <c r="A541" s="14"/>
      <c r="B541" s="4"/>
      <c r="C541" s="14"/>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4">
      <c r="A542" s="14"/>
      <c r="B542" s="4"/>
      <c r="C542" s="14"/>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4">
      <c r="A543" s="14"/>
      <c r="B543" s="4"/>
      <c r="C543" s="14"/>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4">
      <c r="A544" s="14"/>
      <c r="B544" s="4"/>
      <c r="C544" s="14"/>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4">
      <c r="A545" s="14"/>
      <c r="B545" s="4"/>
      <c r="C545" s="14"/>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4">
      <c r="A546" s="14"/>
      <c r="B546" s="4"/>
      <c r="C546" s="14"/>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4">
      <c r="A547" s="14"/>
      <c r="B547" s="4"/>
      <c r="C547" s="14"/>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4">
      <c r="A548" s="14"/>
      <c r="B548" s="4"/>
      <c r="C548" s="14"/>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4">
      <c r="A549" s="14"/>
      <c r="B549" s="4"/>
      <c r="C549" s="14"/>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4">
      <c r="A550" s="14"/>
      <c r="B550" s="4"/>
      <c r="C550" s="14"/>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4">
      <c r="A551" s="14"/>
      <c r="B551" s="4"/>
      <c r="C551" s="14"/>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4">
      <c r="A552" s="14"/>
      <c r="B552" s="4"/>
      <c r="C552" s="14"/>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4">
      <c r="A553" s="14"/>
      <c r="B553" s="4"/>
      <c r="C553" s="14"/>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4">
      <c r="A554" s="14"/>
      <c r="B554" s="4"/>
      <c r="C554" s="14"/>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4">
      <c r="A555" s="14"/>
      <c r="B555" s="4"/>
      <c r="C555" s="14"/>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4">
      <c r="A556" s="14"/>
      <c r="B556" s="4"/>
      <c r="C556" s="14"/>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4">
      <c r="A557" s="14"/>
      <c r="B557" s="4"/>
      <c r="C557" s="14"/>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4">
      <c r="A558" s="14"/>
      <c r="B558" s="4"/>
      <c r="C558" s="14"/>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4">
      <c r="A559" s="14"/>
      <c r="B559" s="4"/>
      <c r="C559" s="14"/>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4">
      <c r="A560" s="14"/>
      <c r="B560" s="4"/>
      <c r="C560" s="14"/>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4">
      <c r="A561" s="14"/>
      <c r="B561" s="4"/>
      <c r="C561" s="14"/>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4">
      <c r="A562" s="14"/>
      <c r="B562" s="4"/>
      <c r="C562" s="14"/>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4">
      <c r="A563" s="14"/>
      <c r="B563" s="4"/>
      <c r="C563" s="14"/>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4">
      <c r="A564" s="14"/>
      <c r="B564" s="4"/>
      <c r="C564" s="14"/>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4">
      <c r="A565" s="14"/>
      <c r="B565" s="4"/>
      <c r="C565" s="14"/>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4">
      <c r="A566" s="14"/>
      <c r="B566" s="4"/>
      <c r="C566" s="14"/>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4">
      <c r="A567" s="14"/>
      <c r="B567" s="4"/>
      <c r="C567" s="14"/>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4">
      <c r="A568" s="14"/>
      <c r="B568" s="4"/>
      <c r="C568" s="14"/>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4">
      <c r="A569" s="14"/>
      <c r="B569" s="4"/>
      <c r="C569" s="14"/>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4">
      <c r="A570" s="14"/>
      <c r="B570" s="4"/>
      <c r="C570" s="14"/>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4">
      <c r="A571" s="14"/>
      <c r="B571" s="4"/>
      <c r="C571" s="14"/>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4">
      <c r="A572" s="14"/>
      <c r="B572" s="4"/>
      <c r="C572" s="14"/>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4">
      <c r="A573" s="14"/>
      <c r="B573" s="4"/>
      <c r="C573" s="14"/>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4">
      <c r="A574" s="14"/>
      <c r="B574" s="4"/>
      <c r="C574" s="14"/>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4">
      <c r="A575" s="14"/>
      <c r="B575" s="4"/>
      <c r="C575" s="14"/>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4">
      <c r="A576" s="14"/>
      <c r="B576" s="4"/>
      <c r="C576" s="14"/>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4">
      <c r="A577" s="14"/>
      <c r="B577" s="4"/>
      <c r="C577" s="14"/>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4">
      <c r="A578" s="14"/>
      <c r="B578" s="4"/>
      <c r="C578" s="14"/>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4">
      <c r="A579" s="14"/>
      <c r="B579" s="4"/>
      <c r="C579" s="14"/>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4">
      <c r="A580" s="14"/>
      <c r="B580" s="4"/>
      <c r="C580" s="14"/>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4">
      <c r="A581" s="14"/>
      <c r="B581" s="4"/>
      <c r="C581" s="14"/>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4">
      <c r="A582" s="14"/>
      <c r="B582" s="4"/>
      <c r="C582" s="14"/>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4">
      <c r="A583" s="14"/>
      <c r="B583" s="4"/>
      <c r="C583" s="14"/>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4">
      <c r="A584" s="14"/>
      <c r="B584" s="4"/>
      <c r="C584" s="14"/>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4">
      <c r="A585" s="14"/>
      <c r="B585" s="4"/>
      <c r="C585" s="14"/>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4">
      <c r="A586" s="14"/>
      <c r="B586" s="4"/>
      <c r="C586" s="14"/>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4">
      <c r="A587" s="14"/>
      <c r="B587" s="4"/>
      <c r="C587" s="14"/>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4">
      <c r="A588" s="14"/>
      <c r="B588" s="4"/>
      <c r="C588" s="14"/>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4">
      <c r="A589" s="14"/>
      <c r="B589" s="4"/>
      <c r="C589" s="14"/>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4">
      <c r="A590" s="14"/>
      <c r="B590" s="4"/>
      <c r="C590" s="14"/>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4">
      <c r="A591" s="14"/>
      <c r="B591" s="4"/>
      <c r="C591" s="14"/>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4">
      <c r="A592" s="14"/>
      <c r="B592" s="4"/>
      <c r="C592" s="14"/>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4">
      <c r="A593" s="14"/>
      <c r="B593" s="4"/>
      <c r="C593" s="14"/>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4">
      <c r="A594" s="14"/>
      <c r="B594" s="4"/>
      <c r="C594" s="14"/>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4">
      <c r="A595" s="14"/>
      <c r="B595" s="4"/>
      <c r="C595" s="14"/>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4">
      <c r="A596" s="14"/>
      <c r="B596" s="4"/>
      <c r="C596" s="14"/>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4">
      <c r="A597" s="14"/>
      <c r="B597" s="4"/>
      <c r="C597" s="14"/>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4">
      <c r="A598" s="14"/>
      <c r="B598" s="4"/>
      <c r="C598" s="14"/>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4">
      <c r="A599" s="14"/>
      <c r="B599" s="4"/>
      <c r="C599" s="14"/>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4">
      <c r="A600" s="14"/>
      <c r="B600" s="4"/>
      <c r="C600" s="14"/>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4">
      <c r="A601" s="14"/>
      <c r="B601" s="4"/>
      <c r="C601" s="14"/>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4">
      <c r="A602" s="14"/>
      <c r="B602" s="4"/>
      <c r="C602" s="14"/>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4">
      <c r="A603" s="14"/>
      <c r="B603" s="4"/>
      <c r="C603" s="14"/>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4">
      <c r="A604" s="14"/>
      <c r="B604" s="4"/>
      <c r="C604" s="14"/>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4">
      <c r="A605" s="14"/>
      <c r="B605" s="4"/>
      <c r="C605" s="14"/>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4">
      <c r="A606" s="14"/>
      <c r="B606" s="4"/>
      <c r="C606" s="14"/>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4">
      <c r="A607" s="14"/>
      <c r="B607" s="4"/>
      <c r="C607" s="14"/>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4">
      <c r="A608" s="14"/>
      <c r="B608" s="4"/>
      <c r="C608" s="14"/>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4">
      <c r="A609" s="14"/>
      <c r="B609" s="4"/>
      <c r="C609" s="14"/>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4">
      <c r="A610" s="14"/>
      <c r="B610" s="4"/>
      <c r="C610" s="14"/>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4">
      <c r="A611" s="14"/>
      <c r="B611" s="4"/>
      <c r="C611" s="14"/>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4">
      <c r="A612" s="14"/>
      <c r="B612" s="4"/>
      <c r="C612" s="14"/>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4">
      <c r="A613" s="14"/>
      <c r="B613" s="4"/>
      <c r="C613" s="14"/>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4">
      <c r="A614" s="14"/>
      <c r="B614" s="4"/>
      <c r="C614" s="14"/>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4">
      <c r="A615" s="14"/>
      <c r="B615" s="4"/>
      <c r="C615" s="14"/>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4">
      <c r="A616" s="14"/>
      <c r="B616" s="4"/>
      <c r="C616" s="14"/>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4">
      <c r="A617" s="14"/>
      <c r="B617" s="4"/>
      <c r="C617" s="14"/>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4">
      <c r="A618" s="14"/>
      <c r="B618" s="4"/>
      <c r="C618" s="14"/>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4">
      <c r="A619" s="14"/>
      <c r="B619" s="4"/>
      <c r="C619" s="14"/>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4">
      <c r="A620" s="14"/>
      <c r="B620" s="4"/>
      <c r="C620" s="14"/>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4">
      <c r="A621" s="14"/>
      <c r="B621" s="4"/>
      <c r="C621" s="14"/>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4">
      <c r="A622" s="14"/>
      <c r="B622" s="4"/>
      <c r="C622" s="14"/>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4">
      <c r="A623" s="14"/>
      <c r="B623" s="4"/>
      <c r="C623" s="14"/>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4">
      <c r="A624" s="14"/>
      <c r="B624" s="4"/>
      <c r="C624" s="14"/>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4">
      <c r="A625" s="14"/>
      <c r="B625" s="4"/>
      <c r="C625" s="14"/>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4">
      <c r="A626" s="14"/>
      <c r="B626" s="4"/>
      <c r="C626" s="14"/>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4">
      <c r="A627" s="14"/>
      <c r="B627" s="4"/>
      <c r="C627" s="14"/>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4">
      <c r="A628" s="14"/>
      <c r="B628" s="4"/>
      <c r="C628" s="14"/>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4">
      <c r="A629" s="14"/>
      <c r="B629" s="4"/>
      <c r="C629" s="14"/>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4">
      <c r="A630" s="14"/>
      <c r="B630" s="4"/>
      <c r="C630" s="14"/>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4">
      <c r="A631" s="14"/>
      <c r="B631" s="4"/>
      <c r="C631" s="14"/>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4">
      <c r="A632" s="14"/>
      <c r="B632" s="4"/>
      <c r="C632" s="14"/>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4">
      <c r="A633" s="14"/>
      <c r="B633" s="4"/>
      <c r="C633" s="14"/>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4">
      <c r="A634" s="14"/>
      <c r="B634" s="4"/>
      <c r="C634" s="14"/>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4">
      <c r="A635" s="14"/>
      <c r="B635" s="4"/>
      <c r="C635" s="14"/>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4">
      <c r="A636" s="14"/>
      <c r="B636" s="4"/>
      <c r="C636" s="14"/>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4">
      <c r="A637" s="14"/>
      <c r="B637" s="4"/>
      <c r="C637" s="14"/>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4">
      <c r="A638" s="14"/>
      <c r="B638" s="4"/>
      <c r="C638" s="14"/>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4">
      <c r="A639" s="14"/>
      <c r="B639" s="4"/>
      <c r="C639" s="14"/>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4">
      <c r="A640" s="14"/>
      <c r="B640" s="4"/>
      <c r="C640" s="14"/>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4">
      <c r="A641" s="14"/>
      <c r="B641" s="4"/>
      <c r="C641" s="14"/>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4">
      <c r="A642" s="14"/>
      <c r="B642" s="4"/>
      <c r="C642" s="14"/>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4">
      <c r="A643" s="14"/>
      <c r="B643" s="4"/>
      <c r="C643" s="14"/>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4">
      <c r="A644" s="14"/>
      <c r="B644" s="4"/>
      <c r="C644" s="14"/>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4">
      <c r="A645" s="14"/>
      <c r="B645" s="4"/>
      <c r="C645" s="14"/>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4">
      <c r="A646" s="14"/>
      <c r="B646" s="4"/>
      <c r="C646" s="14"/>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4">
      <c r="A647" s="14"/>
      <c r="B647" s="4"/>
      <c r="C647" s="14"/>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4">
      <c r="A648" s="14"/>
      <c r="B648" s="4"/>
      <c r="C648" s="14"/>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4">
      <c r="A649" s="14"/>
      <c r="B649" s="4"/>
      <c r="C649" s="14"/>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4">
      <c r="A650" s="14"/>
      <c r="B650" s="4"/>
      <c r="C650" s="14"/>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4">
      <c r="A651" s="14"/>
      <c r="B651" s="4"/>
      <c r="C651" s="14"/>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4">
      <c r="A652" s="14"/>
      <c r="B652" s="4"/>
      <c r="C652" s="14"/>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4">
      <c r="A653" s="14"/>
      <c r="B653" s="4"/>
      <c r="C653" s="14"/>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4">
      <c r="A654" s="14"/>
      <c r="B654" s="4"/>
      <c r="C654" s="14"/>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4">
      <c r="A655" s="14"/>
      <c r="B655" s="4"/>
      <c r="C655" s="14"/>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4">
      <c r="A656" s="14"/>
      <c r="B656" s="4"/>
      <c r="C656" s="14"/>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4">
      <c r="A657" s="14"/>
      <c r="B657" s="4"/>
      <c r="C657" s="14"/>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4">
      <c r="A658" s="14"/>
      <c r="B658" s="4"/>
      <c r="C658" s="14"/>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4">
      <c r="A659" s="14"/>
      <c r="B659" s="4"/>
      <c r="C659" s="14"/>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4">
      <c r="A660" s="14"/>
      <c r="B660" s="4"/>
      <c r="C660" s="14"/>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4">
      <c r="A661" s="14"/>
      <c r="B661" s="4"/>
      <c r="C661" s="14"/>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4">
      <c r="A662" s="14"/>
      <c r="B662" s="4"/>
      <c r="C662" s="14"/>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4">
      <c r="A663" s="14"/>
      <c r="B663" s="4"/>
      <c r="C663" s="14"/>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4">
      <c r="A664" s="14"/>
      <c r="B664" s="4"/>
      <c r="C664" s="14"/>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4">
      <c r="A665" s="14"/>
      <c r="B665" s="4"/>
      <c r="C665" s="14"/>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4">
      <c r="A666" s="14"/>
      <c r="B666" s="4"/>
      <c r="C666" s="14"/>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4">
      <c r="A667" s="14"/>
      <c r="B667" s="4"/>
      <c r="C667" s="14"/>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4">
      <c r="A668" s="14"/>
      <c r="B668" s="4"/>
      <c r="C668" s="14"/>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4">
      <c r="A669" s="14"/>
      <c r="B669" s="4"/>
      <c r="C669" s="14"/>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4">
      <c r="A670" s="14"/>
      <c r="B670" s="4"/>
      <c r="C670" s="14"/>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4">
      <c r="A671" s="14"/>
      <c r="B671" s="4"/>
      <c r="C671" s="14"/>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4">
      <c r="A672" s="14"/>
      <c r="B672" s="4"/>
      <c r="C672" s="14"/>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4">
      <c r="A673" s="14"/>
      <c r="B673" s="4"/>
      <c r="C673" s="14"/>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4">
      <c r="A674" s="14"/>
      <c r="B674" s="4"/>
      <c r="C674" s="14"/>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4">
      <c r="A675" s="14"/>
      <c r="B675" s="4"/>
      <c r="C675" s="14"/>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4">
      <c r="A676" s="14"/>
      <c r="B676" s="4"/>
      <c r="C676" s="14"/>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4">
      <c r="A677" s="14"/>
      <c r="B677" s="4"/>
      <c r="C677" s="14"/>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4">
      <c r="A678" s="14"/>
      <c r="B678" s="4"/>
      <c r="C678" s="14"/>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4">
      <c r="A679" s="14"/>
      <c r="B679" s="4"/>
      <c r="C679" s="14"/>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4">
      <c r="A680" s="14"/>
      <c r="B680" s="4"/>
      <c r="C680" s="14"/>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4">
      <c r="A681" s="14"/>
      <c r="B681" s="4"/>
      <c r="C681" s="14"/>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4">
      <c r="A682" s="14"/>
      <c r="B682" s="4"/>
      <c r="C682" s="14"/>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4">
      <c r="A683" s="14"/>
      <c r="B683" s="4"/>
      <c r="C683" s="14"/>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4">
      <c r="A684" s="14"/>
      <c r="B684" s="4"/>
      <c r="C684" s="14"/>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4">
      <c r="A685" s="14"/>
      <c r="B685" s="4"/>
      <c r="C685" s="14"/>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4">
      <c r="A686" s="14"/>
      <c r="B686" s="4"/>
      <c r="C686" s="14"/>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4">
      <c r="A687" s="14"/>
      <c r="B687" s="4"/>
      <c r="C687" s="14"/>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4">
      <c r="A688" s="14"/>
      <c r="B688" s="4"/>
      <c r="C688" s="14"/>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4">
      <c r="A689" s="14"/>
      <c r="B689" s="4"/>
      <c r="C689" s="14"/>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4">
      <c r="A690" s="14"/>
      <c r="B690" s="4"/>
      <c r="C690" s="14"/>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4">
      <c r="A691" s="14"/>
      <c r="B691" s="4"/>
      <c r="C691" s="14"/>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4">
      <c r="A692" s="14"/>
      <c r="B692" s="4"/>
      <c r="C692" s="14"/>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4">
      <c r="A693" s="14"/>
      <c r="B693" s="4"/>
      <c r="C693" s="14"/>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4">
      <c r="A694" s="14"/>
      <c r="B694" s="4"/>
      <c r="C694" s="14"/>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4">
      <c r="A695" s="14"/>
      <c r="B695" s="4"/>
      <c r="C695" s="14"/>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4">
      <c r="A696" s="14"/>
      <c r="B696" s="4"/>
      <c r="C696" s="14"/>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4">
      <c r="A697" s="14"/>
      <c r="B697" s="4"/>
      <c r="C697" s="14"/>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4">
      <c r="A698" s="14"/>
      <c r="B698" s="4"/>
      <c r="C698" s="14"/>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4">
      <c r="A699" s="14"/>
      <c r="B699" s="4"/>
      <c r="C699" s="14"/>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4">
      <c r="A700" s="14"/>
      <c r="B700" s="4"/>
      <c r="C700" s="14"/>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4">
      <c r="A701" s="14"/>
      <c r="B701" s="4"/>
      <c r="C701" s="14"/>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4">
      <c r="A702" s="14"/>
      <c r="B702" s="4"/>
      <c r="C702" s="14"/>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4">
      <c r="A703" s="14"/>
      <c r="B703" s="4"/>
      <c r="C703" s="14"/>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4">
      <c r="A704" s="14"/>
      <c r="B704" s="4"/>
      <c r="C704" s="14"/>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4">
      <c r="A705" s="14"/>
      <c r="B705" s="4"/>
      <c r="C705" s="14"/>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4">
      <c r="A706" s="14"/>
      <c r="B706" s="4"/>
      <c r="C706" s="14"/>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4">
      <c r="A707" s="14"/>
      <c r="B707" s="4"/>
      <c r="C707" s="14"/>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4">
      <c r="A708" s="14"/>
      <c r="B708" s="4"/>
      <c r="C708" s="14"/>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4">
      <c r="A709" s="14"/>
      <c r="B709" s="4"/>
      <c r="C709" s="14"/>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4">
      <c r="A710" s="14"/>
      <c r="B710" s="4"/>
      <c r="C710" s="14"/>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4">
      <c r="A711" s="14"/>
      <c r="B711" s="4"/>
      <c r="C711" s="14"/>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4">
      <c r="A712" s="14"/>
      <c r="B712" s="4"/>
      <c r="C712" s="14"/>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4">
      <c r="A713" s="14"/>
      <c r="B713" s="4"/>
      <c r="C713" s="14"/>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4">
      <c r="A714" s="14"/>
      <c r="B714" s="4"/>
      <c r="C714" s="14"/>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4">
      <c r="A715" s="14"/>
      <c r="B715" s="4"/>
      <c r="C715" s="14"/>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4">
      <c r="A716" s="14"/>
      <c r="B716" s="4"/>
      <c r="C716" s="14"/>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4">
      <c r="A717" s="14"/>
      <c r="B717" s="4"/>
      <c r="C717" s="14"/>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4">
      <c r="A718" s="14"/>
      <c r="B718" s="4"/>
      <c r="C718" s="14"/>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4">
      <c r="A719" s="14"/>
      <c r="B719" s="4"/>
      <c r="C719" s="14"/>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4">
      <c r="A720" s="14"/>
      <c r="B720" s="4"/>
      <c r="C720" s="14"/>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4">
      <c r="A721" s="14"/>
      <c r="B721" s="4"/>
      <c r="C721" s="14"/>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4">
      <c r="A722" s="14"/>
      <c r="B722" s="4"/>
      <c r="C722" s="14"/>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4">
      <c r="A723" s="14"/>
      <c r="B723" s="4"/>
      <c r="C723" s="14"/>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4">
      <c r="A724" s="14"/>
      <c r="B724" s="4"/>
      <c r="C724" s="14"/>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4">
      <c r="A725" s="14"/>
      <c r="B725" s="4"/>
      <c r="C725" s="14"/>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4">
      <c r="A726" s="14"/>
      <c r="B726" s="4"/>
      <c r="C726" s="14"/>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4">
      <c r="A727" s="14"/>
      <c r="B727" s="4"/>
      <c r="C727" s="14"/>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4">
      <c r="A728" s="14"/>
      <c r="B728" s="4"/>
      <c r="C728" s="14"/>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4">
      <c r="A729" s="14"/>
      <c r="B729" s="4"/>
      <c r="C729" s="14"/>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4">
      <c r="A730" s="14"/>
      <c r="B730" s="4"/>
      <c r="C730" s="14"/>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4">
      <c r="A731" s="14"/>
      <c r="B731" s="4"/>
      <c r="C731" s="14"/>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4">
      <c r="A732" s="14"/>
      <c r="B732" s="4"/>
      <c r="C732" s="14"/>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4">
      <c r="A733" s="14"/>
      <c r="B733" s="4"/>
      <c r="C733" s="14"/>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4">
      <c r="A734" s="14"/>
      <c r="B734" s="4"/>
      <c r="C734" s="14"/>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4">
      <c r="A735" s="14"/>
      <c r="B735" s="4"/>
      <c r="C735" s="14"/>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4">
      <c r="A736" s="14"/>
      <c r="B736" s="4"/>
      <c r="C736" s="14"/>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4">
      <c r="A737" s="14"/>
      <c r="B737" s="4"/>
      <c r="C737" s="14"/>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4">
      <c r="A738" s="14"/>
      <c r="B738" s="4"/>
      <c r="C738" s="14"/>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4">
      <c r="A739" s="14"/>
      <c r="B739" s="4"/>
      <c r="C739" s="14"/>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4">
      <c r="A740" s="14"/>
      <c r="B740" s="4"/>
      <c r="C740" s="14"/>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4">
      <c r="A741" s="14"/>
      <c r="B741" s="4"/>
      <c r="C741" s="14"/>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4">
      <c r="A742" s="14"/>
      <c r="B742" s="4"/>
      <c r="C742" s="14"/>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4">
      <c r="A743" s="14"/>
      <c r="B743" s="4"/>
      <c r="C743" s="14"/>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4">
      <c r="A744" s="14"/>
      <c r="B744" s="4"/>
      <c r="C744" s="14"/>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4">
      <c r="A745" s="14"/>
      <c r="B745" s="4"/>
      <c r="C745" s="14"/>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4">
      <c r="A746" s="14"/>
      <c r="B746" s="4"/>
      <c r="C746" s="14"/>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4">
      <c r="A747" s="14"/>
      <c r="B747" s="4"/>
      <c r="C747" s="14"/>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4">
      <c r="A748" s="14"/>
      <c r="B748" s="4"/>
      <c r="C748" s="14"/>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4">
      <c r="A749" s="14"/>
      <c r="B749" s="4"/>
      <c r="C749" s="14"/>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4">
      <c r="A750" s="14"/>
      <c r="B750" s="4"/>
      <c r="C750" s="14"/>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4">
      <c r="A751" s="14"/>
      <c r="B751" s="4"/>
      <c r="C751" s="14"/>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4">
      <c r="A752" s="14"/>
      <c r="B752" s="4"/>
      <c r="C752" s="14"/>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4">
      <c r="A753" s="14"/>
      <c r="B753" s="4"/>
      <c r="C753" s="14"/>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4">
      <c r="A754" s="14"/>
      <c r="B754" s="4"/>
      <c r="C754" s="14"/>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4">
      <c r="A755" s="14"/>
      <c r="B755" s="4"/>
      <c r="C755" s="14"/>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4">
      <c r="A756" s="14"/>
      <c r="B756" s="4"/>
      <c r="C756" s="14"/>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4">
      <c r="A757" s="14"/>
      <c r="B757" s="4"/>
      <c r="C757" s="14"/>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4">
      <c r="A758" s="14"/>
      <c r="B758" s="4"/>
      <c r="C758" s="14"/>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4">
      <c r="A759" s="14"/>
      <c r="B759" s="4"/>
      <c r="C759" s="14"/>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4">
      <c r="A760" s="14"/>
      <c r="B760" s="4"/>
      <c r="C760" s="14"/>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4">
      <c r="A761" s="14"/>
      <c r="B761" s="4"/>
      <c r="C761" s="14"/>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4">
      <c r="A762" s="14"/>
      <c r="B762" s="4"/>
      <c r="C762" s="14"/>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4">
      <c r="A763" s="14"/>
      <c r="B763" s="4"/>
      <c r="C763" s="14"/>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4">
      <c r="A764" s="14"/>
      <c r="B764" s="4"/>
      <c r="C764" s="14"/>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4">
      <c r="A765" s="14"/>
      <c r="B765" s="4"/>
      <c r="C765" s="14"/>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4">
      <c r="A766" s="14"/>
      <c r="B766" s="4"/>
      <c r="C766" s="14"/>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4">
      <c r="A767" s="14"/>
      <c r="B767" s="4"/>
      <c r="C767" s="14"/>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4">
      <c r="A768" s="14"/>
      <c r="B768" s="4"/>
      <c r="C768" s="14"/>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4">
      <c r="A769" s="14"/>
      <c r="B769" s="4"/>
      <c r="C769" s="14"/>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4">
      <c r="A770" s="14"/>
      <c r="B770" s="4"/>
      <c r="C770" s="14"/>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4">
      <c r="A771" s="14"/>
      <c r="B771" s="4"/>
      <c r="C771" s="14"/>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4">
      <c r="A772" s="14"/>
      <c r="B772" s="4"/>
      <c r="C772" s="14"/>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4">
      <c r="A773" s="14"/>
      <c r="B773" s="4"/>
      <c r="C773" s="14"/>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4">
      <c r="A774" s="14"/>
      <c r="B774" s="4"/>
      <c r="C774" s="14"/>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4">
      <c r="A775" s="14"/>
      <c r="B775" s="4"/>
      <c r="C775" s="14"/>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4">
      <c r="A776" s="14"/>
      <c r="B776" s="4"/>
      <c r="C776" s="14"/>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4">
      <c r="A777" s="14"/>
      <c r="B777" s="4"/>
      <c r="C777" s="14"/>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4">
      <c r="A778" s="14"/>
      <c r="B778" s="4"/>
      <c r="C778" s="14"/>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4">
      <c r="A779" s="14"/>
      <c r="B779" s="4"/>
      <c r="C779" s="14"/>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4">
      <c r="A780" s="14"/>
      <c r="B780" s="4"/>
      <c r="C780" s="14"/>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4">
      <c r="A781" s="14"/>
      <c r="B781" s="4"/>
      <c r="C781" s="14"/>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4">
      <c r="A782" s="14"/>
      <c r="B782" s="4"/>
      <c r="C782" s="14"/>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4">
      <c r="A783" s="14"/>
      <c r="B783" s="4"/>
      <c r="C783" s="14"/>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4">
      <c r="A784" s="14"/>
      <c r="B784" s="4"/>
      <c r="C784" s="14"/>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4">
      <c r="A785" s="14"/>
      <c r="B785" s="4"/>
      <c r="C785" s="14"/>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4">
      <c r="A786" s="14"/>
      <c r="B786" s="4"/>
      <c r="C786" s="14"/>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4">
      <c r="A787" s="14"/>
      <c r="B787" s="4"/>
      <c r="C787" s="14"/>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4">
      <c r="A788" s="14"/>
      <c r="B788" s="4"/>
      <c r="C788" s="14"/>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4">
      <c r="A789" s="14"/>
      <c r="B789" s="4"/>
      <c r="C789" s="14"/>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4">
      <c r="A790" s="14"/>
      <c r="B790" s="4"/>
      <c r="C790" s="14"/>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4">
      <c r="A791" s="14"/>
      <c r="B791" s="4"/>
      <c r="C791" s="14"/>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4">
      <c r="A792" s="14"/>
      <c r="B792" s="4"/>
      <c r="C792" s="14"/>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4">
      <c r="A793" s="14"/>
      <c r="B793" s="4"/>
      <c r="C793" s="14"/>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4">
      <c r="A794" s="14"/>
      <c r="B794" s="4"/>
      <c r="C794" s="14"/>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4">
      <c r="A795" s="14"/>
      <c r="B795" s="4"/>
      <c r="C795" s="14"/>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4">
      <c r="A796" s="14"/>
      <c r="B796" s="4"/>
      <c r="C796" s="14"/>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4">
      <c r="A797" s="14"/>
      <c r="B797" s="4"/>
      <c r="C797" s="14"/>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4">
      <c r="A798" s="14"/>
      <c r="B798" s="4"/>
      <c r="C798" s="14"/>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4">
      <c r="A799" s="14"/>
      <c r="B799" s="4"/>
      <c r="C799" s="14"/>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4">
      <c r="A800" s="14"/>
      <c r="B800" s="4"/>
      <c r="C800" s="14"/>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4">
      <c r="A801" s="14"/>
      <c r="B801" s="4"/>
      <c r="C801" s="14"/>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4">
      <c r="A802" s="14"/>
      <c r="B802" s="4"/>
      <c r="C802" s="14"/>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4">
      <c r="A803" s="14"/>
      <c r="B803" s="4"/>
      <c r="C803" s="14"/>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4">
      <c r="A804" s="14"/>
      <c r="B804" s="4"/>
      <c r="C804" s="14"/>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4">
      <c r="A805" s="14"/>
      <c r="B805" s="4"/>
      <c r="C805" s="14"/>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4">
      <c r="A806" s="14"/>
      <c r="B806" s="4"/>
      <c r="C806" s="14"/>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4">
      <c r="A807" s="14"/>
      <c r="B807" s="4"/>
      <c r="C807" s="14"/>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4">
      <c r="A808" s="14"/>
      <c r="B808" s="4"/>
      <c r="C808" s="14"/>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4">
      <c r="A809" s="14"/>
      <c r="B809" s="4"/>
      <c r="C809" s="14"/>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4">
      <c r="A810" s="14"/>
      <c r="B810" s="4"/>
      <c r="C810" s="14"/>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4">
      <c r="A811" s="14"/>
      <c r="B811" s="4"/>
      <c r="C811" s="14"/>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4">
      <c r="A812" s="14"/>
      <c r="B812" s="4"/>
      <c r="C812" s="14"/>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4">
      <c r="A813" s="14"/>
      <c r="B813" s="4"/>
      <c r="C813" s="14"/>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4">
      <c r="A814" s="14"/>
      <c r="B814" s="4"/>
      <c r="C814" s="14"/>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4">
      <c r="A815" s="14"/>
      <c r="B815" s="4"/>
      <c r="C815" s="14"/>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4">
      <c r="A816" s="14"/>
      <c r="B816" s="4"/>
      <c r="C816" s="14"/>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4">
      <c r="A817" s="14"/>
      <c r="B817" s="4"/>
      <c r="C817" s="14"/>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4">
      <c r="A818" s="14"/>
      <c r="B818" s="4"/>
      <c r="C818" s="14"/>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4">
      <c r="A819" s="14"/>
      <c r="B819" s="4"/>
      <c r="C819" s="14"/>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4">
      <c r="A820" s="14"/>
      <c r="B820" s="4"/>
      <c r="C820" s="14"/>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4">
      <c r="A821" s="14"/>
      <c r="B821" s="4"/>
      <c r="C821" s="14"/>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4">
      <c r="A822" s="14"/>
      <c r="B822" s="4"/>
      <c r="C822" s="14"/>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4">
      <c r="A823" s="14"/>
      <c r="B823" s="4"/>
      <c r="C823" s="14"/>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4">
      <c r="A824" s="14"/>
      <c r="B824" s="4"/>
      <c r="C824" s="14"/>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4">
      <c r="A825" s="14"/>
      <c r="B825" s="4"/>
      <c r="C825" s="14"/>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4">
      <c r="A826" s="14"/>
      <c r="B826" s="4"/>
      <c r="C826" s="14"/>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4">
      <c r="A827" s="14"/>
      <c r="B827" s="4"/>
      <c r="C827" s="14"/>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4">
      <c r="A828" s="14"/>
      <c r="B828" s="4"/>
      <c r="C828" s="14"/>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4">
      <c r="A829" s="14"/>
      <c r="B829" s="4"/>
      <c r="C829" s="14"/>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4">
      <c r="A830" s="14"/>
      <c r="B830" s="4"/>
      <c r="C830" s="14"/>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4">
      <c r="A831" s="14"/>
      <c r="B831" s="4"/>
      <c r="C831" s="14"/>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4">
      <c r="A832" s="14"/>
      <c r="B832" s="4"/>
      <c r="C832" s="14"/>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4">
      <c r="A833" s="14"/>
      <c r="B833" s="4"/>
      <c r="C833" s="14"/>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4">
      <c r="A834" s="14"/>
      <c r="B834" s="4"/>
      <c r="C834" s="14"/>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4">
      <c r="A835" s="14"/>
      <c r="B835" s="4"/>
      <c r="C835" s="14"/>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4">
      <c r="A836" s="14"/>
      <c r="B836" s="4"/>
      <c r="C836" s="14"/>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4">
      <c r="A837" s="14"/>
      <c r="B837" s="4"/>
      <c r="C837" s="14"/>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4">
      <c r="A838" s="14"/>
      <c r="B838" s="4"/>
      <c r="C838" s="14"/>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4">
      <c r="A839" s="14"/>
      <c r="B839" s="4"/>
      <c r="C839" s="14"/>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4">
      <c r="A840" s="14"/>
      <c r="B840" s="4"/>
      <c r="C840" s="14"/>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4">
      <c r="A841" s="14"/>
      <c r="B841" s="4"/>
      <c r="C841" s="14"/>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4">
      <c r="A842" s="14"/>
      <c r="B842" s="4"/>
      <c r="C842" s="14"/>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4">
      <c r="A843" s="14"/>
      <c r="B843" s="4"/>
      <c r="C843" s="14"/>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4">
      <c r="A844" s="14"/>
      <c r="B844" s="4"/>
      <c r="C844" s="14"/>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4">
      <c r="A845" s="14"/>
      <c r="B845" s="4"/>
      <c r="C845" s="14"/>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4">
      <c r="A846" s="14"/>
      <c r="B846" s="4"/>
      <c r="C846" s="14"/>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4">
      <c r="A847" s="14"/>
      <c r="B847" s="4"/>
      <c r="C847" s="14"/>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4">
      <c r="A848" s="14"/>
      <c r="B848" s="4"/>
      <c r="C848" s="14"/>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4">
      <c r="A849" s="14"/>
      <c r="B849" s="4"/>
      <c r="C849" s="14"/>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4">
      <c r="A850" s="14"/>
      <c r="B850" s="4"/>
      <c r="C850" s="14"/>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4">
      <c r="A851" s="14"/>
      <c r="B851" s="4"/>
      <c r="C851" s="14"/>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4">
      <c r="A852" s="14"/>
      <c r="B852" s="4"/>
      <c r="C852" s="14"/>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4">
      <c r="A853" s="14"/>
      <c r="B853" s="4"/>
      <c r="C853" s="14"/>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4">
      <c r="A854" s="14"/>
      <c r="B854" s="4"/>
      <c r="C854" s="14"/>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4">
      <c r="A855" s="14"/>
      <c r="B855" s="4"/>
      <c r="C855" s="14"/>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4">
      <c r="A856" s="14"/>
      <c r="B856" s="4"/>
      <c r="C856" s="14"/>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4">
      <c r="A857" s="14"/>
      <c r="B857" s="4"/>
      <c r="C857" s="14"/>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4">
      <c r="A858" s="14"/>
      <c r="B858" s="4"/>
      <c r="C858" s="14"/>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4">
      <c r="A859" s="14"/>
      <c r="B859" s="4"/>
      <c r="C859" s="14"/>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4">
      <c r="A860" s="14"/>
      <c r="B860" s="4"/>
      <c r="C860" s="14"/>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4">
      <c r="A861" s="14"/>
      <c r="B861" s="4"/>
      <c r="C861" s="14"/>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4">
      <c r="A862" s="14"/>
      <c r="B862" s="4"/>
      <c r="C862" s="14"/>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4">
      <c r="A863" s="14"/>
      <c r="B863" s="4"/>
      <c r="C863" s="14"/>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4">
      <c r="A864" s="14"/>
      <c r="B864" s="4"/>
      <c r="C864" s="14"/>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4">
      <c r="A865" s="14"/>
      <c r="B865" s="4"/>
      <c r="C865" s="14"/>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4">
      <c r="A866" s="14"/>
      <c r="B866" s="4"/>
      <c r="C866" s="14"/>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4">
      <c r="A867" s="14"/>
      <c r="B867" s="4"/>
      <c r="C867" s="14"/>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4">
      <c r="A868" s="14"/>
      <c r="B868" s="4"/>
      <c r="C868" s="14"/>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4">
      <c r="A869" s="14"/>
      <c r="B869" s="4"/>
      <c r="C869" s="14"/>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4">
      <c r="A870" s="14"/>
      <c r="B870" s="4"/>
      <c r="C870" s="14"/>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4">
      <c r="A871" s="14"/>
      <c r="B871" s="4"/>
      <c r="C871" s="14"/>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4">
      <c r="A872" s="14"/>
      <c r="B872" s="4"/>
      <c r="C872" s="14"/>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4">
      <c r="A873" s="14"/>
      <c r="B873" s="4"/>
      <c r="C873" s="14"/>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4">
      <c r="A874" s="14"/>
      <c r="B874" s="4"/>
      <c r="C874" s="14"/>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4">
      <c r="A875" s="14"/>
      <c r="B875" s="4"/>
      <c r="C875" s="14"/>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4">
      <c r="A876" s="14"/>
      <c r="B876" s="4"/>
      <c r="C876" s="14"/>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4">
      <c r="A877" s="14"/>
      <c r="B877" s="4"/>
      <c r="C877" s="14"/>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4">
      <c r="A878" s="14"/>
      <c r="B878" s="4"/>
      <c r="C878" s="14"/>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4">
      <c r="A879" s="14"/>
      <c r="B879" s="4"/>
      <c r="C879" s="14"/>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4">
      <c r="A880" s="14"/>
      <c r="B880" s="4"/>
      <c r="C880" s="14"/>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4">
      <c r="A881" s="14"/>
      <c r="B881" s="4"/>
      <c r="C881" s="14"/>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4">
      <c r="A882" s="14"/>
      <c r="B882" s="4"/>
      <c r="C882" s="14"/>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4">
      <c r="A883" s="14"/>
      <c r="B883" s="4"/>
      <c r="C883" s="14"/>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4">
      <c r="A884" s="14"/>
      <c r="B884" s="4"/>
      <c r="C884" s="14"/>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4">
      <c r="A885" s="14"/>
      <c r="B885" s="4"/>
      <c r="C885" s="14"/>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4">
      <c r="A886" s="14"/>
      <c r="B886" s="4"/>
      <c r="C886" s="14"/>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4">
      <c r="A887" s="14"/>
      <c r="B887" s="4"/>
      <c r="C887" s="14"/>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4">
      <c r="A888" s="14"/>
      <c r="B888" s="4"/>
      <c r="C888" s="14"/>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4">
      <c r="A889" s="14"/>
      <c r="B889" s="4"/>
      <c r="C889" s="14"/>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4">
      <c r="A890" s="14"/>
      <c r="B890" s="4"/>
      <c r="C890" s="14"/>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4">
      <c r="A891" s="14"/>
      <c r="B891" s="4"/>
      <c r="C891" s="14"/>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4">
      <c r="A892" s="14"/>
      <c r="B892" s="4"/>
      <c r="C892" s="14"/>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4">
      <c r="A893" s="14"/>
      <c r="B893" s="4"/>
      <c r="C893" s="14"/>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4">
      <c r="A894" s="14"/>
      <c r="B894" s="4"/>
      <c r="C894" s="14"/>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4">
      <c r="A895" s="14"/>
      <c r="B895" s="4"/>
      <c r="C895" s="14"/>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4">
      <c r="A896" s="14"/>
      <c r="B896" s="4"/>
      <c r="C896" s="14"/>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4">
      <c r="A897" s="14"/>
      <c r="B897" s="4"/>
      <c r="C897" s="14"/>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4">
      <c r="A898" s="14"/>
      <c r="B898" s="4"/>
      <c r="C898" s="14"/>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4">
      <c r="A899" s="14"/>
      <c r="B899" s="4"/>
      <c r="C899" s="14"/>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4">
      <c r="A900" s="14"/>
      <c r="B900" s="4"/>
      <c r="C900" s="14"/>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4">
      <c r="A901" s="14"/>
      <c r="B901" s="4"/>
      <c r="C901" s="14"/>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4">
      <c r="A902" s="14"/>
      <c r="B902" s="4"/>
      <c r="C902" s="14"/>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4">
      <c r="A903" s="14"/>
      <c r="B903" s="4"/>
      <c r="C903" s="14"/>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4">
      <c r="A904" s="14"/>
      <c r="B904" s="4"/>
      <c r="C904" s="14"/>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4">
      <c r="A905" s="14"/>
      <c r="B905" s="4"/>
      <c r="C905" s="14"/>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4">
      <c r="A906" s="14"/>
      <c r="B906" s="4"/>
      <c r="C906" s="14"/>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4">
      <c r="A907" s="14"/>
      <c r="B907" s="4"/>
      <c r="C907" s="14"/>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4">
      <c r="A908" s="14"/>
      <c r="B908" s="4"/>
      <c r="C908" s="14"/>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4">
      <c r="A909" s="14"/>
      <c r="B909" s="4"/>
      <c r="C909" s="14"/>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4">
      <c r="A910" s="14"/>
      <c r="B910" s="4"/>
      <c r="C910" s="14"/>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4">
      <c r="A911" s="14"/>
      <c r="B911" s="4"/>
      <c r="C911" s="14"/>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4">
      <c r="A912" s="14"/>
      <c r="B912" s="4"/>
      <c r="C912" s="14"/>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4">
      <c r="A913" s="14"/>
      <c r="B913" s="4"/>
      <c r="C913" s="14"/>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4">
      <c r="A914" s="14"/>
      <c r="B914" s="4"/>
      <c r="C914" s="14"/>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4">
      <c r="A915" s="14"/>
      <c r="B915" s="4"/>
      <c r="C915" s="14"/>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4">
      <c r="A916" s="14"/>
      <c r="B916" s="4"/>
      <c r="C916" s="14"/>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4">
      <c r="A917" s="14"/>
      <c r="B917" s="4"/>
      <c r="C917" s="14"/>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4">
      <c r="A918" s="14"/>
      <c r="B918" s="4"/>
      <c r="C918" s="14"/>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4">
      <c r="A919" s="14"/>
      <c r="B919" s="4"/>
      <c r="C919" s="14"/>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4">
      <c r="A920" s="14"/>
      <c r="B920" s="4"/>
      <c r="C920" s="14"/>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4">
      <c r="A921" s="14"/>
      <c r="B921" s="4"/>
      <c r="C921" s="14"/>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4">
      <c r="A922" s="14"/>
      <c r="B922" s="4"/>
      <c r="C922" s="14"/>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4">
      <c r="A923" s="14"/>
      <c r="B923" s="4"/>
      <c r="C923" s="14"/>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4">
      <c r="A924" s="14"/>
      <c r="B924" s="4"/>
      <c r="C924" s="14"/>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4">
      <c r="A925" s="14"/>
      <c r="B925" s="4"/>
      <c r="C925" s="14"/>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4">
      <c r="A926" s="14"/>
      <c r="B926" s="4"/>
      <c r="C926" s="14"/>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4">
      <c r="A927" s="14"/>
      <c r="B927" s="4"/>
      <c r="C927" s="14"/>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4">
      <c r="A928" s="14"/>
      <c r="B928" s="4"/>
      <c r="C928" s="14"/>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4">
      <c r="A929" s="14"/>
      <c r="B929" s="4"/>
      <c r="C929" s="14"/>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4">
      <c r="A930" s="14"/>
      <c r="B930" s="4"/>
      <c r="C930" s="14"/>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4">
      <c r="A931" s="14"/>
      <c r="B931" s="4"/>
      <c r="C931" s="14"/>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4">
      <c r="A932" s="14"/>
      <c r="B932" s="4"/>
      <c r="C932" s="14"/>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4">
      <c r="A933" s="14"/>
      <c r="B933" s="4"/>
      <c r="C933" s="14"/>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4">
      <c r="A934" s="14"/>
      <c r="B934" s="4"/>
      <c r="C934" s="14"/>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4">
      <c r="A935" s="14"/>
      <c r="B935" s="4"/>
      <c r="C935" s="14"/>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4">
      <c r="A936" s="14"/>
      <c r="B936" s="4"/>
      <c r="C936" s="14"/>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4">
      <c r="A937" s="14"/>
      <c r="B937" s="4"/>
      <c r="C937" s="14"/>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4">
      <c r="A938" s="14"/>
      <c r="B938" s="4"/>
      <c r="C938" s="14"/>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4">
      <c r="A939" s="14"/>
      <c r="B939" s="4"/>
      <c r="C939" s="14"/>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4">
      <c r="A940" s="14"/>
      <c r="B940" s="4"/>
      <c r="C940" s="14"/>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4">
      <c r="A941" s="14"/>
      <c r="B941" s="4"/>
      <c r="C941" s="14"/>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4">
      <c r="A942" s="14"/>
      <c r="B942" s="4"/>
      <c r="C942" s="14"/>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4">
      <c r="A943" s="14"/>
      <c r="B943" s="4"/>
      <c r="C943" s="14"/>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4">
      <c r="A944" s="14"/>
      <c r="B944" s="4"/>
      <c r="C944" s="14"/>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4">
      <c r="A945" s="14"/>
      <c r="B945" s="4"/>
      <c r="C945" s="14"/>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4">
      <c r="A946" s="14"/>
      <c r="B946" s="4"/>
      <c r="C946" s="14"/>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4">
      <c r="A947" s="14"/>
      <c r="B947" s="4"/>
      <c r="C947" s="14"/>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4">
      <c r="A948" s="14"/>
      <c r="B948" s="4"/>
      <c r="C948" s="14"/>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4">
      <c r="A949" s="14"/>
      <c r="B949" s="4"/>
      <c r="C949" s="14"/>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4">
      <c r="A950" s="14"/>
      <c r="B950" s="4"/>
      <c r="C950" s="14"/>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4">
      <c r="A951" s="14"/>
      <c r="B951" s="4"/>
      <c r="C951" s="14"/>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4">
      <c r="A952" s="14"/>
      <c r="B952" s="4"/>
      <c r="C952" s="14"/>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4">
      <c r="A953" s="14"/>
      <c r="B953" s="4"/>
      <c r="C953" s="14"/>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4">
      <c r="A954" s="14"/>
      <c r="B954" s="4"/>
      <c r="C954" s="14"/>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4">
      <c r="A955" s="14"/>
      <c r="B955" s="4"/>
      <c r="C955" s="14"/>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4">
      <c r="A956" s="14"/>
      <c r="B956" s="4"/>
      <c r="C956" s="14"/>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4">
      <c r="A957" s="14"/>
      <c r="B957" s="4"/>
      <c r="C957" s="14"/>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4">
      <c r="A958" s="14"/>
      <c r="B958" s="4"/>
      <c r="C958" s="14"/>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4">
      <c r="A959" s="14"/>
      <c r="B959" s="4"/>
      <c r="C959" s="14"/>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4">
      <c r="A960" s="14"/>
      <c r="B960" s="4"/>
      <c r="C960" s="14"/>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4">
      <c r="A961" s="14"/>
      <c r="B961" s="4"/>
      <c r="C961" s="14"/>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4">
      <c r="A962" s="14"/>
      <c r="B962" s="4"/>
      <c r="C962" s="14"/>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4">
      <c r="A963" s="14"/>
      <c r="B963" s="4"/>
      <c r="C963" s="14"/>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4">
      <c r="A964" s="14"/>
      <c r="B964" s="4"/>
      <c r="C964" s="14"/>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4">
      <c r="A965" s="14"/>
      <c r="B965" s="4"/>
      <c r="C965" s="14"/>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4">
      <c r="A966" s="14"/>
      <c r="B966" s="4"/>
      <c r="C966" s="14"/>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4">
      <c r="A967" s="14"/>
      <c r="B967" s="4"/>
      <c r="C967" s="14"/>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4">
      <c r="A968" s="14"/>
      <c r="B968" s="4"/>
      <c r="C968" s="14"/>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4">
      <c r="A969" s="14"/>
      <c r="B969" s="4"/>
      <c r="C969" s="14"/>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4">
      <c r="A970" s="14"/>
      <c r="B970" s="4"/>
      <c r="C970" s="14"/>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4">
      <c r="A971" s="14"/>
      <c r="B971" s="4"/>
      <c r="C971" s="14"/>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4">
      <c r="A972" s="14"/>
      <c r="B972" s="4"/>
      <c r="C972" s="14"/>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4">
      <c r="A973" s="14"/>
      <c r="B973" s="4"/>
      <c r="C973" s="14"/>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4">
      <c r="A974" s="14"/>
      <c r="B974" s="4"/>
      <c r="C974" s="14"/>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4">
      <c r="A975" s="14"/>
      <c r="B975" s="4"/>
      <c r="C975" s="14"/>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4">
      <c r="A976" s="14"/>
      <c r="B976" s="4"/>
      <c r="C976" s="14"/>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4">
      <c r="A977" s="14"/>
      <c r="B977" s="4"/>
      <c r="C977" s="14"/>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4">
      <c r="A978" s="14"/>
      <c r="B978" s="4"/>
      <c r="C978" s="14"/>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4">
      <c r="A979" s="14"/>
      <c r="B979" s="4"/>
      <c r="C979" s="14"/>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4">
      <c r="A980" s="14"/>
      <c r="B980" s="4"/>
      <c r="C980" s="14"/>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4">
      <c r="A981" s="14"/>
      <c r="B981" s="4"/>
      <c r="C981" s="14"/>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4">
      <c r="A982" s="14"/>
      <c r="B982" s="4"/>
      <c r="C982" s="14"/>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4">
      <c r="A983" s="14"/>
      <c r="B983" s="4"/>
      <c r="C983" s="14"/>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4">
      <c r="A984" s="14"/>
      <c r="B984" s="4"/>
      <c r="C984" s="14"/>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4">
      <c r="A985" s="14"/>
      <c r="B985" s="4"/>
      <c r="C985" s="14"/>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4">
      <c r="A986" s="14"/>
      <c r="B986" s="4"/>
      <c r="C986" s="14"/>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4">
      <c r="A987" s="14"/>
      <c r="B987" s="4"/>
      <c r="C987" s="14"/>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4">
      <c r="A988" s="14"/>
      <c r="B988" s="4"/>
      <c r="C988" s="14"/>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4">
      <c r="A989" s="14"/>
      <c r="B989" s="4"/>
      <c r="C989" s="14"/>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4">
      <c r="A990" s="14"/>
      <c r="B990" s="4"/>
      <c r="C990" s="14"/>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4">
      <c r="A991" s="14"/>
      <c r="B991" s="4"/>
      <c r="C991" s="14"/>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4">
      <c r="A992" s="14"/>
      <c r="B992" s="4"/>
      <c r="C992" s="14"/>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4">
      <c r="A993" s="14"/>
      <c r="B993" s="4"/>
      <c r="C993" s="14"/>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4">
      <c r="A994" s="14"/>
      <c r="B994" s="4"/>
      <c r="C994" s="14"/>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4">
      <c r="A995" s="14"/>
      <c r="B995" s="4"/>
      <c r="C995" s="14"/>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4">
      <c r="A996" s="14"/>
      <c r="B996" s="4"/>
      <c r="C996" s="14"/>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4">
      <c r="A997" s="14"/>
      <c r="B997" s="4"/>
      <c r="C997" s="14"/>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4">
      <c r="A998" s="14"/>
      <c r="B998" s="4"/>
      <c r="C998" s="14"/>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4">
      <c r="A999" s="14"/>
      <c r="B999" s="4"/>
      <c r="C999" s="14"/>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4">
      <c r="A1000" s="14"/>
      <c r="B1000" s="4"/>
      <c r="C1000" s="14"/>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4">
      <c r="A1001" s="14"/>
      <c r="B1001" s="4"/>
      <c r="C1001" s="14"/>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4">
      <c r="A1002" s="14"/>
      <c r="B1002" s="4"/>
      <c r="C1002" s="14"/>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mergeCells count="15">
    <mergeCell ref="A32:A33"/>
    <mergeCell ref="C32:C33"/>
    <mergeCell ref="A2:A11"/>
    <mergeCell ref="C2:C11"/>
    <mergeCell ref="A12:A15"/>
    <mergeCell ref="C12:C15"/>
    <mergeCell ref="A16:A18"/>
    <mergeCell ref="A19:A23"/>
    <mergeCell ref="B19:B22"/>
    <mergeCell ref="C16:C18"/>
    <mergeCell ref="C19:C23"/>
    <mergeCell ref="A24:A27"/>
    <mergeCell ref="C24:C27"/>
    <mergeCell ref="A28:A31"/>
    <mergeCell ref="C28:C31"/>
  </mergeCells>
  <hyperlinks>
    <hyperlink ref="C2" r:id="rId1" xr:uid="{00000000-0004-0000-0400-000000000000}"/>
    <hyperlink ref="C16" r:id="rId2" xr:uid="{00000000-0004-0000-0400-000001000000}"/>
    <hyperlink ref="C19" r:id="rId3" xr:uid="{00000000-0004-0000-0400-000002000000}"/>
    <hyperlink ref="C32" r:id="rId4" xr:uid="{00000000-0004-0000-04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20"/>
  <sheetViews>
    <sheetView topLeftCell="A57" workbookViewId="0">
      <selection activeCell="A2" sqref="A2:C77"/>
    </sheetView>
  </sheetViews>
  <sheetFormatPr defaultColWidth="14.44140625" defaultRowHeight="15" customHeight="1"/>
  <cols>
    <col min="1" max="1" width="37.5546875" customWidth="1"/>
    <col min="2" max="2" width="81.33203125" customWidth="1"/>
    <col min="3" max="3" width="53.44140625" customWidth="1"/>
  </cols>
  <sheetData>
    <row r="1" spans="1:26">
      <c r="A1" s="5" t="s">
        <v>62</v>
      </c>
      <c r="B1" s="5" t="s">
        <v>63</v>
      </c>
      <c r="C1" s="5" t="s">
        <v>64</v>
      </c>
      <c r="D1" s="2"/>
      <c r="E1" s="2"/>
      <c r="F1" s="2"/>
      <c r="G1" s="2"/>
      <c r="H1" s="2"/>
      <c r="I1" s="2"/>
      <c r="J1" s="2"/>
      <c r="K1" s="2"/>
      <c r="L1" s="2"/>
      <c r="M1" s="2"/>
      <c r="N1" s="2"/>
      <c r="O1" s="2"/>
      <c r="P1" s="2"/>
      <c r="Q1" s="2"/>
      <c r="R1" s="2"/>
      <c r="S1" s="2"/>
      <c r="T1" s="2"/>
      <c r="U1" s="2"/>
      <c r="V1" s="2"/>
      <c r="W1" s="2"/>
      <c r="X1" s="2"/>
      <c r="Y1" s="2"/>
      <c r="Z1" s="2"/>
    </row>
    <row r="2" spans="1:26">
      <c r="A2" s="30" t="s">
        <v>515</v>
      </c>
      <c r="B2" s="1" t="s">
        <v>516</v>
      </c>
      <c r="C2" s="29" t="s">
        <v>517</v>
      </c>
      <c r="D2" s="2"/>
      <c r="E2" s="2"/>
      <c r="F2" s="2"/>
      <c r="G2" s="2"/>
      <c r="H2" s="2"/>
      <c r="I2" s="2"/>
      <c r="J2" s="2"/>
      <c r="K2" s="2"/>
      <c r="L2" s="2"/>
      <c r="M2" s="2"/>
      <c r="N2" s="2"/>
      <c r="O2" s="2"/>
      <c r="P2" s="2"/>
      <c r="Q2" s="2"/>
      <c r="R2" s="2"/>
      <c r="S2" s="2"/>
      <c r="T2" s="2"/>
      <c r="U2" s="2"/>
      <c r="V2" s="2"/>
      <c r="W2" s="2"/>
      <c r="X2" s="2"/>
      <c r="Y2" s="2"/>
      <c r="Z2" s="2"/>
    </row>
    <row r="3" spans="1:26">
      <c r="A3" s="25"/>
      <c r="B3" s="1" t="s">
        <v>518</v>
      </c>
      <c r="C3" s="25"/>
      <c r="D3" s="2"/>
      <c r="E3" s="2"/>
      <c r="F3" s="2"/>
      <c r="G3" s="2"/>
      <c r="H3" s="2"/>
      <c r="I3" s="2"/>
      <c r="J3" s="2"/>
      <c r="K3" s="2"/>
      <c r="L3" s="2"/>
      <c r="M3" s="2"/>
      <c r="N3" s="2"/>
      <c r="O3" s="2"/>
      <c r="P3" s="2"/>
      <c r="Q3" s="2"/>
      <c r="R3" s="2"/>
      <c r="S3" s="2"/>
      <c r="T3" s="2"/>
      <c r="U3" s="2"/>
      <c r="V3" s="2"/>
      <c r="W3" s="2"/>
      <c r="X3" s="2"/>
      <c r="Y3" s="2"/>
      <c r="Z3" s="2"/>
    </row>
    <row r="4" spans="1:26">
      <c r="A4" s="25"/>
      <c r="B4" s="1" t="s">
        <v>519</v>
      </c>
      <c r="C4" s="25"/>
      <c r="D4" s="2"/>
      <c r="E4" s="2"/>
      <c r="F4" s="2"/>
      <c r="G4" s="2"/>
      <c r="H4" s="2"/>
      <c r="I4" s="2"/>
      <c r="J4" s="2"/>
      <c r="K4" s="2"/>
      <c r="L4" s="2"/>
      <c r="M4" s="2"/>
      <c r="N4" s="2"/>
      <c r="O4" s="2"/>
      <c r="P4" s="2"/>
      <c r="Q4" s="2"/>
      <c r="R4" s="2"/>
      <c r="S4" s="2"/>
      <c r="T4" s="2"/>
      <c r="U4" s="2"/>
      <c r="V4" s="2"/>
      <c r="W4" s="2"/>
      <c r="X4" s="2"/>
      <c r="Y4" s="2"/>
      <c r="Z4" s="2"/>
    </row>
    <row r="5" spans="1:26">
      <c r="A5" s="25"/>
      <c r="B5" s="1" t="s">
        <v>520</v>
      </c>
      <c r="C5" s="25"/>
      <c r="D5" s="2"/>
      <c r="E5" s="2"/>
      <c r="F5" s="2"/>
      <c r="G5" s="2"/>
      <c r="H5" s="2"/>
      <c r="I5" s="2"/>
      <c r="J5" s="2"/>
      <c r="K5" s="2"/>
      <c r="L5" s="2"/>
      <c r="M5" s="2"/>
      <c r="N5" s="2"/>
      <c r="O5" s="2"/>
      <c r="P5" s="2"/>
      <c r="Q5" s="2"/>
      <c r="R5" s="2"/>
      <c r="S5" s="2"/>
      <c r="T5" s="2"/>
      <c r="U5" s="2"/>
      <c r="V5" s="2"/>
      <c r="W5" s="2"/>
      <c r="X5" s="2"/>
      <c r="Y5" s="2"/>
      <c r="Z5" s="2"/>
    </row>
    <row r="6" spans="1:26">
      <c r="A6" s="25"/>
      <c r="B6" s="1" t="s">
        <v>521</v>
      </c>
      <c r="C6" s="25"/>
      <c r="D6" s="2"/>
      <c r="E6" s="2"/>
      <c r="F6" s="2"/>
      <c r="G6" s="2"/>
      <c r="H6" s="2"/>
      <c r="I6" s="2"/>
      <c r="J6" s="2"/>
      <c r="K6" s="2"/>
      <c r="L6" s="2"/>
      <c r="M6" s="2"/>
      <c r="N6" s="2"/>
      <c r="O6" s="2"/>
      <c r="P6" s="2"/>
      <c r="Q6" s="2"/>
      <c r="R6" s="2"/>
      <c r="S6" s="2"/>
      <c r="T6" s="2"/>
      <c r="U6" s="2"/>
      <c r="V6" s="2"/>
      <c r="W6" s="2"/>
      <c r="X6" s="2"/>
      <c r="Y6" s="2"/>
      <c r="Z6" s="2"/>
    </row>
    <row r="7" spans="1:26">
      <c r="A7" s="25"/>
      <c r="B7" s="1" t="s">
        <v>522</v>
      </c>
      <c r="C7" s="25"/>
      <c r="D7" s="2"/>
      <c r="E7" s="2"/>
      <c r="F7" s="2"/>
      <c r="G7" s="2"/>
      <c r="H7" s="2"/>
      <c r="I7" s="2"/>
      <c r="J7" s="2"/>
      <c r="K7" s="2"/>
      <c r="L7" s="2"/>
      <c r="M7" s="2"/>
      <c r="N7" s="2"/>
      <c r="O7" s="2"/>
      <c r="P7" s="2"/>
      <c r="Q7" s="2"/>
      <c r="R7" s="2"/>
      <c r="S7" s="2"/>
      <c r="T7" s="2"/>
      <c r="U7" s="2"/>
      <c r="V7" s="2"/>
      <c r="W7" s="2"/>
      <c r="X7" s="2"/>
      <c r="Y7" s="2"/>
      <c r="Z7" s="2"/>
    </row>
    <row r="8" spans="1:26">
      <c r="A8" s="25"/>
      <c r="B8" s="6" t="s">
        <v>523</v>
      </c>
      <c r="C8" s="25"/>
      <c r="D8" s="2"/>
      <c r="E8" s="2"/>
      <c r="F8" s="2"/>
      <c r="G8" s="2"/>
      <c r="H8" s="2"/>
      <c r="I8" s="2"/>
      <c r="J8" s="2"/>
      <c r="K8" s="2"/>
      <c r="L8" s="2"/>
      <c r="M8" s="2"/>
      <c r="N8" s="2"/>
      <c r="O8" s="2"/>
      <c r="P8" s="2"/>
      <c r="Q8" s="2"/>
      <c r="R8" s="2"/>
      <c r="S8" s="2"/>
      <c r="T8" s="2"/>
      <c r="U8" s="2"/>
      <c r="V8" s="2"/>
      <c r="W8" s="2"/>
      <c r="X8" s="2"/>
      <c r="Y8" s="2"/>
      <c r="Z8" s="2"/>
    </row>
    <row r="9" spans="1:26">
      <c r="A9" s="25"/>
      <c r="B9" s="6" t="s">
        <v>524</v>
      </c>
      <c r="C9" s="25"/>
      <c r="D9" s="2"/>
      <c r="E9" s="2"/>
      <c r="F9" s="2"/>
      <c r="G9" s="2"/>
      <c r="H9" s="2"/>
      <c r="I9" s="2"/>
      <c r="J9" s="2"/>
      <c r="K9" s="2"/>
      <c r="L9" s="2"/>
      <c r="M9" s="2"/>
      <c r="N9" s="2"/>
      <c r="O9" s="2"/>
      <c r="P9" s="2"/>
      <c r="Q9" s="2"/>
      <c r="R9" s="2"/>
      <c r="S9" s="2"/>
      <c r="T9" s="2"/>
      <c r="U9" s="2"/>
      <c r="V9" s="2"/>
      <c r="W9" s="2"/>
      <c r="X9" s="2"/>
      <c r="Y9" s="2"/>
      <c r="Z9" s="2"/>
    </row>
    <row r="10" spans="1:26">
      <c r="A10" s="26"/>
      <c r="B10" s="1" t="s">
        <v>525</v>
      </c>
      <c r="C10" s="26"/>
      <c r="D10" s="2"/>
      <c r="E10" s="2"/>
      <c r="F10" s="2"/>
      <c r="G10" s="2"/>
      <c r="H10" s="2"/>
      <c r="I10" s="2"/>
      <c r="J10" s="2"/>
      <c r="K10" s="2"/>
      <c r="L10" s="2"/>
      <c r="M10" s="2"/>
      <c r="N10" s="2"/>
      <c r="O10" s="2"/>
      <c r="P10" s="2"/>
      <c r="Q10" s="2"/>
      <c r="R10" s="2"/>
      <c r="S10" s="2"/>
      <c r="T10" s="2"/>
      <c r="U10" s="2"/>
      <c r="V10" s="2"/>
      <c r="W10" s="2"/>
      <c r="X10" s="2"/>
      <c r="Y10" s="2"/>
      <c r="Z10" s="2"/>
    </row>
    <row r="11" spans="1:26">
      <c r="A11" s="24" t="s">
        <v>526</v>
      </c>
      <c r="B11" s="4" t="s">
        <v>527</v>
      </c>
      <c r="C11" s="24" t="s">
        <v>528</v>
      </c>
      <c r="D11" s="2"/>
      <c r="E11" s="2"/>
      <c r="F11" s="2"/>
      <c r="G11" s="2"/>
      <c r="H11" s="2"/>
      <c r="I11" s="2"/>
      <c r="J11" s="2"/>
      <c r="K11" s="2"/>
      <c r="L11" s="2"/>
      <c r="M11" s="2"/>
      <c r="N11" s="2"/>
      <c r="O11" s="2"/>
      <c r="P11" s="2"/>
      <c r="Q11" s="2"/>
      <c r="R11" s="2"/>
      <c r="S11" s="2"/>
      <c r="T11" s="2"/>
      <c r="U11" s="2"/>
      <c r="V11" s="2"/>
      <c r="W11" s="2"/>
      <c r="X11" s="2"/>
      <c r="Y11" s="2"/>
      <c r="Z11" s="2"/>
    </row>
    <row r="12" spans="1:26">
      <c r="A12" s="26"/>
      <c r="B12" s="4" t="s">
        <v>529</v>
      </c>
      <c r="C12" s="26"/>
      <c r="D12" s="2"/>
      <c r="E12" s="2"/>
      <c r="F12" s="2"/>
      <c r="G12" s="2"/>
      <c r="H12" s="2"/>
      <c r="I12" s="2"/>
      <c r="J12" s="2"/>
      <c r="K12" s="2"/>
      <c r="L12" s="2"/>
      <c r="M12" s="2"/>
      <c r="N12" s="2"/>
      <c r="O12" s="2"/>
      <c r="P12" s="2"/>
      <c r="Q12" s="2"/>
      <c r="R12" s="2"/>
      <c r="S12" s="2"/>
      <c r="T12" s="2"/>
      <c r="U12" s="2"/>
      <c r="V12" s="2"/>
      <c r="W12" s="2"/>
      <c r="X12" s="2"/>
      <c r="Y12" s="2"/>
      <c r="Z12" s="2"/>
    </row>
    <row r="13" spans="1:26">
      <c r="A13" s="24" t="s">
        <v>530</v>
      </c>
      <c r="B13" s="4" t="s">
        <v>531</v>
      </c>
      <c r="C13" s="24" t="s">
        <v>532</v>
      </c>
      <c r="D13" s="2"/>
      <c r="E13" s="2"/>
      <c r="F13" s="2"/>
      <c r="G13" s="2"/>
      <c r="H13" s="2"/>
      <c r="I13" s="2"/>
      <c r="J13" s="2"/>
      <c r="K13" s="2"/>
      <c r="L13" s="2"/>
      <c r="M13" s="2"/>
      <c r="N13" s="2"/>
      <c r="O13" s="2"/>
      <c r="P13" s="2"/>
      <c r="Q13" s="2"/>
      <c r="R13" s="2"/>
      <c r="S13" s="2"/>
      <c r="T13" s="2"/>
      <c r="U13" s="2"/>
      <c r="V13" s="2"/>
      <c r="W13" s="2"/>
      <c r="X13" s="2"/>
      <c r="Y13" s="2"/>
      <c r="Z13" s="2"/>
    </row>
    <row r="14" spans="1:26">
      <c r="A14" s="26"/>
      <c r="B14" s="4" t="s">
        <v>533</v>
      </c>
      <c r="C14" s="26"/>
      <c r="D14" s="2"/>
      <c r="E14" s="2"/>
      <c r="F14" s="2"/>
      <c r="G14" s="2"/>
      <c r="H14" s="2"/>
      <c r="I14" s="2"/>
      <c r="J14" s="2"/>
      <c r="K14" s="2"/>
      <c r="L14" s="2"/>
      <c r="M14" s="2"/>
      <c r="N14" s="2"/>
      <c r="O14" s="2"/>
      <c r="P14" s="2"/>
      <c r="Q14" s="2"/>
      <c r="R14" s="2"/>
      <c r="S14" s="2"/>
      <c r="T14" s="2"/>
      <c r="U14" s="2"/>
      <c r="V14" s="2"/>
      <c r="W14" s="2"/>
      <c r="X14" s="2"/>
      <c r="Y14" s="2"/>
      <c r="Z14" s="2"/>
    </row>
    <row r="15" spans="1:26">
      <c r="A15" s="24" t="s">
        <v>534</v>
      </c>
      <c r="B15" s="4" t="s">
        <v>535</v>
      </c>
      <c r="C15" s="24" t="s">
        <v>536</v>
      </c>
      <c r="D15" s="2"/>
      <c r="E15" s="2"/>
      <c r="F15" s="2"/>
      <c r="G15" s="2"/>
      <c r="H15" s="2"/>
      <c r="I15" s="2"/>
      <c r="J15" s="2"/>
      <c r="K15" s="2"/>
      <c r="L15" s="2"/>
      <c r="M15" s="2"/>
      <c r="N15" s="2"/>
      <c r="O15" s="2"/>
      <c r="P15" s="2"/>
      <c r="Q15" s="2"/>
      <c r="R15" s="2"/>
      <c r="S15" s="2"/>
      <c r="T15" s="2"/>
      <c r="U15" s="2"/>
      <c r="V15" s="2"/>
      <c r="W15" s="2"/>
      <c r="X15" s="2"/>
      <c r="Y15" s="2"/>
      <c r="Z15" s="2"/>
    </row>
    <row r="16" spans="1:26">
      <c r="A16" s="25"/>
      <c r="B16" s="4" t="s">
        <v>537</v>
      </c>
      <c r="C16" s="25"/>
      <c r="D16" s="2"/>
      <c r="E16" s="2"/>
      <c r="F16" s="2"/>
      <c r="G16" s="2"/>
      <c r="H16" s="2"/>
      <c r="I16" s="2"/>
      <c r="J16" s="2"/>
      <c r="K16" s="2"/>
      <c r="L16" s="2"/>
      <c r="M16" s="2"/>
      <c r="N16" s="2"/>
      <c r="O16" s="2"/>
      <c r="P16" s="2"/>
      <c r="Q16" s="2"/>
      <c r="R16" s="2"/>
      <c r="S16" s="2"/>
      <c r="T16" s="2"/>
      <c r="U16" s="2"/>
      <c r="V16" s="2"/>
      <c r="W16" s="2"/>
      <c r="X16" s="2"/>
      <c r="Y16" s="2"/>
      <c r="Z16" s="2"/>
    </row>
    <row r="17" spans="1:26">
      <c r="A17" s="25"/>
      <c r="B17" s="4" t="s">
        <v>538</v>
      </c>
      <c r="C17" s="25"/>
      <c r="D17" s="2"/>
      <c r="E17" s="2"/>
      <c r="F17" s="2"/>
      <c r="G17" s="2"/>
      <c r="H17" s="2"/>
      <c r="I17" s="2"/>
      <c r="J17" s="2"/>
      <c r="K17" s="2"/>
      <c r="L17" s="2"/>
      <c r="M17" s="2"/>
      <c r="N17" s="2"/>
      <c r="O17" s="2"/>
      <c r="P17" s="2"/>
      <c r="Q17" s="2"/>
      <c r="R17" s="2"/>
      <c r="S17" s="2"/>
      <c r="T17" s="2"/>
      <c r="U17" s="2"/>
      <c r="V17" s="2"/>
      <c r="W17" s="2"/>
      <c r="X17" s="2"/>
      <c r="Y17" s="2"/>
      <c r="Z17" s="2"/>
    </row>
    <row r="18" spans="1:26">
      <c r="A18" s="25"/>
      <c r="B18" s="4" t="s">
        <v>539</v>
      </c>
      <c r="C18" s="25"/>
      <c r="D18" s="2"/>
      <c r="E18" s="2"/>
      <c r="F18" s="2"/>
      <c r="G18" s="2"/>
      <c r="H18" s="2"/>
      <c r="I18" s="2"/>
      <c r="J18" s="2"/>
      <c r="K18" s="2"/>
      <c r="L18" s="2"/>
      <c r="M18" s="2"/>
      <c r="N18" s="2"/>
      <c r="O18" s="2"/>
      <c r="P18" s="2"/>
      <c r="Q18" s="2"/>
      <c r="R18" s="2"/>
      <c r="S18" s="2"/>
      <c r="T18" s="2"/>
      <c r="U18" s="2"/>
      <c r="V18" s="2"/>
      <c r="W18" s="2"/>
      <c r="X18" s="2"/>
      <c r="Y18" s="2"/>
      <c r="Z18" s="2"/>
    </row>
    <row r="19" spans="1:26">
      <c r="A19" s="26"/>
      <c r="B19" s="4" t="s">
        <v>540</v>
      </c>
      <c r="C19" s="26"/>
      <c r="D19" s="2"/>
      <c r="E19" s="2"/>
      <c r="F19" s="2"/>
      <c r="G19" s="2"/>
      <c r="H19" s="2"/>
      <c r="I19" s="2"/>
      <c r="J19" s="2"/>
      <c r="K19" s="2"/>
      <c r="L19" s="2"/>
      <c r="M19" s="2"/>
      <c r="N19" s="2"/>
      <c r="O19" s="2"/>
      <c r="P19" s="2"/>
      <c r="Q19" s="2"/>
      <c r="R19" s="2"/>
      <c r="S19" s="2"/>
      <c r="T19" s="2"/>
      <c r="U19" s="2"/>
      <c r="V19" s="2"/>
      <c r="W19" s="2"/>
      <c r="X19" s="2"/>
      <c r="Y19" s="2"/>
      <c r="Z19" s="2"/>
    </row>
    <row r="20" spans="1:26">
      <c r="A20" s="24" t="s">
        <v>541</v>
      </c>
      <c r="B20" s="4" t="s">
        <v>542</v>
      </c>
      <c r="C20" s="24" t="s">
        <v>543</v>
      </c>
      <c r="D20" s="2"/>
      <c r="E20" s="2"/>
      <c r="F20" s="2"/>
      <c r="G20" s="2"/>
      <c r="H20" s="2"/>
      <c r="I20" s="2"/>
      <c r="J20" s="2"/>
      <c r="K20" s="2"/>
      <c r="L20" s="2"/>
      <c r="M20" s="2"/>
      <c r="N20" s="2"/>
      <c r="O20" s="2"/>
      <c r="P20" s="2"/>
      <c r="Q20" s="2"/>
      <c r="R20" s="2"/>
      <c r="S20" s="2"/>
      <c r="T20" s="2"/>
      <c r="U20" s="2"/>
      <c r="V20" s="2"/>
      <c r="W20" s="2"/>
      <c r="X20" s="2"/>
      <c r="Y20" s="2"/>
      <c r="Z20" s="2"/>
    </row>
    <row r="21" spans="1:26">
      <c r="A21" s="25"/>
      <c r="B21" s="4" t="s">
        <v>544</v>
      </c>
      <c r="C21" s="25"/>
      <c r="D21" s="2"/>
      <c r="E21" s="2"/>
      <c r="F21" s="2"/>
      <c r="G21" s="2"/>
      <c r="H21" s="2"/>
      <c r="I21" s="2"/>
      <c r="J21" s="2"/>
      <c r="K21" s="2"/>
      <c r="L21" s="2"/>
      <c r="M21" s="2"/>
      <c r="N21" s="2"/>
      <c r="O21" s="2"/>
      <c r="P21" s="2"/>
      <c r="Q21" s="2"/>
      <c r="R21" s="2"/>
      <c r="S21" s="2"/>
      <c r="T21" s="2"/>
      <c r="U21" s="2"/>
      <c r="V21" s="2"/>
      <c r="W21" s="2"/>
      <c r="X21" s="2"/>
      <c r="Y21" s="2"/>
      <c r="Z21" s="2"/>
    </row>
    <row r="22" spans="1:26">
      <c r="A22" s="25"/>
      <c r="B22" s="4" t="s">
        <v>545</v>
      </c>
      <c r="C22" s="25"/>
      <c r="D22" s="2"/>
      <c r="E22" s="2"/>
      <c r="F22" s="2"/>
      <c r="G22" s="2"/>
      <c r="H22" s="2"/>
      <c r="I22" s="2"/>
      <c r="J22" s="2"/>
      <c r="K22" s="2"/>
      <c r="L22" s="2"/>
      <c r="M22" s="2"/>
      <c r="N22" s="2"/>
      <c r="O22" s="2"/>
      <c r="P22" s="2"/>
      <c r="Q22" s="2"/>
      <c r="R22" s="2"/>
      <c r="S22" s="2"/>
      <c r="T22" s="2"/>
      <c r="U22" s="2"/>
      <c r="V22" s="2"/>
      <c r="W22" s="2"/>
      <c r="X22" s="2"/>
      <c r="Y22" s="2"/>
      <c r="Z22" s="2"/>
    </row>
    <row r="23" spans="1:26">
      <c r="A23" s="26"/>
      <c r="B23" s="4" t="s">
        <v>546</v>
      </c>
      <c r="C23" s="26"/>
      <c r="D23" s="2"/>
      <c r="E23" s="2"/>
      <c r="F23" s="2"/>
      <c r="G23" s="2"/>
      <c r="H23" s="2"/>
      <c r="I23" s="2"/>
      <c r="J23" s="2"/>
      <c r="K23" s="2"/>
      <c r="L23" s="2"/>
      <c r="M23" s="2"/>
      <c r="N23" s="2"/>
      <c r="O23" s="2"/>
      <c r="P23" s="2"/>
      <c r="Q23" s="2"/>
      <c r="R23" s="2"/>
      <c r="S23" s="2"/>
      <c r="T23" s="2"/>
      <c r="U23" s="2"/>
      <c r="V23" s="2"/>
      <c r="W23" s="2"/>
      <c r="X23" s="2"/>
      <c r="Y23" s="2"/>
      <c r="Z23" s="2"/>
    </row>
    <row r="24" spans="1:26">
      <c r="A24" s="24" t="s">
        <v>547</v>
      </c>
      <c r="B24" s="4" t="s">
        <v>548</v>
      </c>
      <c r="C24" s="24" t="s">
        <v>549</v>
      </c>
      <c r="D24" s="2"/>
      <c r="E24" s="2"/>
      <c r="F24" s="2"/>
      <c r="G24" s="2"/>
      <c r="H24" s="2"/>
      <c r="I24" s="2"/>
      <c r="J24" s="2"/>
      <c r="K24" s="2"/>
      <c r="L24" s="2"/>
      <c r="M24" s="2"/>
      <c r="N24" s="2"/>
      <c r="O24" s="2"/>
      <c r="P24" s="2"/>
      <c r="Q24" s="2"/>
      <c r="R24" s="2"/>
      <c r="S24" s="2"/>
      <c r="T24" s="2"/>
      <c r="U24" s="2"/>
      <c r="V24" s="2"/>
      <c r="W24" s="2"/>
      <c r="X24" s="2"/>
      <c r="Y24" s="2"/>
      <c r="Z24" s="2"/>
    </row>
    <row r="25" spans="1:26">
      <c r="A25" s="26"/>
      <c r="B25" s="4" t="s">
        <v>550</v>
      </c>
      <c r="C25" s="26"/>
      <c r="D25" s="2"/>
      <c r="E25" s="2"/>
      <c r="F25" s="2"/>
      <c r="G25" s="2"/>
      <c r="H25" s="2"/>
      <c r="I25" s="2"/>
      <c r="J25" s="2"/>
      <c r="K25" s="2"/>
      <c r="L25" s="2"/>
      <c r="M25" s="2"/>
      <c r="N25" s="2"/>
      <c r="O25" s="2"/>
      <c r="P25" s="2"/>
      <c r="Q25" s="2"/>
      <c r="R25" s="2"/>
      <c r="S25" s="2"/>
      <c r="T25" s="2"/>
      <c r="U25" s="2"/>
      <c r="V25" s="2"/>
      <c r="W25" s="2"/>
      <c r="X25" s="2"/>
      <c r="Y25" s="2"/>
      <c r="Z25" s="2"/>
    </row>
    <row r="26" spans="1:26">
      <c r="A26" s="4" t="s">
        <v>551</v>
      </c>
      <c r="B26" s="4" t="s">
        <v>552</v>
      </c>
      <c r="C26" s="4"/>
      <c r="D26" s="2"/>
      <c r="E26" s="2"/>
      <c r="F26" s="2"/>
      <c r="G26" s="2"/>
      <c r="H26" s="2"/>
      <c r="I26" s="2"/>
      <c r="J26" s="2"/>
      <c r="K26" s="2"/>
      <c r="L26" s="2"/>
      <c r="M26" s="2"/>
      <c r="N26" s="2"/>
      <c r="O26" s="2"/>
      <c r="P26" s="2"/>
      <c r="Q26" s="2"/>
      <c r="R26" s="2"/>
      <c r="S26" s="2"/>
      <c r="T26" s="2"/>
      <c r="U26" s="2"/>
      <c r="V26" s="2"/>
      <c r="W26" s="2"/>
      <c r="X26" s="2"/>
      <c r="Y26" s="2"/>
      <c r="Z26" s="2"/>
    </row>
    <row r="27" spans="1:26">
      <c r="A27" s="24" t="s">
        <v>553</v>
      </c>
      <c r="B27" s="10" t="s">
        <v>554</v>
      </c>
      <c r="C27" s="24" t="s">
        <v>555</v>
      </c>
      <c r="D27" s="2"/>
      <c r="E27" s="2"/>
      <c r="F27" s="2"/>
      <c r="G27" s="2"/>
      <c r="H27" s="2"/>
      <c r="I27" s="2"/>
      <c r="J27" s="2"/>
      <c r="K27" s="2"/>
      <c r="L27" s="2"/>
      <c r="M27" s="2"/>
      <c r="N27" s="2"/>
      <c r="O27" s="2"/>
      <c r="P27" s="2"/>
      <c r="Q27" s="2"/>
      <c r="R27" s="2"/>
      <c r="S27" s="2"/>
      <c r="T27" s="2"/>
      <c r="U27" s="2"/>
      <c r="V27" s="2"/>
      <c r="W27" s="2"/>
      <c r="X27" s="2"/>
      <c r="Y27" s="2"/>
      <c r="Z27" s="2"/>
    </row>
    <row r="28" spans="1:26">
      <c r="A28" s="25"/>
      <c r="B28" s="4" t="s">
        <v>556</v>
      </c>
      <c r="C28" s="25"/>
      <c r="D28" s="2"/>
      <c r="E28" s="2"/>
      <c r="F28" s="2"/>
      <c r="G28" s="2"/>
      <c r="H28" s="2"/>
      <c r="I28" s="2"/>
      <c r="J28" s="2"/>
      <c r="K28" s="2"/>
      <c r="L28" s="2"/>
      <c r="M28" s="2"/>
      <c r="N28" s="2"/>
      <c r="O28" s="2"/>
      <c r="P28" s="2"/>
      <c r="Q28" s="2"/>
      <c r="R28" s="2"/>
      <c r="S28" s="2"/>
      <c r="T28" s="2"/>
      <c r="U28" s="2"/>
      <c r="V28" s="2"/>
      <c r="W28" s="2"/>
      <c r="X28" s="2"/>
      <c r="Y28" s="2"/>
      <c r="Z28" s="2"/>
    </row>
    <row r="29" spans="1:26">
      <c r="A29" s="25"/>
      <c r="B29" s="4" t="s">
        <v>557</v>
      </c>
      <c r="C29" s="25"/>
      <c r="D29" s="2"/>
      <c r="E29" s="2"/>
      <c r="F29" s="2"/>
      <c r="G29" s="2"/>
      <c r="H29" s="2"/>
      <c r="I29" s="2"/>
      <c r="J29" s="2"/>
      <c r="K29" s="2"/>
      <c r="L29" s="2"/>
      <c r="M29" s="2"/>
      <c r="N29" s="2"/>
      <c r="O29" s="2"/>
      <c r="P29" s="2"/>
      <c r="Q29" s="2"/>
      <c r="R29" s="2"/>
      <c r="S29" s="2"/>
      <c r="T29" s="2"/>
      <c r="U29" s="2"/>
      <c r="V29" s="2"/>
      <c r="W29" s="2"/>
      <c r="X29" s="2"/>
      <c r="Y29" s="2"/>
      <c r="Z29" s="2"/>
    </row>
    <row r="30" spans="1:26">
      <c r="A30" s="25"/>
      <c r="B30" s="4" t="s">
        <v>558</v>
      </c>
      <c r="C30" s="25"/>
      <c r="D30" s="2"/>
      <c r="E30" s="2"/>
      <c r="F30" s="2"/>
      <c r="G30" s="2"/>
      <c r="H30" s="2"/>
      <c r="I30" s="2"/>
      <c r="J30" s="2"/>
      <c r="K30" s="2"/>
      <c r="L30" s="2"/>
      <c r="M30" s="2"/>
      <c r="N30" s="2"/>
      <c r="O30" s="2"/>
      <c r="P30" s="2"/>
      <c r="Q30" s="2"/>
      <c r="R30" s="2"/>
      <c r="S30" s="2"/>
      <c r="T30" s="2"/>
      <c r="U30" s="2"/>
      <c r="V30" s="2"/>
      <c r="W30" s="2"/>
      <c r="X30" s="2"/>
      <c r="Y30" s="2"/>
      <c r="Z30" s="2"/>
    </row>
    <row r="31" spans="1:26">
      <c r="A31" s="25"/>
      <c r="B31" s="4" t="s">
        <v>559</v>
      </c>
      <c r="C31" s="25"/>
      <c r="D31" s="2"/>
      <c r="E31" s="2"/>
      <c r="F31" s="2"/>
      <c r="G31" s="2"/>
      <c r="H31" s="2"/>
      <c r="I31" s="2"/>
      <c r="J31" s="2"/>
      <c r="K31" s="2"/>
      <c r="L31" s="2"/>
      <c r="M31" s="2"/>
      <c r="N31" s="2"/>
      <c r="O31" s="2"/>
      <c r="P31" s="2"/>
      <c r="Q31" s="2"/>
      <c r="R31" s="2"/>
      <c r="S31" s="2"/>
      <c r="T31" s="2"/>
      <c r="U31" s="2"/>
      <c r="V31" s="2"/>
      <c r="W31" s="2"/>
      <c r="X31" s="2"/>
      <c r="Y31" s="2"/>
      <c r="Z31" s="2"/>
    </row>
    <row r="32" spans="1:26">
      <c r="A32" s="25"/>
      <c r="B32" s="4" t="s">
        <v>560</v>
      </c>
      <c r="C32" s="25"/>
      <c r="D32" s="2"/>
      <c r="E32" s="2"/>
      <c r="F32" s="2"/>
      <c r="G32" s="2"/>
      <c r="H32" s="2"/>
      <c r="I32" s="2"/>
      <c r="J32" s="2"/>
      <c r="K32" s="2"/>
      <c r="L32" s="2"/>
      <c r="M32" s="2"/>
      <c r="N32" s="2"/>
      <c r="O32" s="2"/>
      <c r="P32" s="2"/>
      <c r="Q32" s="2"/>
      <c r="R32" s="2"/>
      <c r="S32" s="2"/>
      <c r="T32" s="2"/>
      <c r="U32" s="2"/>
      <c r="V32" s="2"/>
      <c r="W32" s="2"/>
      <c r="X32" s="2"/>
      <c r="Y32" s="2"/>
      <c r="Z32" s="2"/>
    </row>
    <row r="33" spans="1:26">
      <c r="A33" s="25"/>
      <c r="B33" s="4" t="s">
        <v>561</v>
      </c>
      <c r="C33" s="25"/>
      <c r="D33" s="2"/>
      <c r="E33" s="2"/>
      <c r="F33" s="2"/>
      <c r="G33" s="2"/>
      <c r="H33" s="2"/>
      <c r="I33" s="2"/>
      <c r="J33" s="2"/>
      <c r="K33" s="2"/>
      <c r="L33" s="2"/>
      <c r="M33" s="2"/>
      <c r="N33" s="2"/>
      <c r="O33" s="2"/>
      <c r="P33" s="2"/>
      <c r="Q33" s="2"/>
      <c r="R33" s="2"/>
      <c r="S33" s="2"/>
      <c r="T33" s="2"/>
      <c r="U33" s="2"/>
      <c r="V33" s="2"/>
      <c r="W33" s="2"/>
      <c r="X33" s="2"/>
      <c r="Y33" s="2"/>
      <c r="Z33" s="2"/>
    </row>
    <row r="34" spans="1:26">
      <c r="A34" s="25"/>
      <c r="B34" s="4" t="s">
        <v>562</v>
      </c>
      <c r="C34" s="25"/>
      <c r="D34" s="2"/>
      <c r="E34" s="2"/>
      <c r="F34" s="2"/>
      <c r="G34" s="2"/>
      <c r="H34" s="2"/>
      <c r="I34" s="2"/>
      <c r="J34" s="2"/>
      <c r="K34" s="2"/>
      <c r="L34" s="2"/>
      <c r="M34" s="2"/>
      <c r="N34" s="2"/>
      <c r="O34" s="2"/>
      <c r="P34" s="2"/>
      <c r="Q34" s="2"/>
      <c r="R34" s="2"/>
      <c r="S34" s="2"/>
      <c r="T34" s="2"/>
      <c r="U34" s="2"/>
      <c r="V34" s="2"/>
      <c r="W34" s="2"/>
      <c r="X34" s="2"/>
      <c r="Y34" s="2"/>
      <c r="Z34" s="2"/>
    </row>
    <row r="35" spans="1:26">
      <c r="A35" s="25"/>
      <c r="B35" s="4" t="s">
        <v>563</v>
      </c>
      <c r="C35" s="25"/>
      <c r="D35" s="2"/>
      <c r="E35" s="2"/>
      <c r="F35" s="2"/>
      <c r="G35" s="2"/>
      <c r="H35" s="2"/>
      <c r="I35" s="2"/>
      <c r="J35" s="2"/>
      <c r="K35" s="2"/>
      <c r="L35" s="2"/>
      <c r="M35" s="2"/>
      <c r="N35" s="2"/>
      <c r="O35" s="2"/>
      <c r="P35" s="2"/>
      <c r="Q35" s="2"/>
      <c r="R35" s="2"/>
      <c r="S35" s="2"/>
      <c r="T35" s="2"/>
      <c r="U35" s="2"/>
      <c r="V35" s="2"/>
      <c r="W35" s="2"/>
      <c r="X35" s="2"/>
      <c r="Y35" s="2"/>
      <c r="Z35" s="2"/>
    </row>
    <row r="36" spans="1:26">
      <c r="A36" s="25"/>
      <c r="B36" s="4" t="s">
        <v>564</v>
      </c>
      <c r="C36" s="26"/>
      <c r="D36" s="2"/>
      <c r="E36" s="2"/>
      <c r="F36" s="2"/>
      <c r="G36" s="2"/>
      <c r="H36" s="2"/>
      <c r="I36" s="2"/>
      <c r="J36" s="2"/>
      <c r="K36" s="2"/>
      <c r="L36" s="2"/>
      <c r="M36" s="2"/>
      <c r="N36" s="2"/>
      <c r="O36" s="2"/>
      <c r="P36" s="2"/>
      <c r="Q36" s="2"/>
      <c r="R36" s="2"/>
      <c r="S36" s="2"/>
      <c r="T36" s="2"/>
      <c r="U36" s="2"/>
      <c r="V36" s="2"/>
      <c r="W36" s="2"/>
      <c r="X36" s="2"/>
      <c r="Y36" s="2"/>
      <c r="Z36" s="2"/>
    </row>
    <row r="37" spans="1:26">
      <c r="A37" s="26"/>
      <c r="B37" s="4" t="s">
        <v>565</v>
      </c>
      <c r="C37" s="4"/>
      <c r="D37" s="2"/>
      <c r="E37" s="2"/>
      <c r="F37" s="2"/>
      <c r="G37" s="2"/>
      <c r="H37" s="2"/>
      <c r="I37" s="2"/>
      <c r="J37" s="2"/>
      <c r="K37" s="2"/>
      <c r="L37" s="2"/>
      <c r="M37" s="2"/>
      <c r="N37" s="2"/>
      <c r="O37" s="2"/>
      <c r="P37" s="2"/>
      <c r="Q37" s="2"/>
      <c r="R37" s="2"/>
      <c r="S37" s="2"/>
      <c r="T37" s="2"/>
      <c r="U37" s="2"/>
      <c r="V37" s="2"/>
      <c r="W37" s="2"/>
      <c r="X37" s="2"/>
      <c r="Y37" s="2"/>
      <c r="Z37" s="2"/>
    </row>
    <row r="38" spans="1:26">
      <c r="A38" s="24" t="s">
        <v>566</v>
      </c>
      <c r="B38" s="4" t="s">
        <v>567</v>
      </c>
      <c r="C38" s="27" t="s">
        <v>568</v>
      </c>
      <c r="D38" s="2"/>
      <c r="E38" s="2"/>
      <c r="F38" s="2"/>
      <c r="G38" s="2"/>
      <c r="H38" s="2"/>
      <c r="I38" s="2"/>
      <c r="J38" s="2"/>
      <c r="K38" s="2"/>
      <c r="L38" s="2"/>
      <c r="M38" s="2"/>
      <c r="N38" s="2"/>
      <c r="O38" s="2"/>
      <c r="P38" s="2"/>
      <c r="Q38" s="2"/>
      <c r="R38" s="2"/>
      <c r="S38" s="2"/>
      <c r="T38" s="2"/>
      <c r="U38" s="2"/>
      <c r="V38" s="2"/>
      <c r="W38" s="2"/>
      <c r="X38" s="2"/>
      <c r="Y38" s="2"/>
      <c r="Z38" s="2"/>
    </row>
    <row r="39" spans="1:26">
      <c r="A39" s="25"/>
      <c r="B39" s="4" t="s">
        <v>569</v>
      </c>
      <c r="C39" s="25"/>
      <c r="D39" s="2"/>
      <c r="E39" s="2"/>
      <c r="F39" s="2"/>
      <c r="G39" s="2"/>
      <c r="H39" s="2"/>
      <c r="I39" s="2"/>
      <c r="J39" s="2"/>
      <c r="K39" s="2"/>
      <c r="L39" s="2"/>
      <c r="M39" s="2"/>
      <c r="N39" s="2"/>
      <c r="O39" s="2"/>
      <c r="P39" s="2"/>
      <c r="Q39" s="2"/>
      <c r="R39" s="2"/>
      <c r="S39" s="2"/>
      <c r="T39" s="2"/>
      <c r="U39" s="2"/>
      <c r="V39" s="2"/>
      <c r="W39" s="2"/>
      <c r="X39" s="2"/>
      <c r="Y39" s="2"/>
      <c r="Z39" s="2"/>
    </row>
    <row r="40" spans="1:26">
      <c r="A40" s="25"/>
      <c r="B40" s="4" t="s">
        <v>570</v>
      </c>
      <c r="C40" s="25"/>
      <c r="D40" s="2"/>
      <c r="E40" s="2"/>
      <c r="F40" s="2"/>
      <c r="G40" s="2"/>
      <c r="H40" s="2"/>
      <c r="I40" s="2"/>
      <c r="J40" s="2"/>
      <c r="K40" s="2"/>
      <c r="L40" s="2"/>
      <c r="M40" s="2"/>
      <c r="N40" s="2"/>
      <c r="O40" s="2"/>
      <c r="P40" s="2"/>
      <c r="Q40" s="2"/>
      <c r="R40" s="2"/>
      <c r="S40" s="2"/>
      <c r="T40" s="2"/>
      <c r="U40" s="2"/>
      <c r="V40" s="2"/>
      <c r="W40" s="2"/>
      <c r="X40" s="2"/>
      <c r="Y40" s="2"/>
      <c r="Z40" s="2"/>
    </row>
    <row r="41" spans="1:26">
      <c r="A41" s="25"/>
      <c r="B41" s="4" t="s">
        <v>571</v>
      </c>
      <c r="C41" s="25"/>
      <c r="D41" s="2"/>
      <c r="E41" s="2"/>
      <c r="F41" s="2"/>
      <c r="G41" s="2"/>
      <c r="H41" s="2"/>
      <c r="I41" s="2"/>
      <c r="J41" s="2"/>
      <c r="K41" s="2"/>
      <c r="L41" s="2"/>
      <c r="M41" s="2"/>
      <c r="N41" s="2"/>
      <c r="O41" s="2"/>
      <c r="P41" s="2"/>
      <c r="Q41" s="2"/>
      <c r="R41" s="2"/>
      <c r="S41" s="2"/>
      <c r="T41" s="2"/>
      <c r="U41" s="2"/>
      <c r="V41" s="2"/>
      <c r="W41" s="2"/>
      <c r="X41" s="2"/>
      <c r="Y41" s="2"/>
      <c r="Z41" s="2"/>
    </row>
    <row r="42" spans="1:26">
      <c r="A42" s="25"/>
      <c r="B42" s="4" t="s">
        <v>572</v>
      </c>
      <c r="C42" s="25"/>
      <c r="D42" s="2"/>
      <c r="E42" s="2"/>
      <c r="F42" s="2"/>
      <c r="G42" s="2"/>
      <c r="H42" s="2"/>
      <c r="I42" s="2"/>
      <c r="J42" s="2"/>
      <c r="K42" s="2"/>
      <c r="L42" s="2"/>
      <c r="M42" s="2"/>
      <c r="N42" s="2"/>
      <c r="O42" s="2"/>
      <c r="P42" s="2"/>
      <c r="Q42" s="2"/>
      <c r="R42" s="2"/>
      <c r="S42" s="2"/>
      <c r="T42" s="2"/>
      <c r="U42" s="2"/>
      <c r="V42" s="2"/>
      <c r="W42" s="2"/>
      <c r="X42" s="2"/>
      <c r="Y42" s="2"/>
      <c r="Z42" s="2"/>
    </row>
    <row r="43" spans="1:26">
      <c r="A43" s="26"/>
      <c r="B43" s="4" t="s">
        <v>573</v>
      </c>
      <c r="C43" s="26"/>
      <c r="D43" s="2"/>
      <c r="E43" s="2"/>
      <c r="F43" s="2"/>
      <c r="G43" s="2"/>
      <c r="H43" s="2"/>
      <c r="I43" s="2"/>
      <c r="J43" s="2"/>
      <c r="K43" s="2"/>
      <c r="L43" s="2"/>
      <c r="M43" s="2"/>
      <c r="N43" s="2"/>
      <c r="O43" s="2"/>
      <c r="P43" s="2"/>
      <c r="Q43" s="2"/>
      <c r="R43" s="2"/>
      <c r="S43" s="2"/>
      <c r="T43" s="2"/>
      <c r="U43" s="2"/>
      <c r="V43" s="2"/>
      <c r="W43" s="2"/>
      <c r="X43" s="2"/>
      <c r="Y43" s="2"/>
      <c r="Z43" s="2"/>
    </row>
    <row r="44" spans="1:26">
      <c r="A44" s="24" t="s">
        <v>574</v>
      </c>
      <c r="B44" s="4" t="s">
        <v>575</v>
      </c>
      <c r="C44" s="24" t="s">
        <v>576</v>
      </c>
      <c r="D44" s="2"/>
      <c r="E44" s="2"/>
      <c r="F44" s="2"/>
      <c r="G44" s="2"/>
      <c r="H44" s="2"/>
      <c r="I44" s="2"/>
      <c r="J44" s="2"/>
      <c r="K44" s="2"/>
      <c r="L44" s="2"/>
      <c r="M44" s="2"/>
      <c r="N44" s="2"/>
      <c r="O44" s="2"/>
      <c r="P44" s="2"/>
      <c r="Q44" s="2"/>
      <c r="R44" s="2"/>
      <c r="S44" s="2"/>
      <c r="T44" s="2"/>
      <c r="U44" s="2"/>
      <c r="V44" s="2"/>
      <c r="W44" s="2"/>
      <c r="X44" s="2"/>
      <c r="Y44" s="2"/>
      <c r="Z44" s="2"/>
    </row>
    <row r="45" spans="1:26">
      <c r="A45" s="25"/>
      <c r="B45" s="4" t="s">
        <v>577</v>
      </c>
      <c r="C45" s="25"/>
      <c r="D45" s="2"/>
      <c r="E45" s="2"/>
      <c r="F45" s="2"/>
      <c r="G45" s="2"/>
      <c r="H45" s="2"/>
      <c r="I45" s="2"/>
      <c r="J45" s="2"/>
      <c r="K45" s="2"/>
      <c r="L45" s="2"/>
      <c r="M45" s="2"/>
      <c r="N45" s="2"/>
      <c r="O45" s="2"/>
      <c r="P45" s="2"/>
      <c r="Q45" s="2"/>
      <c r="R45" s="2"/>
      <c r="S45" s="2"/>
      <c r="T45" s="2"/>
      <c r="U45" s="2"/>
      <c r="V45" s="2"/>
      <c r="W45" s="2"/>
      <c r="X45" s="2"/>
      <c r="Y45" s="2"/>
      <c r="Z45" s="2"/>
    </row>
    <row r="46" spans="1:26">
      <c r="A46" s="25"/>
      <c r="B46" s="4" t="s">
        <v>578</v>
      </c>
      <c r="C46" s="25"/>
      <c r="D46" s="2"/>
      <c r="E46" s="2"/>
      <c r="F46" s="2"/>
      <c r="G46" s="2"/>
      <c r="H46" s="2"/>
      <c r="I46" s="2"/>
      <c r="J46" s="2"/>
      <c r="K46" s="2"/>
      <c r="L46" s="2"/>
      <c r="M46" s="2"/>
      <c r="N46" s="2"/>
      <c r="O46" s="2"/>
      <c r="P46" s="2"/>
      <c r="Q46" s="2"/>
      <c r="R46" s="2"/>
      <c r="S46" s="2"/>
      <c r="T46" s="2"/>
      <c r="U46" s="2"/>
      <c r="V46" s="2"/>
      <c r="W46" s="2"/>
      <c r="X46" s="2"/>
      <c r="Y46" s="2"/>
      <c r="Z46" s="2"/>
    </row>
    <row r="47" spans="1:26">
      <c r="A47" s="25"/>
      <c r="B47" s="4" t="s">
        <v>579</v>
      </c>
      <c r="C47" s="25"/>
      <c r="D47" s="2"/>
      <c r="E47" s="2"/>
      <c r="F47" s="2"/>
      <c r="G47" s="2"/>
      <c r="H47" s="2"/>
      <c r="I47" s="2"/>
      <c r="J47" s="2"/>
      <c r="K47" s="2"/>
      <c r="L47" s="2"/>
      <c r="M47" s="2"/>
      <c r="N47" s="2"/>
      <c r="O47" s="2"/>
      <c r="P47" s="2"/>
      <c r="Q47" s="2"/>
      <c r="R47" s="2"/>
      <c r="S47" s="2"/>
      <c r="T47" s="2"/>
      <c r="U47" s="2"/>
      <c r="V47" s="2"/>
      <c r="W47" s="2"/>
      <c r="X47" s="2"/>
      <c r="Y47" s="2"/>
      <c r="Z47" s="2"/>
    </row>
    <row r="48" spans="1:26">
      <c r="A48" s="25"/>
      <c r="B48" s="4" t="s">
        <v>580</v>
      </c>
      <c r="C48" s="25"/>
      <c r="D48" s="2"/>
      <c r="E48" s="2"/>
      <c r="F48" s="2"/>
      <c r="G48" s="2"/>
      <c r="H48" s="2"/>
      <c r="I48" s="2"/>
      <c r="J48" s="2"/>
      <c r="K48" s="2"/>
      <c r="L48" s="2"/>
      <c r="M48" s="2"/>
      <c r="N48" s="2"/>
      <c r="O48" s="2"/>
      <c r="P48" s="2"/>
      <c r="Q48" s="2"/>
      <c r="R48" s="2"/>
      <c r="S48" s="2"/>
      <c r="T48" s="2"/>
      <c r="U48" s="2"/>
      <c r="V48" s="2"/>
      <c r="W48" s="2"/>
      <c r="X48" s="2"/>
      <c r="Y48" s="2"/>
      <c r="Z48" s="2"/>
    </row>
    <row r="49" spans="1:26">
      <c r="A49" s="26"/>
      <c r="B49" s="4" t="s">
        <v>581</v>
      </c>
      <c r="C49" s="26"/>
      <c r="D49" s="2"/>
      <c r="E49" s="2"/>
      <c r="F49" s="2"/>
      <c r="G49" s="2"/>
      <c r="H49" s="2"/>
      <c r="I49" s="2"/>
      <c r="J49" s="2"/>
      <c r="K49" s="2"/>
      <c r="L49" s="2"/>
      <c r="M49" s="2"/>
      <c r="N49" s="2"/>
      <c r="O49" s="2"/>
      <c r="P49" s="2"/>
      <c r="Q49" s="2"/>
      <c r="R49" s="2"/>
      <c r="S49" s="2"/>
      <c r="T49" s="2"/>
      <c r="U49" s="2"/>
      <c r="V49" s="2"/>
      <c r="W49" s="2"/>
      <c r="X49" s="2"/>
      <c r="Y49" s="2"/>
      <c r="Z49" s="2"/>
    </row>
    <row r="50" spans="1:26">
      <c r="A50" s="24" t="s">
        <v>582</v>
      </c>
      <c r="B50" s="4" t="s">
        <v>583</v>
      </c>
      <c r="C50" s="24" t="s">
        <v>584</v>
      </c>
      <c r="D50" s="2"/>
      <c r="E50" s="2"/>
      <c r="F50" s="2"/>
      <c r="G50" s="2"/>
      <c r="H50" s="2"/>
      <c r="I50" s="2"/>
      <c r="J50" s="2"/>
      <c r="K50" s="2"/>
      <c r="L50" s="2"/>
      <c r="M50" s="2"/>
      <c r="N50" s="2"/>
      <c r="O50" s="2"/>
      <c r="P50" s="2"/>
      <c r="Q50" s="2"/>
      <c r="R50" s="2"/>
      <c r="S50" s="2"/>
      <c r="T50" s="2"/>
      <c r="U50" s="2"/>
      <c r="V50" s="2"/>
      <c r="W50" s="2"/>
      <c r="X50" s="2"/>
      <c r="Y50" s="2"/>
      <c r="Z50" s="2"/>
    </row>
    <row r="51" spans="1:26">
      <c r="A51" s="25"/>
      <c r="B51" s="4" t="s">
        <v>585</v>
      </c>
      <c r="C51" s="25"/>
      <c r="D51" s="2"/>
      <c r="E51" s="2"/>
      <c r="F51" s="2"/>
      <c r="G51" s="2"/>
      <c r="H51" s="2"/>
      <c r="I51" s="2"/>
      <c r="J51" s="2"/>
      <c r="K51" s="2"/>
      <c r="L51" s="2"/>
      <c r="M51" s="2"/>
      <c r="N51" s="2"/>
      <c r="O51" s="2"/>
      <c r="P51" s="2"/>
      <c r="Q51" s="2"/>
      <c r="R51" s="2"/>
      <c r="S51" s="2"/>
      <c r="T51" s="2"/>
      <c r="U51" s="2"/>
      <c r="V51" s="2"/>
      <c r="W51" s="2"/>
      <c r="X51" s="2"/>
      <c r="Y51" s="2"/>
      <c r="Z51" s="2"/>
    </row>
    <row r="52" spans="1:26">
      <c r="A52" s="25"/>
      <c r="B52" s="4" t="s">
        <v>586</v>
      </c>
      <c r="C52" s="25"/>
      <c r="D52" s="2"/>
      <c r="E52" s="2"/>
      <c r="F52" s="2"/>
      <c r="G52" s="2"/>
      <c r="H52" s="2"/>
      <c r="I52" s="2"/>
      <c r="J52" s="2"/>
      <c r="K52" s="2"/>
      <c r="L52" s="2"/>
      <c r="M52" s="2"/>
      <c r="N52" s="2"/>
      <c r="O52" s="2"/>
      <c r="P52" s="2"/>
      <c r="Q52" s="2"/>
      <c r="R52" s="2"/>
      <c r="S52" s="2"/>
      <c r="T52" s="2"/>
      <c r="U52" s="2"/>
      <c r="V52" s="2"/>
      <c r="W52" s="2"/>
      <c r="X52" s="2"/>
      <c r="Y52" s="2"/>
      <c r="Z52" s="2"/>
    </row>
    <row r="53" spans="1:26">
      <c r="A53" s="25"/>
      <c r="B53" s="4" t="s">
        <v>587</v>
      </c>
      <c r="C53" s="25"/>
      <c r="D53" s="2"/>
      <c r="E53" s="2"/>
      <c r="F53" s="2"/>
      <c r="G53" s="2"/>
      <c r="H53" s="2"/>
      <c r="I53" s="2"/>
      <c r="J53" s="2"/>
      <c r="K53" s="2"/>
      <c r="L53" s="2"/>
      <c r="M53" s="2"/>
      <c r="N53" s="2"/>
      <c r="O53" s="2"/>
      <c r="P53" s="2"/>
      <c r="Q53" s="2"/>
      <c r="R53" s="2"/>
      <c r="S53" s="2"/>
      <c r="T53" s="2"/>
      <c r="U53" s="2"/>
      <c r="V53" s="2"/>
      <c r="W53" s="2"/>
      <c r="X53" s="2"/>
      <c r="Y53" s="2"/>
      <c r="Z53" s="2"/>
    </row>
    <row r="54" spans="1:26">
      <c r="A54" s="25"/>
      <c r="B54" s="4" t="s">
        <v>588</v>
      </c>
      <c r="C54" s="25"/>
      <c r="D54" s="2"/>
      <c r="E54" s="2"/>
      <c r="F54" s="2"/>
      <c r="G54" s="2"/>
      <c r="H54" s="2"/>
      <c r="I54" s="2"/>
      <c r="J54" s="2"/>
      <c r="K54" s="2"/>
      <c r="L54" s="2"/>
      <c r="M54" s="2"/>
      <c r="N54" s="2"/>
      <c r="O54" s="2"/>
      <c r="P54" s="2"/>
      <c r="Q54" s="2"/>
      <c r="R54" s="2"/>
      <c r="S54" s="2"/>
      <c r="T54" s="2"/>
      <c r="U54" s="2"/>
      <c r="V54" s="2"/>
      <c r="W54" s="2"/>
      <c r="X54" s="2"/>
      <c r="Y54" s="2"/>
      <c r="Z54" s="2"/>
    </row>
    <row r="55" spans="1:26">
      <c r="A55" s="25"/>
      <c r="B55" s="4" t="s">
        <v>589</v>
      </c>
      <c r="C55" s="25"/>
      <c r="D55" s="2"/>
      <c r="E55" s="2"/>
      <c r="F55" s="2"/>
      <c r="G55" s="2"/>
      <c r="H55" s="2"/>
      <c r="I55" s="2"/>
      <c r="J55" s="2"/>
      <c r="K55" s="2"/>
      <c r="L55" s="2"/>
      <c r="M55" s="2"/>
      <c r="N55" s="2"/>
      <c r="O55" s="2"/>
      <c r="P55" s="2"/>
      <c r="Q55" s="2"/>
      <c r="R55" s="2"/>
      <c r="S55" s="2"/>
      <c r="T55" s="2"/>
      <c r="U55" s="2"/>
      <c r="V55" s="2"/>
      <c r="W55" s="2"/>
      <c r="X55" s="2"/>
      <c r="Y55" s="2"/>
      <c r="Z55" s="2"/>
    </row>
    <row r="56" spans="1:26">
      <c r="A56" s="25"/>
      <c r="B56" s="4" t="s">
        <v>590</v>
      </c>
      <c r="C56" s="25"/>
      <c r="D56" s="2"/>
      <c r="E56" s="2"/>
      <c r="F56" s="2"/>
      <c r="G56" s="2"/>
      <c r="H56" s="2"/>
      <c r="I56" s="2"/>
      <c r="J56" s="2"/>
      <c r="K56" s="2"/>
      <c r="L56" s="2"/>
      <c r="M56" s="2"/>
      <c r="N56" s="2"/>
      <c r="O56" s="2"/>
      <c r="P56" s="2"/>
      <c r="Q56" s="2"/>
      <c r="R56" s="2"/>
      <c r="S56" s="2"/>
      <c r="T56" s="2"/>
      <c r="U56" s="2"/>
      <c r="V56" s="2"/>
      <c r="W56" s="2"/>
      <c r="X56" s="2"/>
      <c r="Y56" s="2"/>
      <c r="Z56" s="2"/>
    </row>
    <row r="57" spans="1:26">
      <c r="A57" s="25"/>
      <c r="B57" s="4" t="s">
        <v>552</v>
      </c>
      <c r="C57" s="25"/>
      <c r="D57" s="2"/>
      <c r="E57" s="2"/>
      <c r="F57" s="2"/>
      <c r="G57" s="2"/>
      <c r="H57" s="2"/>
      <c r="I57" s="2"/>
      <c r="J57" s="2"/>
      <c r="K57" s="2"/>
      <c r="L57" s="2"/>
      <c r="M57" s="2"/>
      <c r="N57" s="2"/>
      <c r="O57" s="2"/>
      <c r="P57" s="2"/>
      <c r="Q57" s="2"/>
      <c r="R57" s="2"/>
      <c r="S57" s="2"/>
      <c r="T57" s="2"/>
      <c r="U57" s="2"/>
      <c r="V57" s="2"/>
      <c r="W57" s="2"/>
      <c r="X57" s="2"/>
      <c r="Y57" s="2"/>
      <c r="Z57" s="2"/>
    </row>
    <row r="58" spans="1:26">
      <c r="A58" s="25"/>
      <c r="B58" s="4" t="s">
        <v>591</v>
      </c>
      <c r="C58" s="25"/>
      <c r="D58" s="2"/>
      <c r="E58" s="2"/>
      <c r="F58" s="2"/>
      <c r="G58" s="2"/>
      <c r="H58" s="2"/>
      <c r="I58" s="2"/>
      <c r="J58" s="2"/>
      <c r="K58" s="2"/>
      <c r="L58" s="2"/>
      <c r="M58" s="2"/>
      <c r="N58" s="2"/>
      <c r="O58" s="2"/>
      <c r="P58" s="2"/>
      <c r="Q58" s="2"/>
      <c r="R58" s="2"/>
      <c r="S58" s="2"/>
      <c r="T58" s="2"/>
      <c r="U58" s="2"/>
      <c r="V58" s="2"/>
      <c r="W58" s="2"/>
      <c r="X58" s="2"/>
      <c r="Y58" s="2"/>
      <c r="Z58" s="2"/>
    </row>
    <row r="59" spans="1:26">
      <c r="A59" s="25"/>
      <c r="B59" s="4" t="s">
        <v>592</v>
      </c>
      <c r="C59" s="25"/>
      <c r="D59" s="2"/>
      <c r="E59" s="2"/>
      <c r="F59" s="2"/>
      <c r="G59" s="2"/>
      <c r="H59" s="2"/>
      <c r="I59" s="2"/>
      <c r="J59" s="2"/>
      <c r="K59" s="2"/>
      <c r="L59" s="2"/>
      <c r="M59" s="2"/>
      <c r="N59" s="2"/>
      <c r="O59" s="2"/>
      <c r="P59" s="2"/>
      <c r="Q59" s="2"/>
      <c r="R59" s="2"/>
      <c r="S59" s="2"/>
      <c r="T59" s="2"/>
      <c r="U59" s="2"/>
      <c r="V59" s="2"/>
      <c r="W59" s="2"/>
      <c r="X59" s="2"/>
      <c r="Y59" s="2"/>
      <c r="Z59" s="2"/>
    </row>
    <row r="60" spans="1:26">
      <c r="A60" s="26"/>
      <c r="B60" s="4" t="s">
        <v>593</v>
      </c>
      <c r="C60" s="26"/>
      <c r="D60" s="2"/>
      <c r="E60" s="2"/>
      <c r="F60" s="2"/>
      <c r="G60" s="2"/>
      <c r="H60" s="2"/>
      <c r="I60" s="2"/>
      <c r="J60" s="2"/>
      <c r="K60" s="2"/>
      <c r="L60" s="2"/>
      <c r="M60" s="2"/>
      <c r="N60" s="2"/>
      <c r="O60" s="2"/>
      <c r="P60" s="2"/>
      <c r="Q60" s="2"/>
      <c r="R60" s="2"/>
      <c r="S60" s="2"/>
      <c r="T60" s="2"/>
      <c r="U60" s="2"/>
      <c r="V60" s="2"/>
      <c r="W60" s="2"/>
      <c r="X60" s="2"/>
      <c r="Y60" s="2"/>
      <c r="Z60" s="2"/>
    </row>
    <row r="61" spans="1:26">
      <c r="A61" s="24" t="s">
        <v>594</v>
      </c>
      <c r="B61" s="4" t="s">
        <v>595</v>
      </c>
      <c r="C61" s="24" t="s">
        <v>596</v>
      </c>
      <c r="D61" s="2"/>
      <c r="E61" s="2"/>
      <c r="F61" s="2"/>
      <c r="G61" s="2"/>
      <c r="H61" s="2"/>
      <c r="I61" s="2"/>
      <c r="J61" s="2"/>
      <c r="K61" s="2"/>
      <c r="L61" s="2"/>
      <c r="M61" s="2"/>
      <c r="N61" s="2"/>
      <c r="O61" s="2"/>
      <c r="P61" s="2"/>
      <c r="Q61" s="2"/>
      <c r="R61" s="2"/>
      <c r="S61" s="2"/>
      <c r="T61" s="2"/>
      <c r="U61" s="2"/>
      <c r="V61" s="2"/>
      <c r="W61" s="2"/>
      <c r="X61" s="2"/>
      <c r="Y61" s="2"/>
      <c r="Z61" s="2"/>
    </row>
    <row r="62" spans="1:26">
      <c r="A62" s="25"/>
      <c r="B62" s="4" t="s">
        <v>597</v>
      </c>
      <c r="C62" s="25"/>
      <c r="D62" s="2"/>
      <c r="E62" s="2"/>
      <c r="F62" s="2"/>
      <c r="G62" s="2"/>
      <c r="H62" s="2"/>
      <c r="I62" s="2"/>
      <c r="J62" s="2"/>
      <c r="K62" s="2"/>
      <c r="L62" s="2"/>
      <c r="M62" s="2"/>
      <c r="N62" s="2"/>
      <c r="O62" s="2"/>
      <c r="P62" s="2"/>
      <c r="Q62" s="2"/>
      <c r="R62" s="2"/>
      <c r="S62" s="2"/>
      <c r="T62" s="2"/>
      <c r="U62" s="2"/>
      <c r="V62" s="2"/>
      <c r="W62" s="2"/>
      <c r="X62" s="2"/>
      <c r="Y62" s="2"/>
      <c r="Z62" s="2"/>
    </row>
    <row r="63" spans="1:26">
      <c r="A63" s="25"/>
      <c r="B63" s="4" t="s">
        <v>598</v>
      </c>
      <c r="C63" s="25"/>
      <c r="D63" s="2"/>
      <c r="E63" s="2"/>
      <c r="F63" s="2"/>
      <c r="G63" s="2"/>
      <c r="H63" s="2"/>
      <c r="I63" s="2"/>
      <c r="J63" s="2"/>
      <c r="K63" s="2"/>
      <c r="L63" s="2"/>
      <c r="M63" s="2"/>
      <c r="N63" s="2"/>
      <c r="O63" s="2"/>
      <c r="P63" s="2"/>
      <c r="Q63" s="2"/>
      <c r="R63" s="2"/>
      <c r="S63" s="2"/>
      <c r="T63" s="2"/>
      <c r="U63" s="2"/>
      <c r="V63" s="2"/>
      <c r="W63" s="2"/>
      <c r="X63" s="2"/>
      <c r="Y63" s="2"/>
      <c r="Z63" s="2"/>
    </row>
    <row r="64" spans="1:26">
      <c r="A64" s="25"/>
      <c r="B64" s="4" t="s">
        <v>599</v>
      </c>
      <c r="C64" s="25"/>
      <c r="D64" s="2"/>
      <c r="E64" s="2"/>
      <c r="F64" s="2"/>
      <c r="G64" s="2"/>
      <c r="H64" s="2"/>
      <c r="I64" s="2"/>
      <c r="J64" s="2"/>
      <c r="K64" s="2"/>
      <c r="L64" s="2"/>
      <c r="M64" s="2"/>
      <c r="N64" s="2"/>
      <c r="O64" s="2"/>
      <c r="P64" s="2"/>
      <c r="Q64" s="2"/>
      <c r="R64" s="2"/>
      <c r="S64" s="2"/>
      <c r="T64" s="2"/>
      <c r="U64" s="2"/>
      <c r="V64" s="2"/>
      <c r="W64" s="2"/>
      <c r="X64" s="2"/>
      <c r="Y64" s="2"/>
      <c r="Z64" s="2"/>
    </row>
    <row r="65" spans="1:26">
      <c r="A65" s="26"/>
      <c r="B65" s="4" t="s">
        <v>600</v>
      </c>
      <c r="C65" s="26"/>
      <c r="D65" s="2"/>
      <c r="E65" s="2"/>
      <c r="F65" s="2"/>
      <c r="G65" s="2"/>
      <c r="H65" s="2"/>
      <c r="I65" s="2"/>
      <c r="J65" s="2"/>
      <c r="K65" s="2"/>
      <c r="L65" s="2"/>
      <c r="M65" s="2"/>
      <c r="N65" s="2"/>
      <c r="O65" s="2"/>
      <c r="P65" s="2"/>
      <c r="Q65" s="2"/>
      <c r="R65" s="2"/>
      <c r="S65" s="2"/>
      <c r="T65" s="2"/>
      <c r="U65" s="2"/>
      <c r="V65" s="2"/>
      <c r="W65" s="2"/>
      <c r="X65" s="2"/>
      <c r="Y65" s="2"/>
      <c r="Z65" s="2"/>
    </row>
    <row r="66" spans="1:26">
      <c r="A66" s="24" t="s">
        <v>601</v>
      </c>
      <c r="B66" s="4" t="s">
        <v>602</v>
      </c>
      <c r="C66" s="24" t="s">
        <v>603</v>
      </c>
      <c r="D66" s="2"/>
      <c r="E66" s="2"/>
      <c r="F66" s="2"/>
      <c r="G66" s="2"/>
      <c r="H66" s="2"/>
      <c r="I66" s="2"/>
      <c r="J66" s="2"/>
      <c r="K66" s="2"/>
      <c r="L66" s="2"/>
      <c r="M66" s="2"/>
      <c r="N66" s="2"/>
      <c r="O66" s="2"/>
      <c r="P66" s="2"/>
      <c r="Q66" s="2"/>
      <c r="R66" s="2"/>
      <c r="S66" s="2"/>
      <c r="T66" s="2"/>
      <c r="U66" s="2"/>
      <c r="V66" s="2"/>
      <c r="W66" s="2"/>
      <c r="X66" s="2"/>
      <c r="Y66" s="2"/>
      <c r="Z66" s="2"/>
    </row>
    <row r="67" spans="1:26">
      <c r="A67" s="25"/>
      <c r="B67" s="4" t="s">
        <v>604</v>
      </c>
      <c r="C67" s="25"/>
      <c r="D67" s="2"/>
      <c r="E67" s="2"/>
      <c r="F67" s="2"/>
      <c r="G67" s="2"/>
      <c r="H67" s="2"/>
      <c r="I67" s="2"/>
      <c r="J67" s="2"/>
      <c r="K67" s="2"/>
      <c r="L67" s="2"/>
      <c r="M67" s="2"/>
      <c r="N67" s="2"/>
      <c r="O67" s="2"/>
      <c r="P67" s="2"/>
      <c r="Q67" s="2"/>
      <c r="R67" s="2"/>
      <c r="S67" s="2"/>
      <c r="T67" s="2"/>
      <c r="U67" s="2"/>
      <c r="V67" s="2"/>
      <c r="W67" s="2"/>
      <c r="X67" s="2"/>
      <c r="Y67" s="2"/>
      <c r="Z67" s="2"/>
    </row>
    <row r="68" spans="1:26">
      <c r="A68" s="25"/>
      <c r="B68" s="4" t="s">
        <v>605</v>
      </c>
      <c r="C68" s="25"/>
      <c r="D68" s="2"/>
      <c r="E68" s="2"/>
      <c r="F68" s="2"/>
      <c r="G68" s="2"/>
      <c r="H68" s="2"/>
      <c r="I68" s="2"/>
      <c r="J68" s="2"/>
      <c r="K68" s="2"/>
      <c r="L68" s="2"/>
      <c r="M68" s="2"/>
      <c r="N68" s="2"/>
      <c r="O68" s="2"/>
      <c r="P68" s="2"/>
      <c r="Q68" s="2"/>
      <c r="R68" s="2"/>
      <c r="S68" s="2"/>
      <c r="T68" s="2"/>
      <c r="U68" s="2"/>
      <c r="V68" s="2"/>
      <c r="W68" s="2"/>
      <c r="X68" s="2"/>
      <c r="Y68" s="2"/>
      <c r="Z68" s="2"/>
    </row>
    <row r="69" spans="1:26">
      <c r="A69" s="25"/>
      <c r="B69" s="4" t="s">
        <v>606</v>
      </c>
      <c r="C69" s="25"/>
      <c r="D69" s="2"/>
      <c r="E69" s="2"/>
      <c r="F69" s="2"/>
      <c r="G69" s="2"/>
      <c r="H69" s="2"/>
      <c r="I69" s="2"/>
      <c r="J69" s="2"/>
      <c r="K69" s="2"/>
      <c r="L69" s="2"/>
      <c r="M69" s="2"/>
      <c r="N69" s="2"/>
      <c r="O69" s="2"/>
      <c r="P69" s="2"/>
      <c r="Q69" s="2"/>
      <c r="R69" s="2"/>
      <c r="S69" s="2"/>
      <c r="T69" s="2"/>
      <c r="U69" s="2"/>
      <c r="V69" s="2"/>
      <c r="W69" s="2"/>
      <c r="X69" s="2"/>
      <c r="Y69" s="2"/>
      <c r="Z69" s="2"/>
    </row>
    <row r="70" spans="1:26">
      <c r="A70" s="26"/>
      <c r="B70" s="4" t="s">
        <v>607</v>
      </c>
      <c r="C70" s="26"/>
      <c r="D70" s="2"/>
      <c r="E70" s="2"/>
      <c r="F70" s="2"/>
      <c r="G70" s="2"/>
      <c r="H70" s="2"/>
      <c r="I70" s="2"/>
      <c r="J70" s="2"/>
      <c r="K70" s="2"/>
      <c r="L70" s="2"/>
      <c r="M70" s="2"/>
      <c r="N70" s="2"/>
      <c r="O70" s="2"/>
      <c r="P70" s="2"/>
      <c r="Q70" s="2"/>
      <c r="R70" s="2"/>
      <c r="S70" s="2"/>
      <c r="T70" s="2"/>
      <c r="U70" s="2"/>
      <c r="V70" s="2"/>
      <c r="W70" s="2"/>
      <c r="X70" s="2"/>
      <c r="Y70" s="2"/>
      <c r="Z70" s="2"/>
    </row>
    <row r="71" spans="1:26">
      <c r="A71" s="34" t="s">
        <v>608</v>
      </c>
      <c r="B71" s="4" t="s">
        <v>609</v>
      </c>
      <c r="C71" s="24" t="s">
        <v>610</v>
      </c>
      <c r="D71" s="2"/>
      <c r="E71" s="2"/>
      <c r="F71" s="2"/>
      <c r="G71" s="2"/>
      <c r="H71" s="2"/>
      <c r="I71" s="2"/>
      <c r="J71" s="2"/>
      <c r="K71" s="2"/>
      <c r="L71" s="2"/>
      <c r="M71" s="2"/>
      <c r="N71" s="2"/>
      <c r="O71" s="2"/>
      <c r="P71" s="2"/>
      <c r="Q71" s="2"/>
      <c r="R71" s="2"/>
      <c r="S71" s="2"/>
      <c r="T71" s="2"/>
      <c r="U71" s="2"/>
      <c r="V71" s="2"/>
      <c r="W71" s="2"/>
      <c r="X71" s="2"/>
      <c r="Y71" s="2"/>
      <c r="Z71" s="2"/>
    </row>
    <row r="72" spans="1:26">
      <c r="A72" s="35"/>
      <c r="B72" s="4" t="s">
        <v>611</v>
      </c>
      <c r="C72" s="25"/>
      <c r="D72" s="2"/>
      <c r="E72" s="2"/>
      <c r="F72" s="2"/>
      <c r="G72" s="2"/>
      <c r="H72" s="2"/>
      <c r="I72" s="2"/>
      <c r="J72" s="2"/>
      <c r="K72" s="2"/>
      <c r="L72" s="2"/>
      <c r="M72" s="2"/>
      <c r="N72" s="2"/>
      <c r="O72" s="2"/>
      <c r="P72" s="2"/>
      <c r="Q72" s="2"/>
      <c r="R72" s="2"/>
      <c r="S72" s="2"/>
      <c r="T72" s="2"/>
      <c r="U72" s="2"/>
      <c r="V72" s="2"/>
      <c r="W72" s="2"/>
      <c r="X72" s="2"/>
      <c r="Y72" s="2"/>
      <c r="Z72" s="2"/>
    </row>
    <row r="73" spans="1:26">
      <c r="A73" s="35"/>
      <c r="B73" s="4" t="s">
        <v>612</v>
      </c>
      <c r="C73" s="25"/>
      <c r="D73" s="2"/>
      <c r="E73" s="2"/>
      <c r="F73" s="2"/>
      <c r="G73" s="2"/>
      <c r="H73" s="2"/>
      <c r="I73" s="2"/>
      <c r="J73" s="2"/>
      <c r="K73" s="2"/>
      <c r="L73" s="2"/>
      <c r="M73" s="2"/>
      <c r="N73" s="2"/>
      <c r="O73" s="2"/>
      <c r="P73" s="2"/>
      <c r="Q73" s="2"/>
      <c r="R73" s="2"/>
      <c r="S73" s="2"/>
      <c r="T73" s="2"/>
      <c r="U73" s="2"/>
      <c r="V73" s="2"/>
      <c r="W73" s="2"/>
      <c r="X73" s="2"/>
      <c r="Y73" s="2"/>
      <c r="Z73" s="2"/>
    </row>
    <row r="74" spans="1:26">
      <c r="A74" s="35"/>
      <c r="B74" s="4" t="s">
        <v>613</v>
      </c>
      <c r="C74" s="25"/>
      <c r="D74" s="2"/>
      <c r="E74" s="2"/>
      <c r="F74" s="2"/>
      <c r="G74" s="2"/>
      <c r="H74" s="2"/>
      <c r="I74" s="2"/>
      <c r="J74" s="2"/>
      <c r="K74" s="2"/>
      <c r="L74" s="2"/>
      <c r="M74" s="2"/>
      <c r="N74" s="2"/>
      <c r="O74" s="2"/>
      <c r="P74" s="2"/>
      <c r="Q74" s="2"/>
      <c r="R74" s="2"/>
      <c r="S74" s="2"/>
      <c r="T74" s="2"/>
      <c r="U74" s="2"/>
      <c r="V74" s="2"/>
      <c r="W74" s="2"/>
      <c r="X74" s="2"/>
      <c r="Y74" s="2"/>
      <c r="Z74" s="2"/>
    </row>
    <row r="75" spans="1:26">
      <c r="A75" s="36"/>
      <c r="B75" s="4" t="s">
        <v>614</v>
      </c>
      <c r="C75" s="26"/>
      <c r="D75" s="2"/>
      <c r="E75" s="2"/>
      <c r="F75" s="2"/>
      <c r="G75" s="2"/>
      <c r="H75" s="2"/>
      <c r="I75" s="2"/>
      <c r="J75" s="2"/>
      <c r="K75" s="2"/>
      <c r="L75" s="2"/>
      <c r="M75" s="2"/>
      <c r="N75" s="2"/>
      <c r="O75" s="2"/>
      <c r="P75" s="2"/>
      <c r="Q75" s="2"/>
      <c r="R75" s="2"/>
      <c r="S75" s="2"/>
      <c r="T75" s="2"/>
      <c r="U75" s="2"/>
      <c r="V75" s="2"/>
      <c r="W75" s="2"/>
      <c r="X75" s="2"/>
      <c r="Y75" s="2"/>
      <c r="Z75" s="2"/>
    </row>
    <row r="76" spans="1:26">
      <c r="A76" s="42" t="s">
        <v>615</v>
      </c>
      <c r="B76" s="4" t="s">
        <v>616</v>
      </c>
      <c r="C76" s="24" t="s">
        <v>617</v>
      </c>
      <c r="D76" s="2"/>
      <c r="E76" s="2"/>
      <c r="F76" s="2"/>
      <c r="G76" s="2"/>
      <c r="H76" s="2"/>
      <c r="I76" s="2"/>
      <c r="J76" s="2"/>
      <c r="K76" s="2"/>
      <c r="L76" s="2"/>
      <c r="M76" s="2"/>
      <c r="N76" s="2"/>
      <c r="O76" s="2"/>
      <c r="P76" s="2"/>
      <c r="Q76" s="2"/>
      <c r="R76" s="2"/>
      <c r="S76" s="2"/>
      <c r="T76" s="2"/>
      <c r="U76" s="2"/>
      <c r="V76" s="2"/>
      <c r="W76" s="2"/>
      <c r="X76" s="2"/>
      <c r="Y76" s="2"/>
      <c r="Z76" s="2"/>
    </row>
    <row r="77" spans="1:26">
      <c r="A77" s="37"/>
      <c r="B77" s="4" t="s">
        <v>618</v>
      </c>
      <c r="C77" s="26"/>
      <c r="D77" s="2"/>
      <c r="E77" s="2"/>
      <c r="F77" s="2"/>
      <c r="G77" s="2"/>
      <c r="H77" s="2"/>
      <c r="I77" s="2"/>
      <c r="J77" s="2"/>
      <c r="K77" s="2"/>
      <c r="L77" s="2"/>
      <c r="M77" s="2"/>
      <c r="N77" s="2"/>
      <c r="O77" s="2"/>
      <c r="P77" s="2"/>
      <c r="Q77" s="2"/>
      <c r="R77" s="2"/>
      <c r="S77" s="2"/>
      <c r="T77" s="2"/>
      <c r="U77" s="2"/>
      <c r="V77" s="2"/>
      <c r="W77" s="2"/>
      <c r="X77" s="2"/>
      <c r="Y77" s="2"/>
      <c r="Z77" s="2"/>
    </row>
    <row r="78" spans="1:26">
      <c r="A78" s="4"/>
      <c r="C78" s="4"/>
      <c r="D78" s="2"/>
      <c r="E78" s="2"/>
      <c r="F78" s="2"/>
      <c r="G78" s="2"/>
      <c r="H78" s="2"/>
      <c r="I78" s="2"/>
      <c r="J78" s="2"/>
      <c r="K78" s="2"/>
      <c r="L78" s="2"/>
      <c r="M78" s="2"/>
      <c r="N78" s="2"/>
      <c r="O78" s="2"/>
      <c r="P78" s="2"/>
      <c r="Q78" s="2"/>
      <c r="R78" s="2"/>
      <c r="S78" s="2"/>
      <c r="T78" s="2"/>
      <c r="U78" s="2"/>
      <c r="V78" s="2"/>
      <c r="W78" s="2"/>
      <c r="X78" s="2"/>
      <c r="Y78" s="2"/>
      <c r="Z78" s="2"/>
    </row>
    <row r="79" spans="1:26">
      <c r="A79" s="4"/>
      <c r="B79" s="4"/>
      <c r="C79" s="4"/>
      <c r="D79" s="2"/>
      <c r="E79" s="2"/>
      <c r="F79" s="2"/>
      <c r="G79" s="2"/>
      <c r="H79" s="2"/>
      <c r="I79" s="2"/>
      <c r="J79" s="2"/>
      <c r="K79" s="2"/>
      <c r="L79" s="2"/>
      <c r="M79" s="2"/>
      <c r="N79" s="2"/>
      <c r="O79" s="2"/>
      <c r="P79" s="2"/>
      <c r="Q79" s="2"/>
      <c r="R79" s="2"/>
      <c r="S79" s="2"/>
      <c r="T79" s="2"/>
      <c r="U79" s="2"/>
      <c r="V79" s="2"/>
      <c r="W79" s="2"/>
      <c r="X79" s="2"/>
      <c r="Y79" s="2"/>
      <c r="Z79" s="2"/>
    </row>
    <row r="80" spans="1:26">
      <c r="A80" s="4"/>
      <c r="B80" s="4"/>
      <c r="C80" s="4"/>
      <c r="D80" s="2"/>
      <c r="E80" s="2"/>
      <c r="F80" s="2"/>
      <c r="G80" s="2"/>
      <c r="H80" s="2"/>
      <c r="I80" s="2"/>
      <c r="J80" s="2"/>
      <c r="K80" s="2"/>
      <c r="L80" s="2"/>
      <c r="M80" s="2"/>
      <c r="N80" s="2"/>
      <c r="O80" s="2"/>
      <c r="P80" s="2"/>
      <c r="Q80" s="2"/>
      <c r="R80" s="2"/>
      <c r="S80" s="2"/>
      <c r="T80" s="2"/>
      <c r="U80" s="2"/>
      <c r="V80" s="2"/>
      <c r="W80" s="2"/>
      <c r="X80" s="2"/>
      <c r="Y80" s="2"/>
      <c r="Z80" s="2"/>
    </row>
    <row r="81" spans="1:26">
      <c r="A81" s="4"/>
      <c r="B81" s="4"/>
      <c r="C81" s="4"/>
      <c r="D81" s="2"/>
      <c r="E81" s="2"/>
      <c r="F81" s="2"/>
      <c r="G81" s="2"/>
      <c r="H81" s="2"/>
      <c r="I81" s="2"/>
      <c r="J81" s="2"/>
      <c r="K81" s="2"/>
      <c r="L81" s="2"/>
      <c r="M81" s="2"/>
      <c r="N81" s="2"/>
      <c r="O81" s="2"/>
      <c r="P81" s="2"/>
      <c r="Q81" s="2"/>
      <c r="R81" s="2"/>
      <c r="S81" s="2"/>
      <c r="T81" s="2"/>
      <c r="U81" s="2"/>
      <c r="V81" s="2"/>
      <c r="W81" s="2"/>
      <c r="X81" s="2"/>
      <c r="Y81" s="2"/>
      <c r="Z81" s="2"/>
    </row>
    <row r="82" spans="1:26">
      <c r="A82" s="4"/>
      <c r="B82" s="4"/>
      <c r="C82" s="4"/>
      <c r="D82" s="2"/>
      <c r="E82" s="2"/>
      <c r="F82" s="2"/>
      <c r="G82" s="2"/>
      <c r="H82" s="2"/>
      <c r="I82" s="2"/>
      <c r="J82" s="2"/>
      <c r="K82" s="2"/>
      <c r="L82" s="2"/>
      <c r="M82" s="2"/>
      <c r="N82" s="2"/>
      <c r="O82" s="2"/>
      <c r="P82" s="2"/>
      <c r="Q82" s="2"/>
      <c r="R82" s="2"/>
      <c r="S82" s="2"/>
      <c r="T82" s="2"/>
      <c r="U82" s="2"/>
      <c r="V82" s="2"/>
      <c r="W82" s="2"/>
      <c r="X82" s="2"/>
      <c r="Y82" s="2"/>
      <c r="Z82" s="2"/>
    </row>
    <row r="83" spans="1:26">
      <c r="A83" s="4"/>
      <c r="B83" s="4"/>
      <c r="C83" s="4"/>
      <c r="D83" s="2"/>
      <c r="E83" s="2"/>
      <c r="F83" s="2"/>
      <c r="G83" s="2"/>
      <c r="H83" s="2"/>
      <c r="I83" s="2"/>
      <c r="J83" s="2"/>
      <c r="K83" s="2"/>
      <c r="L83" s="2"/>
      <c r="M83" s="2"/>
      <c r="N83" s="2"/>
      <c r="O83" s="2"/>
      <c r="P83" s="2"/>
      <c r="Q83" s="2"/>
      <c r="R83" s="2"/>
      <c r="S83" s="2"/>
      <c r="T83" s="2"/>
      <c r="U83" s="2"/>
      <c r="V83" s="2"/>
      <c r="W83" s="2"/>
      <c r="X83" s="2"/>
      <c r="Y83" s="2"/>
      <c r="Z83" s="2"/>
    </row>
    <row r="84" spans="1:26">
      <c r="A84" s="4"/>
      <c r="B84" s="4"/>
      <c r="C84" s="4"/>
      <c r="D84" s="2"/>
      <c r="E84" s="2"/>
      <c r="F84" s="2"/>
      <c r="G84" s="2"/>
      <c r="H84" s="2"/>
      <c r="I84" s="2"/>
      <c r="J84" s="2"/>
      <c r="K84" s="2"/>
      <c r="L84" s="2"/>
      <c r="M84" s="2"/>
      <c r="N84" s="2"/>
      <c r="O84" s="2"/>
      <c r="P84" s="2"/>
      <c r="Q84" s="2"/>
      <c r="R84" s="2"/>
      <c r="S84" s="2"/>
      <c r="T84" s="2"/>
      <c r="U84" s="2"/>
      <c r="V84" s="2"/>
      <c r="W84" s="2"/>
      <c r="X84" s="2"/>
      <c r="Y84" s="2"/>
      <c r="Z84" s="2"/>
    </row>
    <row r="85" spans="1:26">
      <c r="A85" s="4"/>
      <c r="B85" s="4"/>
      <c r="C85" s="4"/>
      <c r="D85" s="2"/>
      <c r="E85" s="2"/>
      <c r="F85" s="2"/>
      <c r="G85" s="2"/>
      <c r="H85" s="2"/>
      <c r="I85" s="2"/>
      <c r="J85" s="2"/>
      <c r="K85" s="2"/>
      <c r="L85" s="2"/>
      <c r="M85" s="2"/>
      <c r="N85" s="2"/>
      <c r="O85" s="2"/>
      <c r="P85" s="2"/>
      <c r="Q85" s="2"/>
      <c r="R85" s="2"/>
      <c r="S85" s="2"/>
      <c r="T85" s="2"/>
      <c r="U85" s="2"/>
      <c r="V85" s="2"/>
      <c r="W85" s="2"/>
      <c r="X85" s="2"/>
      <c r="Y85" s="2"/>
      <c r="Z85" s="2"/>
    </row>
    <row r="86" spans="1:26">
      <c r="A86" s="4"/>
      <c r="B86" s="4"/>
      <c r="C86" s="4"/>
      <c r="D86" s="2"/>
      <c r="E86" s="2"/>
      <c r="F86" s="2"/>
      <c r="G86" s="2"/>
      <c r="H86" s="2"/>
      <c r="I86" s="2"/>
      <c r="J86" s="2"/>
      <c r="K86" s="2"/>
      <c r="L86" s="2"/>
      <c r="M86" s="2"/>
      <c r="N86" s="2"/>
      <c r="O86" s="2"/>
      <c r="P86" s="2"/>
      <c r="Q86" s="2"/>
      <c r="R86" s="2"/>
      <c r="S86" s="2"/>
      <c r="T86" s="2"/>
      <c r="U86" s="2"/>
      <c r="V86" s="2"/>
      <c r="W86" s="2"/>
      <c r="X86" s="2"/>
      <c r="Y86" s="2"/>
      <c r="Z86" s="2"/>
    </row>
    <row r="87" spans="1:26">
      <c r="A87" s="4"/>
      <c r="B87" s="4"/>
      <c r="C87" s="4"/>
      <c r="D87" s="2"/>
      <c r="E87" s="2"/>
      <c r="F87" s="2"/>
      <c r="G87" s="2"/>
      <c r="H87" s="2"/>
      <c r="I87" s="2"/>
      <c r="J87" s="2"/>
      <c r="K87" s="2"/>
      <c r="L87" s="2"/>
      <c r="M87" s="2"/>
      <c r="N87" s="2"/>
      <c r="O87" s="2"/>
      <c r="P87" s="2"/>
      <c r="Q87" s="2"/>
      <c r="R87" s="2"/>
      <c r="S87" s="2"/>
      <c r="T87" s="2"/>
      <c r="U87" s="2"/>
      <c r="V87" s="2"/>
      <c r="W87" s="2"/>
      <c r="X87" s="2"/>
      <c r="Y87" s="2"/>
      <c r="Z87" s="2"/>
    </row>
    <row r="88" spans="1:26">
      <c r="A88" s="4"/>
      <c r="B88" s="4"/>
      <c r="C88" s="4"/>
      <c r="D88" s="2"/>
      <c r="E88" s="2"/>
      <c r="F88" s="2"/>
      <c r="G88" s="2"/>
      <c r="H88" s="2"/>
      <c r="I88" s="2"/>
      <c r="J88" s="2"/>
      <c r="K88" s="2"/>
      <c r="L88" s="2"/>
      <c r="M88" s="2"/>
      <c r="N88" s="2"/>
      <c r="O88" s="2"/>
      <c r="P88" s="2"/>
      <c r="Q88" s="2"/>
      <c r="R88" s="2"/>
      <c r="S88" s="2"/>
      <c r="T88" s="2"/>
      <c r="U88" s="2"/>
      <c r="V88" s="2"/>
      <c r="W88" s="2"/>
      <c r="X88" s="2"/>
      <c r="Y88" s="2"/>
      <c r="Z88" s="2"/>
    </row>
    <row r="89" spans="1:26">
      <c r="A89" s="4"/>
      <c r="B89" s="4"/>
      <c r="C89" s="4"/>
      <c r="D89" s="2"/>
      <c r="E89" s="2"/>
      <c r="F89" s="2"/>
      <c r="G89" s="2"/>
      <c r="H89" s="2"/>
      <c r="I89" s="2"/>
      <c r="J89" s="2"/>
      <c r="K89" s="2"/>
      <c r="L89" s="2"/>
      <c r="M89" s="2"/>
      <c r="N89" s="2"/>
      <c r="O89" s="2"/>
      <c r="P89" s="2"/>
      <c r="Q89" s="2"/>
      <c r="R89" s="2"/>
      <c r="S89" s="2"/>
      <c r="T89" s="2"/>
      <c r="U89" s="2"/>
      <c r="V89" s="2"/>
      <c r="W89" s="2"/>
      <c r="X89" s="2"/>
      <c r="Y89" s="2"/>
      <c r="Z89" s="2"/>
    </row>
    <row r="90" spans="1:26">
      <c r="A90" s="4"/>
      <c r="B90" s="4"/>
      <c r="C90" s="4"/>
      <c r="D90" s="2"/>
      <c r="E90" s="2"/>
      <c r="F90" s="2"/>
      <c r="G90" s="2"/>
      <c r="H90" s="2"/>
      <c r="I90" s="2"/>
      <c r="J90" s="2"/>
      <c r="K90" s="2"/>
      <c r="L90" s="2"/>
      <c r="M90" s="2"/>
      <c r="N90" s="2"/>
      <c r="O90" s="2"/>
      <c r="P90" s="2"/>
      <c r="Q90" s="2"/>
      <c r="R90" s="2"/>
      <c r="S90" s="2"/>
      <c r="T90" s="2"/>
      <c r="U90" s="2"/>
      <c r="V90" s="2"/>
      <c r="W90" s="2"/>
      <c r="X90" s="2"/>
      <c r="Y90" s="2"/>
      <c r="Z90" s="2"/>
    </row>
    <row r="91" spans="1:26">
      <c r="A91" s="4"/>
      <c r="B91" s="4"/>
      <c r="C91" s="4"/>
      <c r="D91" s="2"/>
      <c r="E91" s="2"/>
      <c r="F91" s="2"/>
      <c r="G91" s="2"/>
      <c r="H91" s="2"/>
      <c r="I91" s="2"/>
      <c r="J91" s="2"/>
      <c r="K91" s="2"/>
      <c r="L91" s="2"/>
      <c r="M91" s="2"/>
      <c r="N91" s="2"/>
      <c r="O91" s="2"/>
      <c r="P91" s="2"/>
      <c r="Q91" s="2"/>
      <c r="R91" s="2"/>
      <c r="S91" s="2"/>
      <c r="T91" s="2"/>
      <c r="U91" s="2"/>
      <c r="V91" s="2"/>
      <c r="W91" s="2"/>
      <c r="X91" s="2"/>
      <c r="Y91" s="2"/>
      <c r="Z91" s="2"/>
    </row>
    <row r="92" spans="1:26">
      <c r="A92" s="4"/>
      <c r="B92" s="4"/>
      <c r="C92" s="4"/>
      <c r="D92" s="2"/>
      <c r="E92" s="2"/>
      <c r="F92" s="2"/>
      <c r="G92" s="2"/>
      <c r="H92" s="2"/>
      <c r="I92" s="2"/>
      <c r="J92" s="2"/>
      <c r="K92" s="2"/>
      <c r="L92" s="2"/>
      <c r="M92" s="2"/>
      <c r="N92" s="2"/>
      <c r="O92" s="2"/>
      <c r="P92" s="2"/>
      <c r="Q92" s="2"/>
      <c r="R92" s="2"/>
      <c r="S92" s="2"/>
      <c r="T92" s="2"/>
      <c r="U92" s="2"/>
      <c r="V92" s="2"/>
      <c r="W92" s="2"/>
      <c r="X92" s="2"/>
      <c r="Y92" s="2"/>
      <c r="Z92" s="2"/>
    </row>
    <row r="93" spans="1:26">
      <c r="A93" s="4"/>
      <c r="B93" s="4"/>
      <c r="C93" s="4"/>
      <c r="D93" s="2"/>
      <c r="E93" s="2"/>
      <c r="F93" s="2"/>
      <c r="G93" s="2"/>
      <c r="H93" s="2"/>
      <c r="I93" s="2"/>
      <c r="J93" s="2"/>
      <c r="K93" s="2"/>
      <c r="L93" s="2"/>
      <c r="M93" s="2"/>
      <c r="N93" s="2"/>
      <c r="O93" s="2"/>
      <c r="P93" s="2"/>
      <c r="Q93" s="2"/>
      <c r="R93" s="2"/>
      <c r="S93" s="2"/>
      <c r="T93" s="2"/>
      <c r="U93" s="2"/>
      <c r="V93" s="2"/>
      <c r="W93" s="2"/>
      <c r="X93" s="2"/>
      <c r="Y93" s="2"/>
      <c r="Z93" s="2"/>
    </row>
    <row r="94" spans="1:26">
      <c r="A94" s="4"/>
      <c r="B94" s="4"/>
      <c r="C94" s="4"/>
      <c r="D94" s="2"/>
      <c r="E94" s="2"/>
      <c r="F94" s="2"/>
      <c r="G94" s="2"/>
      <c r="H94" s="2"/>
      <c r="I94" s="2"/>
      <c r="J94" s="2"/>
      <c r="K94" s="2"/>
      <c r="L94" s="2"/>
      <c r="M94" s="2"/>
      <c r="N94" s="2"/>
      <c r="O94" s="2"/>
      <c r="P94" s="2"/>
      <c r="Q94" s="2"/>
      <c r="R94" s="2"/>
      <c r="S94" s="2"/>
      <c r="T94" s="2"/>
      <c r="U94" s="2"/>
      <c r="V94" s="2"/>
      <c r="W94" s="2"/>
      <c r="X94" s="2"/>
      <c r="Y94" s="2"/>
      <c r="Z94" s="2"/>
    </row>
    <row r="95" spans="1:26">
      <c r="A95" s="4"/>
      <c r="B95" s="4"/>
      <c r="C95" s="4"/>
      <c r="D95" s="2"/>
      <c r="E95" s="2"/>
      <c r="F95" s="2"/>
      <c r="G95" s="2"/>
      <c r="H95" s="2"/>
      <c r="I95" s="2"/>
      <c r="J95" s="2"/>
      <c r="K95" s="2"/>
      <c r="L95" s="2"/>
      <c r="M95" s="2"/>
      <c r="N95" s="2"/>
      <c r="O95" s="2"/>
      <c r="P95" s="2"/>
      <c r="Q95" s="2"/>
      <c r="R95" s="2"/>
      <c r="S95" s="2"/>
      <c r="T95" s="2"/>
      <c r="U95" s="2"/>
      <c r="V95" s="2"/>
      <c r="W95" s="2"/>
      <c r="X95" s="2"/>
      <c r="Y95" s="2"/>
      <c r="Z95" s="2"/>
    </row>
    <row r="96" spans="1:26">
      <c r="A96" s="4"/>
      <c r="B96" s="4"/>
      <c r="C96" s="4"/>
      <c r="D96" s="2"/>
      <c r="E96" s="2"/>
      <c r="F96" s="2"/>
      <c r="G96" s="2"/>
      <c r="H96" s="2"/>
      <c r="I96" s="2"/>
      <c r="J96" s="2"/>
      <c r="K96" s="2"/>
      <c r="L96" s="2"/>
      <c r="M96" s="2"/>
      <c r="N96" s="2"/>
      <c r="O96" s="2"/>
      <c r="P96" s="2"/>
      <c r="Q96" s="2"/>
      <c r="R96" s="2"/>
      <c r="S96" s="2"/>
      <c r="T96" s="2"/>
      <c r="U96" s="2"/>
      <c r="V96" s="2"/>
      <c r="W96" s="2"/>
      <c r="X96" s="2"/>
      <c r="Y96" s="2"/>
      <c r="Z96" s="2"/>
    </row>
    <row r="97" spans="1:26">
      <c r="A97" s="4"/>
      <c r="B97" s="4"/>
      <c r="C97" s="4"/>
      <c r="D97" s="2"/>
      <c r="E97" s="2"/>
      <c r="F97" s="2"/>
      <c r="G97" s="2"/>
      <c r="H97" s="2"/>
      <c r="I97" s="2"/>
      <c r="J97" s="2"/>
      <c r="K97" s="2"/>
      <c r="L97" s="2"/>
      <c r="M97" s="2"/>
      <c r="N97" s="2"/>
      <c r="O97" s="2"/>
      <c r="P97" s="2"/>
      <c r="Q97" s="2"/>
      <c r="R97" s="2"/>
      <c r="S97" s="2"/>
      <c r="T97" s="2"/>
      <c r="U97" s="2"/>
      <c r="V97" s="2"/>
      <c r="W97" s="2"/>
      <c r="X97" s="2"/>
      <c r="Y97" s="2"/>
      <c r="Z97" s="2"/>
    </row>
    <row r="98" spans="1:26">
      <c r="A98" s="4"/>
      <c r="B98" s="4"/>
      <c r="C98" s="4"/>
      <c r="D98" s="2"/>
      <c r="E98" s="2"/>
      <c r="F98" s="2"/>
      <c r="G98" s="2"/>
      <c r="H98" s="2"/>
      <c r="I98" s="2"/>
      <c r="J98" s="2"/>
      <c r="K98" s="2"/>
      <c r="L98" s="2"/>
      <c r="M98" s="2"/>
      <c r="N98" s="2"/>
      <c r="O98" s="2"/>
      <c r="P98" s="2"/>
      <c r="Q98" s="2"/>
      <c r="R98" s="2"/>
      <c r="S98" s="2"/>
      <c r="T98" s="2"/>
      <c r="U98" s="2"/>
      <c r="V98" s="2"/>
      <c r="W98" s="2"/>
      <c r="X98" s="2"/>
      <c r="Y98" s="2"/>
      <c r="Z98" s="2"/>
    </row>
    <row r="99" spans="1:26">
      <c r="A99" s="4"/>
      <c r="B99" s="4"/>
      <c r="C99" s="4"/>
      <c r="D99" s="2"/>
      <c r="E99" s="2"/>
      <c r="F99" s="2"/>
      <c r="G99" s="2"/>
      <c r="H99" s="2"/>
      <c r="I99" s="2"/>
      <c r="J99" s="2"/>
      <c r="K99" s="2"/>
      <c r="L99" s="2"/>
      <c r="M99" s="2"/>
      <c r="N99" s="2"/>
      <c r="O99" s="2"/>
      <c r="P99" s="2"/>
      <c r="Q99" s="2"/>
      <c r="R99" s="2"/>
      <c r="S99" s="2"/>
      <c r="T99" s="2"/>
      <c r="U99" s="2"/>
      <c r="V99" s="2"/>
      <c r="W99" s="2"/>
      <c r="X99" s="2"/>
      <c r="Y99" s="2"/>
      <c r="Z99" s="2"/>
    </row>
    <row r="100" spans="1:26">
      <c r="A100" s="4"/>
      <c r="B100" s="4"/>
      <c r="C100" s="4"/>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4"/>
      <c r="B101" s="4"/>
      <c r="C101" s="4"/>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4"/>
      <c r="B102" s="4"/>
      <c r="C102" s="4"/>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4"/>
      <c r="B103" s="4"/>
      <c r="C103" s="4"/>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4"/>
      <c r="B104" s="4"/>
      <c r="C104" s="4"/>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4"/>
      <c r="B105" s="4"/>
      <c r="C105" s="4"/>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4"/>
      <c r="B106" s="4"/>
      <c r="C106" s="4"/>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4"/>
      <c r="B107" s="4"/>
      <c r="C107" s="4"/>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4"/>
      <c r="B108" s="4"/>
      <c r="C108" s="4"/>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4"/>
      <c r="B109" s="4"/>
      <c r="C109" s="4"/>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4"/>
      <c r="B110" s="4"/>
      <c r="C110" s="4"/>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4"/>
      <c r="B111" s="4"/>
      <c r="C111" s="4"/>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4"/>
      <c r="B112" s="4"/>
      <c r="C112" s="4"/>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4"/>
      <c r="B113" s="4"/>
      <c r="C113" s="4"/>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4"/>
      <c r="B114" s="4"/>
      <c r="C114" s="4"/>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4"/>
      <c r="B115" s="4"/>
      <c r="C115" s="4"/>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4"/>
      <c r="B116" s="4"/>
      <c r="C116" s="4"/>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4"/>
      <c r="B117" s="4"/>
      <c r="C117" s="4"/>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4"/>
      <c r="B118" s="4"/>
      <c r="C118" s="4"/>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4"/>
      <c r="B119" s="4"/>
      <c r="C119" s="4"/>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4"/>
      <c r="B120" s="4"/>
      <c r="C120" s="4"/>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4"/>
      <c r="B121" s="4"/>
      <c r="C121" s="4"/>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4"/>
      <c r="B122" s="4"/>
      <c r="C122" s="4"/>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4"/>
      <c r="B123" s="4"/>
      <c r="C123" s="4"/>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4"/>
      <c r="B124" s="4"/>
      <c r="C124" s="4"/>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4"/>
      <c r="B125" s="4"/>
      <c r="C125" s="4"/>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4"/>
      <c r="B126" s="4"/>
      <c r="C126" s="4"/>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4"/>
      <c r="B127" s="4"/>
      <c r="C127" s="4"/>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4"/>
      <c r="B128" s="4"/>
      <c r="C128" s="4"/>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4"/>
      <c r="B129" s="4"/>
      <c r="C129" s="4"/>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4"/>
      <c r="B130" s="4"/>
      <c r="C130" s="4"/>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4"/>
      <c r="B131" s="4"/>
      <c r="C131" s="4"/>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4"/>
      <c r="B132" s="4"/>
      <c r="C132" s="4"/>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4"/>
      <c r="B133" s="4"/>
      <c r="C133" s="4"/>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4"/>
      <c r="B134" s="4"/>
      <c r="C134" s="4"/>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4"/>
      <c r="B135" s="4"/>
      <c r="C135" s="4"/>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4"/>
      <c r="B136" s="4"/>
      <c r="C136" s="4"/>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4"/>
      <c r="B137" s="4"/>
      <c r="C137" s="4"/>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4"/>
      <c r="B138" s="4"/>
      <c r="C138" s="4"/>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4"/>
      <c r="B139" s="4"/>
      <c r="C139" s="4"/>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4"/>
      <c r="B140" s="4"/>
      <c r="C140" s="4"/>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4"/>
      <c r="B141" s="4"/>
      <c r="C141" s="4"/>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4"/>
      <c r="B142" s="4"/>
      <c r="C142" s="4"/>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4"/>
      <c r="B143" s="4"/>
      <c r="C143" s="4"/>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4"/>
      <c r="B144" s="4"/>
      <c r="C144" s="4"/>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4"/>
      <c r="B145" s="4"/>
      <c r="C145" s="4"/>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4"/>
      <c r="B146" s="4"/>
      <c r="C146" s="4"/>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4"/>
      <c r="B147" s="4"/>
      <c r="C147" s="4"/>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4"/>
      <c r="B148" s="4"/>
      <c r="C148" s="4"/>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4"/>
      <c r="B149" s="4"/>
      <c r="C149" s="4"/>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4"/>
      <c r="B150" s="4"/>
      <c r="C150" s="4"/>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4"/>
      <c r="B151" s="4"/>
      <c r="C151" s="4"/>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4"/>
      <c r="B152" s="4"/>
      <c r="C152" s="4"/>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4"/>
      <c r="B153" s="4"/>
      <c r="C153" s="4"/>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4"/>
      <c r="B154" s="4"/>
      <c r="C154" s="4"/>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4"/>
      <c r="B155" s="4"/>
      <c r="C155" s="4"/>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4"/>
      <c r="B156" s="4"/>
      <c r="C156" s="4"/>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4"/>
      <c r="B157" s="4"/>
      <c r="C157" s="4"/>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4"/>
      <c r="B158" s="4"/>
      <c r="C158" s="4"/>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4"/>
      <c r="B159" s="4"/>
      <c r="C159" s="4"/>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4"/>
      <c r="B160" s="4"/>
      <c r="C160" s="4"/>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4"/>
      <c r="B161" s="4"/>
      <c r="C161" s="4"/>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4"/>
      <c r="B162" s="4"/>
      <c r="C162" s="4"/>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4"/>
      <c r="B163" s="4"/>
      <c r="C163" s="4"/>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4"/>
      <c r="B164" s="4"/>
      <c r="C164" s="4"/>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4"/>
      <c r="B165" s="4"/>
      <c r="C165" s="4"/>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4"/>
      <c r="B166" s="4"/>
      <c r="C166" s="4"/>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4"/>
      <c r="B167" s="4"/>
      <c r="C167" s="4"/>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4"/>
      <c r="B168" s="4"/>
      <c r="C168" s="4"/>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4"/>
      <c r="B169" s="4"/>
      <c r="C169" s="4"/>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4"/>
      <c r="B170" s="4"/>
      <c r="C170" s="4"/>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4"/>
      <c r="B171" s="4"/>
      <c r="C171" s="4"/>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4"/>
      <c r="B172" s="4"/>
      <c r="C172" s="4"/>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4"/>
      <c r="B173" s="4"/>
      <c r="C173" s="4"/>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4"/>
      <c r="B174" s="4"/>
      <c r="C174" s="4"/>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4"/>
      <c r="B175" s="4"/>
      <c r="C175" s="4"/>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4"/>
      <c r="B176" s="4"/>
      <c r="C176" s="4"/>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4"/>
      <c r="B177" s="4"/>
      <c r="C177" s="4"/>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4"/>
      <c r="B178" s="4"/>
      <c r="C178" s="4"/>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4"/>
      <c r="B179" s="4"/>
      <c r="C179" s="4"/>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4"/>
      <c r="B180" s="4"/>
      <c r="C180" s="4"/>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4"/>
      <c r="B181" s="4"/>
      <c r="C181" s="4"/>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4"/>
      <c r="B182" s="4"/>
      <c r="C182" s="4"/>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4"/>
      <c r="B183" s="4"/>
      <c r="C183" s="4"/>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4"/>
      <c r="B184" s="4"/>
      <c r="C184" s="4"/>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4"/>
      <c r="B185" s="4"/>
      <c r="C185" s="4"/>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4"/>
      <c r="B186" s="4"/>
      <c r="C186" s="4"/>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4"/>
      <c r="B187" s="4"/>
      <c r="C187" s="4"/>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4"/>
      <c r="B188" s="4"/>
      <c r="C188" s="4"/>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4"/>
      <c r="B189" s="4"/>
      <c r="C189" s="4"/>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4"/>
      <c r="B190" s="4"/>
      <c r="C190" s="4"/>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4"/>
      <c r="B191" s="4"/>
      <c r="C191" s="4"/>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4"/>
      <c r="B192" s="4"/>
      <c r="C192" s="4"/>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4"/>
      <c r="B193" s="4"/>
      <c r="C193" s="4"/>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4"/>
      <c r="B194" s="4"/>
      <c r="C194" s="4"/>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4"/>
      <c r="B195" s="4"/>
      <c r="C195" s="4"/>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4"/>
      <c r="B196" s="4"/>
      <c r="C196" s="4"/>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4"/>
      <c r="B197" s="4"/>
      <c r="C197" s="4"/>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4"/>
      <c r="B198" s="4"/>
      <c r="C198" s="4"/>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4"/>
      <c r="B199" s="4"/>
      <c r="C199" s="4"/>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4"/>
      <c r="B200" s="4"/>
      <c r="C200" s="4"/>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4"/>
      <c r="B201" s="4"/>
      <c r="C201" s="4"/>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4"/>
      <c r="B202" s="4"/>
      <c r="C202" s="4"/>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4"/>
      <c r="B203" s="4"/>
      <c r="C203" s="4"/>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4"/>
      <c r="B204" s="4"/>
      <c r="C204" s="4"/>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4"/>
      <c r="B205" s="4"/>
      <c r="C205" s="4"/>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4"/>
      <c r="B206" s="4"/>
      <c r="C206" s="4"/>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4"/>
      <c r="B207" s="4"/>
      <c r="C207" s="4"/>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4"/>
      <c r="B208" s="4"/>
      <c r="C208" s="4"/>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4"/>
      <c r="B209" s="4"/>
      <c r="C209" s="4"/>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4"/>
      <c r="B210" s="4"/>
      <c r="C210" s="4"/>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4"/>
      <c r="B211" s="4"/>
      <c r="C211" s="4"/>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4"/>
      <c r="B212" s="4"/>
      <c r="C212" s="4"/>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4"/>
      <c r="B213" s="4"/>
      <c r="C213" s="4"/>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4"/>
      <c r="B214" s="4"/>
      <c r="C214" s="4"/>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4"/>
      <c r="B215" s="4"/>
      <c r="C215" s="4"/>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4"/>
      <c r="B216" s="4"/>
      <c r="C216" s="4"/>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4"/>
      <c r="B217" s="4"/>
      <c r="C217" s="4"/>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4"/>
      <c r="B218" s="4"/>
      <c r="C218" s="4"/>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4"/>
      <c r="B219" s="4"/>
      <c r="C219" s="4"/>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4"/>
      <c r="B220" s="4"/>
      <c r="C220" s="4"/>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4"/>
      <c r="B221" s="4"/>
      <c r="C221" s="4"/>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4"/>
      <c r="B222" s="4"/>
      <c r="C222" s="4"/>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4"/>
      <c r="B223" s="4"/>
      <c r="C223" s="4"/>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4"/>
      <c r="B224" s="4"/>
      <c r="C224" s="4"/>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4"/>
      <c r="B225" s="4"/>
      <c r="C225" s="4"/>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4"/>
      <c r="B226" s="4"/>
      <c r="C226" s="4"/>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4"/>
      <c r="B227" s="4"/>
      <c r="C227" s="4"/>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4"/>
      <c r="B228" s="4"/>
      <c r="C228" s="4"/>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4"/>
      <c r="B229" s="4"/>
      <c r="C229" s="4"/>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4"/>
      <c r="B230" s="4"/>
      <c r="C230" s="4"/>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4"/>
      <c r="B231" s="4"/>
      <c r="C231" s="4"/>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4"/>
      <c r="B232" s="4"/>
      <c r="C232" s="4"/>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4"/>
      <c r="B233" s="4"/>
      <c r="C233" s="4"/>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4"/>
      <c r="B234" s="4"/>
      <c r="C234" s="4"/>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4"/>
      <c r="B235" s="4"/>
      <c r="C235" s="4"/>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4"/>
      <c r="B236" s="4"/>
      <c r="C236" s="4"/>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4"/>
      <c r="B237" s="4"/>
      <c r="C237" s="4"/>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4"/>
      <c r="B238" s="4"/>
      <c r="C238" s="4"/>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4"/>
      <c r="B239" s="4"/>
      <c r="C239" s="4"/>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4"/>
      <c r="B240" s="4"/>
      <c r="C240" s="4"/>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4"/>
      <c r="B241" s="4"/>
      <c r="C241" s="4"/>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4"/>
      <c r="B242" s="4"/>
      <c r="C242" s="4"/>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4"/>
      <c r="B243" s="4"/>
      <c r="C243" s="4"/>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4"/>
      <c r="B244" s="4"/>
      <c r="C244" s="4"/>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4"/>
      <c r="B245" s="4"/>
      <c r="C245" s="4"/>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4"/>
      <c r="B246" s="4"/>
      <c r="C246" s="4"/>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4"/>
      <c r="B247" s="4"/>
      <c r="C247" s="4"/>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4"/>
      <c r="B248" s="4"/>
      <c r="C248" s="4"/>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4"/>
      <c r="B249" s="4"/>
      <c r="C249" s="4"/>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4"/>
      <c r="B250" s="4"/>
      <c r="C250" s="4"/>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4"/>
      <c r="B251" s="4"/>
      <c r="C251" s="4"/>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4"/>
      <c r="B252" s="4"/>
      <c r="C252" s="4"/>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4"/>
      <c r="B253" s="4"/>
      <c r="C253" s="4"/>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4"/>
      <c r="B254" s="4"/>
      <c r="C254" s="4"/>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4"/>
      <c r="B255" s="4"/>
      <c r="C255" s="4"/>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4"/>
      <c r="B256" s="4"/>
      <c r="C256" s="4"/>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4"/>
      <c r="B257" s="4"/>
      <c r="C257" s="4"/>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4"/>
      <c r="B258" s="4"/>
      <c r="C258" s="4"/>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4"/>
      <c r="B259" s="4"/>
      <c r="C259" s="4"/>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4"/>
      <c r="B260" s="4"/>
      <c r="C260" s="4"/>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4"/>
      <c r="B261" s="4"/>
      <c r="C261" s="4"/>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4"/>
      <c r="B262" s="4"/>
      <c r="C262" s="4"/>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4"/>
      <c r="B263" s="4"/>
      <c r="C263" s="4"/>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4"/>
      <c r="B264" s="4"/>
      <c r="C264" s="4"/>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4"/>
      <c r="B265" s="4"/>
      <c r="C265" s="4"/>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4"/>
      <c r="B266" s="4"/>
      <c r="C266" s="4"/>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4"/>
      <c r="B267" s="4"/>
      <c r="C267" s="4"/>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4"/>
      <c r="B268" s="4"/>
      <c r="C268" s="4"/>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4"/>
      <c r="B269" s="4"/>
      <c r="C269" s="4"/>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4"/>
      <c r="B270" s="4"/>
      <c r="C270" s="4"/>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4"/>
      <c r="B271" s="4"/>
      <c r="C271" s="4"/>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4"/>
      <c r="B272" s="4"/>
      <c r="C272" s="4"/>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4"/>
      <c r="B273" s="4"/>
      <c r="C273" s="4"/>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4"/>
      <c r="B274" s="4"/>
      <c r="C274" s="4"/>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4"/>
      <c r="B275" s="4"/>
      <c r="C275" s="4"/>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4"/>
      <c r="B276" s="4"/>
      <c r="C276" s="4"/>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4"/>
      <c r="B277" s="4"/>
      <c r="C277" s="4"/>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4"/>
      <c r="B278" s="4"/>
      <c r="C278" s="4"/>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4"/>
      <c r="B279" s="4"/>
      <c r="C279" s="4"/>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4"/>
      <c r="B280" s="4"/>
      <c r="C280" s="4"/>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4"/>
      <c r="B281" s="4"/>
      <c r="C281" s="4"/>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4"/>
      <c r="B282" s="4"/>
      <c r="C282" s="4"/>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4"/>
      <c r="B283" s="4"/>
      <c r="C283" s="4"/>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4"/>
      <c r="B284" s="4"/>
      <c r="C284" s="4"/>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4"/>
      <c r="B285" s="4"/>
      <c r="C285" s="4"/>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4"/>
      <c r="B286" s="4"/>
      <c r="C286" s="4"/>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4"/>
      <c r="B287" s="4"/>
      <c r="C287" s="4"/>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4"/>
      <c r="B288" s="4"/>
      <c r="C288" s="4"/>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4"/>
      <c r="B289" s="4"/>
      <c r="C289" s="4"/>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4"/>
      <c r="B290" s="4"/>
      <c r="C290" s="4"/>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4"/>
      <c r="B291" s="4"/>
      <c r="C291" s="4"/>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4"/>
      <c r="B292" s="4"/>
      <c r="C292" s="4"/>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4"/>
      <c r="B293" s="4"/>
      <c r="C293" s="4"/>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4"/>
      <c r="B294" s="4"/>
      <c r="C294" s="4"/>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4"/>
      <c r="B295" s="4"/>
      <c r="C295" s="4"/>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4"/>
      <c r="B296" s="4"/>
      <c r="C296" s="4"/>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4"/>
      <c r="B297" s="4"/>
      <c r="C297" s="4"/>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4"/>
      <c r="B298" s="4"/>
      <c r="C298" s="4"/>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4"/>
      <c r="B299" s="4"/>
      <c r="C299" s="4"/>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4"/>
      <c r="B300" s="4"/>
      <c r="C300" s="4"/>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4"/>
      <c r="B301" s="4"/>
      <c r="C301" s="4"/>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4"/>
      <c r="B302" s="4"/>
      <c r="C302" s="4"/>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4"/>
      <c r="B303" s="4"/>
      <c r="C303" s="4"/>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4"/>
      <c r="B304" s="4"/>
      <c r="C304" s="4"/>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4"/>
      <c r="B305" s="4"/>
      <c r="C305" s="4"/>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4"/>
      <c r="B306" s="4"/>
      <c r="C306" s="4"/>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4"/>
      <c r="B307" s="4"/>
      <c r="C307" s="4"/>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4"/>
      <c r="B308" s="4"/>
      <c r="C308" s="4"/>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4"/>
      <c r="B309" s="4"/>
      <c r="C309" s="4"/>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4"/>
      <c r="B310" s="4"/>
      <c r="C310" s="4"/>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4"/>
      <c r="B311" s="4"/>
      <c r="C311" s="4"/>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4"/>
      <c r="B312" s="4"/>
      <c r="C312" s="4"/>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4"/>
      <c r="B313" s="4"/>
      <c r="C313" s="4"/>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4"/>
      <c r="B314" s="4"/>
      <c r="C314" s="4"/>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4"/>
      <c r="B315" s="4"/>
      <c r="C315" s="4"/>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4"/>
      <c r="B316" s="4"/>
      <c r="C316" s="4"/>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4"/>
      <c r="B317" s="4"/>
      <c r="C317" s="4"/>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4"/>
      <c r="B318" s="4"/>
      <c r="C318" s="4"/>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4"/>
      <c r="B319" s="4"/>
      <c r="C319" s="4"/>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4"/>
      <c r="B320" s="4"/>
      <c r="C320" s="4"/>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4"/>
      <c r="B321" s="4"/>
      <c r="C321" s="4"/>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4"/>
      <c r="B322" s="4"/>
      <c r="C322" s="4"/>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4"/>
      <c r="B323" s="4"/>
      <c r="C323" s="4"/>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4"/>
      <c r="B324" s="4"/>
      <c r="C324" s="4"/>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4"/>
      <c r="B325" s="4"/>
      <c r="C325" s="4"/>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4"/>
      <c r="B326" s="4"/>
      <c r="C326" s="4"/>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4"/>
      <c r="B327" s="4"/>
      <c r="C327" s="4"/>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4"/>
      <c r="B328" s="4"/>
      <c r="C328" s="4"/>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4"/>
      <c r="B329" s="4"/>
      <c r="C329" s="4"/>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4"/>
      <c r="B330" s="4"/>
      <c r="C330" s="4"/>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4"/>
      <c r="B331" s="4"/>
      <c r="C331" s="4"/>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4"/>
      <c r="B332" s="4"/>
      <c r="C332" s="4"/>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4"/>
      <c r="B333" s="4"/>
      <c r="C333" s="4"/>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4"/>
      <c r="B334" s="4"/>
      <c r="C334" s="4"/>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4"/>
      <c r="B335" s="4"/>
      <c r="C335" s="4"/>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4"/>
      <c r="B336" s="4"/>
      <c r="C336" s="4"/>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4"/>
      <c r="B337" s="4"/>
      <c r="C337" s="4"/>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4"/>
      <c r="B338" s="4"/>
      <c r="C338" s="4"/>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4"/>
      <c r="B339" s="4"/>
      <c r="C339" s="4"/>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4"/>
      <c r="B340" s="4"/>
      <c r="C340" s="4"/>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4"/>
      <c r="B341" s="4"/>
      <c r="C341" s="4"/>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4"/>
      <c r="B342" s="4"/>
      <c r="C342" s="4"/>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4"/>
      <c r="B343" s="4"/>
      <c r="C343" s="4"/>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4"/>
      <c r="B344" s="4"/>
      <c r="C344" s="4"/>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4"/>
      <c r="B345" s="4"/>
      <c r="C345" s="4"/>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4"/>
      <c r="B346" s="4"/>
      <c r="C346" s="4"/>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4"/>
      <c r="B347" s="4"/>
      <c r="C347" s="4"/>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4"/>
      <c r="B348" s="4"/>
      <c r="C348" s="4"/>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4"/>
      <c r="B349" s="4"/>
      <c r="C349" s="4"/>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4"/>
      <c r="B350" s="4"/>
      <c r="C350" s="4"/>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4"/>
      <c r="B351" s="4"/>
      <c r="C351" s="4"/>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4"/>
      <c r="B352" s="4"/>
      <c r="C352" s="4"/>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4"/>
      <c r="B353" s="4"/>
      <c r="C353" s="4"/>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4"/>
      <c r="B354" s="4"/>
      <c r="C354" s="4"/>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4"/>
      <c r="B355" s="4"/>
      <c r="C355" s="4"/>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4"/>
      <c r="B356" s="4"/>
      <c r="C356" s="4"/>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4"/>
      <c r="B357" s="4"/>
      <c r="C357" s="4"/>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4"/>
      <c r="B358" s="4"/>
      <c r="C358" s="4"/>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4"/>
      <c r="B359" s="4"/>
      <c r="C359" s="4"/>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4"/>
      <c r="B360" s="4"/>
      <c r="C360" s="4"/>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4"/>
      <c r="B361" s="4"/>
      <c r="C361" s="4"/>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4"/>
      <c r="B362" s="4"/>
      <c r="C362" s="4"/>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4"/>
      <c r="B363" s="4"/>
      <c r="C363" s="4"/>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4"/>
      <c r="B364" s="4"/>
      <c r="C364" s="4"/>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4"/>
      <c r="B365" s="4"/>
      <c r="C365" s="4"/>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4"/>
      <c r="B366" s="4"/>
      <c r="C366" s="4"/>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4"/>
      <c r="B367" s="4"/>
      <c r="C367" s="4"/>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4"/>
      <c r="B368" s="4"/>
      <c r="C368" s="4"/>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4"/>
      <c r="B369" s="4"/>
      <c r="C369" s="4"/>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4"/>
      <c r="B370" s="4"/>
      <c r="C370" s="4"/>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4"/>
      <c r="B371" s="4"/>
      <c r="C371" s="4"/>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4"/>
      <c r="B372" s="4"/>
      <c r="C372" s="4"/>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4"/>
      <c r="B373" s="4"/>
      <c r="C373" s="4"/>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4"/>
      <c r="B374" s="4"/>
      <c r="C374" s="4"/>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4"/>
      <c r="B375" s="4"/>
      <c r="C375" s="4"/>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4"/>
      <c r="B376" s="4"/>
      <c r="C376" s="4"/>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4"/>
      <c r="B377" s="4"/>
      <c r="C377" s="4"/>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4"/>
      <c r="B378" s="4"/>
      <c r="C378" s="4"/>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4"/>
      <c r="B379" s="4"/>
      <c r="C379" s="4"/>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4"/>
      <c r="B380" s="4"/>
      <c r="C380" s="4"/>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4"/>
      <c r="B381" s="4"/>
      <c r="C381" s="4"/>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4"/>
      <c r="B382" s="4"/>
      <c r="C382" s="4"/>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4"/>
      <c r="B383" s="4"/>
      <c r="C383" s="4"/>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4"/>
      <c r="B384" s="4"/>
      <c r="C384" s="4"/>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4"/>
      <c r="B385" s="4"/>
      <c r="C385" s="4"/>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4"/>
      <c r="B386" s="4"/>
      <c r="C386" s="4"/>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4"/>
      <c r="B387" s="4"/>
      <c r="C387" s="4"/>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4"/>
      <c r="B388" s="4"/>
      <c r="C388" s="4"/>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4"/>
      <c r="B389" s="4"/>
      <c r="C389" s="4"/>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4"/>
      <c r="B390" s="4"/>
      <c r="C390" s="4"/>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4"/>
      <c r="B391" s="4"/>
      <c r="C391" s="4"/>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4"/>
      <c r="B392" s="4"/>
      <c r="C392" s="4"/>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4"/>
      <c r="B393" s="4"/>
      <c r="C393" s="4"/>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4"/>
      <c r="B394" s="4"/>
      <c r="C394" s="4"/>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4"/>
      <c r="B395" s="4"/>
      <c r="C395" s="4"/>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4"/>
      <c r="B396" s="4"/>
      <c r="C396" s="4"/>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4"/>
      <c r="B397" s="4"/>
      <c r="C397" s="4"/>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4"/>
      <c r="B398" s="4"/>
      <c r="C398" s="4"/>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4"/>
      <c r="B399" s="4"/>
      <c r="C399" s="4"/>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4"/>
      <c r="B400" s="4"/>
      <c r="C400" s="4"/>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4"/>
      <c r="B401" s="4"/>
      <c r="C401" s="4"/>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4"/>
      <c r="B402" s="4"/>
      <c r="C402" s="4"/>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4"/>
      <c r="B403" s="4"/>
      <c r="C403" s="4"/>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4"/>
      <c r="B404" s="4"/>
      <c r="C404" s="4"/>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4"/>
      <c r="B405" s="4"/>
      <c r="C405" s="4"/>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4"/>
      <c r="B406" s="4"/>
      <c r="C406" s="4"/>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4"/>
      <c r="B407" s="4"/>
      <c r="C407" s="4"/>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4"/>
      <c r="B408" s="4"/>
      <c r="C408" s="4"/>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4"/>
      <c r="B409" s="4"/>
      <c r="C409" s="4"/>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4"/>
      <c r="B410" s="4"/>
      <c r="C410" s="4"/>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4"/>
      <c r="B411" s="4"/>
      <c r="C411" s="4"/>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4"/>
      <c r="B412" s="4"/>
      <c r="C412" s="4"/>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4"/>
      <c r="B413" s="4"/>
      <c r="C413" s="4"/>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4"/>
      <c r="B414" s="4"/>
      <c r="C414" s="4"/>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4"/>
      <c r="B415" s="4"/>
      <c r="C415" s="4"/>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4"/>
      <c r="B416" s="4"/>
      <c r="C416" s="4"/>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4"/>
      <c r="B417" s="4"/>
      <c r="C417" s="4"/>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4"/>
      <c r="B418" s="4"/>
      <c r="C418" s="4"/>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4"/>
      <c r="B419" s="4"/>
      <c r="C419" s="4"/>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4"/>
      <c r="B420" s="4"/>
      <c r="C420" s="4"/>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4"/>
      <c r="B421" s="4"/>
      <c r="C421" s="4"/>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4"/>
      <c r="B422" s="4"/>
      <c r="C422" s="4"/>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4"/>
      <c r="B423" s="4"/>
      <c r="C423" s="4"/>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4"/>
      <c r="B424" s="4"/>
      <c r="C424" s="4"/>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4"/>
      <c r="B425" s="4"/>
      <c r="C425" s="4"/>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4"/>
      <c r="B426" s="4"/>
      <c r="C426" s="4"/>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4"/>
      <c r="B427" s="4"/>
      <c r="C427" s="4"/>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4"/>
      <c r="B428" s="4"/>
      <c r="C428" s="4"/>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4"/>
      <c r="B429" s="4"/>
      <c r="C429" s="4"/>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4"/>
      <c r="B430" s="4"/>
      <c r="C430" s="4"/>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4"/>
      <c r="B431" s="4"/>
      <c r="C431" s="4"/>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4"/>
      <c r="B432" s="4"/>
      <c r="C432" s="4"/>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4"/>
      <c r="B433" s="4"/>
      <c r="C433" s="4"/>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4"/>
      <c r="B434" s="4"/>
      <c r="C434" s="4"/>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4"/>
      <c r="B435" s="4"/>
      <c r="C435" s="4"/>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4"/>
      <c r="B436" s="4"/>
      <c r="C436" s="4"/>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4"/>
      <c r="B437" s="4"/>
      <c r="C437" s="4"/>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4"/>
      <c r="B438" s="4"/>
      <c r="C438" s="4"/>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4"/>
      <c r="B439" s="4"/>
      <c r="C439" s="4"/>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4"/>
      <c r="B440" s="4"/>
      <c r="C440" s="4"/>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4"/>
      <c r="B441" s="4"/>
      <c r="C441" s="4"/>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4"/>
      <c r="B442" s="4"/>
      <c r="C442" s="4"/>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4"/>
      <c r="B443" s="4"/>
      <c r="C443" s="4"/>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4"/>
      <c r="B444" s="4"/>
      <c r="C444" s="4"/>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4"/>
      <c r="B445" s="4"/>
      <c r="C445" s="4"/>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4"/>
      <c r="B446" s="4"/>
      <c r="C446" s="4"/>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4"/>
      <c r="B447" s="4"/>
      <c r="C447" s="4"/>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4"/>
      <c r="B448" s="4"/>
      <c r="C448" s="4"/>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4"/>
      <c r="B449" s="4"/>
      <c r="C449" s="4"/>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4"/>
      <c r="B450" s="4"/>
      <c r="C450" s="4"/>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4"/>
      <c r="B451" s="4"/>
      <c r="C451" s="4"/>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4"/>
      <c r="B452" s="4"/>
      <c r="C452" s="4"/>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4"/>
      <c r="B453" s="4"/>
      <c r="C453" s="4"/>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4"/>
      <c r="B454" s="4"/>
      <c r="C454" s="4"/>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4"/>
      <c r="B455" s="4"/>
      <c r="C455" s="4"/>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4"/>
      <c r="B456" s="4"/>
      <c r="C456" s="4"/>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4"/>
      <c r="B457" s="4"/>
      <c r="C457" s="4"/>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4"/>
      <c r="B458" s="4"/>
      <c r="C458" s="4"/>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4"/>
      <c r="B459" s="4"/>
      <c r="C459" s="4"/>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4"/>
      <c r="B460" s="4"/>
      <c r="C460" s="4"/>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4"/>
      <c r="B461" s="4"/>
      <c r="C461" s="4"/>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4"/>
      <c r="B462" s="4"/>
      <c r="C462" s="4"/>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4"/>
      <c r="B463" s="4"/>
      <c r="C463" s="4"/>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4"/>
      <c r="B464" s="4"/>
      <c r="C464" s="4"/>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4"/>
      <c r="B465" s="4"/>
      <c r="C465" s="4"/>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4"/>
      <c r="B466" s="4"/>
      <c r="C466" s="4"/>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4"/>
      <c r="B467" s="4"/>
      <c r="C467" s="4"/>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4"/>
      <c r="B468" s="4"/>
      <c r="C468" s="4"/>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4"/>
      <c r="B469" s="4"/>
      <c r="C469" s="4"/>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4"/>
      <c r="B470" s="4"/>
      <c r="C470" s="4"/>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4"/>
      <c r="B471" s="4"/>
      <c r="C471" s="4"/>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4"/>
      <c r="B472" s="4"/>
      <c r="C472" s="4"/>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4"/>
      <c r="B473" s="4"/>
      <c r="C473" s="4"/>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4"/>
      <c r="B474" s="4"/>
      <c r="C474" s="4"/>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4"/>
      <c r="B475" s="4"/>
      <c r="C475" s="4"/>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4"/>
      <c r="B476" s="4"/>
      <c r="C476" s="4"/>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4"/>
      <c r="B477" s="4"/>
      <c r="C477" s="4"/>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4"/>
      <c r="B478" s="4"/>
      <c r="C478" s="4"/>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4"/>
      <c r="B479" s="4"/>
      <c r="C479" s="4"/>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4"/>
      <c r="B480" s="4"/>
      <c r="C480" s="4"/>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4"/>
      <c r="B481" s="4"/>
      <c r="C481" s="4"/>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4"/>
      <c r="B482" s="4"/>
      <c r="C482" s="4"/>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4"/>
      <c r="B483" s="4"/>
      <c r="C483" s="4"/>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4"/>
      <c r="B484" s="4"/>
      <c r="C484" s="4"/>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4"/>
      <c r="B485" s="4"/>
      <c r="C485" s="4"/>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4"/>
      <c r="B486" s="4"/>
      <c r="C486" s="4"/>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4"/>
      <c r="B487" s="4"/>
      <c r="C487" s="4"/>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4"/>
      <c r="B488" s="4"/>
      <c r="C488" s="4"/>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4"/>
      <c r="B489" s="4"/>
      <c r="C489" s="4"/>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4"/>
      <c r="B490" s="4"/>
      <c r="C490" s="4"/>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4"/>
      <c r="B491" s="4"/>
      <c r="C491" s="4"/>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4"/>
      <c r="B492" s="4"/>
      <c r="C492" s="4"/>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4"/>
      <c r="B493" s="4"/>
      <c r="C493" s="4"/>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4"/>
      <c r="B494" s="4"/>
      <c r="C494" s="4"/>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4"/>
      <c r="B495" s="4"/>
      <c r="C495" s="4"/>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4"/>
      <c r="B496" s="4"/>
      <c r="C496" s="4"/>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4"/>
      <c r="B497" s="4"/>
      <c r="C497" s="4"/>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4"/>
      <c r="B498" s="4"/>
      <c r="C498" s="4"/>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4"/>
      <c r="B499" s="4"/>
      <c r="C499" s="4"/>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4"/>
      <c r="B500" s="4"/>
      <c r="C500" s="4"/>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4"/>
      <c r="B501" s="4"/>
      <c r="C501" s="4"/>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4"/>
      <c r="B502" s="4"/>
      <c r="C502" s="4"/>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4"/>
      <c r="B503" s="4"/>
      <c r="C503" s="4"/>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4"/>
      <c r="B504" s="4"/>
      <c r="C504" s="4"/>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4"/>
      <c r="B505" s="4"/>
      <c r="C505" s="4"/>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4"/>
      <c r="B506" s="4"/>
      <c r="C506" s="4"/>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4"/>
      <c r="B507" s="4"/>
      <c r="C507" s="4"/>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4"/>
      <c r="B508" s="4"/>
      <c r="C508" s="4"/>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4"/>
      <c r="B509" s="4"/>
      <c r="C509" s="4"/>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4"/>
      <c r="B510" s="4"/>
      <c r="C510" s="4"/>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4"/>
      <c r="B511" s="4"/>
      <c r="C511" s="4"/>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4"/>
      <c r="B512" s="4"/>
      <c r="C512" s="4"/>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4"/>
      <c r="B513" s="4"/>
      <c r="C513" s="4"/>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4"/>
      <c r="B514" s="4"/>
      <c r="C514" s="4"/>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4"/>
      <c r="B515" s="4"/>
      <c r="C515" s="4"/>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4"/>
      <c r="B516" s="4"/>
      <c r="C516" s="4"/>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4"/>
      <c r="B517" s="4"/>
      <c r="C517" s="4"/>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4"/>
      <c r="B518" s="4"/>
      <c r="C518" s="4"/>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4"/>
      <c r="B519" s="4"/>
      <c r="C519" s="4"/>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4"/>
      <c r="B520" s="4"/>
      <c r="C520" s="4"/>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4"/>
      <c r="B521" s="4"/>
      <c r="C521" s="4"/>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4"/>
      <c r="B522" s="4"/>
      <c r="C522" s="4"/>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4"/>
      <c r="B523" s="4"/>
      <c r="C523" s="4"/>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4"/>
      <c r="B524" s="4"/>
      <c r="C524" s="4"/>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4"/>
      <c r="B525" s="4"/>
      <c r="C525" s="4"/>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4"/>
      <c r="B526" s="4"/>
      <c r="C526" s="4"/>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4"/>
      <c r="B527" s="4"/>
      <c r="C527" s="4"/>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4"/>
      <c r="B528" s="4"/>
      <c r="C528" s="4"/>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4"/>
      <c r="B529" s="4"/>
      <c r="C529" s="4"/>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4"/>
      <c r="B530" s="4"/>
      <c r="C530" s="4"/>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4"/>
      <c r="B531" s="4"/>
      <c r="C531" s="4"/>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4"/>
      <c r="B532" s="4"/>
      <c r="C532" s="4"/>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4"/>
      <c r="B533" s="4"/>
      <c r="C533" s="4"/>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4"/>
      <c r="B534" s="4"/>
      <c r="C534" s="4"/>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4"/>
      <c r="B535" s="4"/>
      <c r="C535" s="4"/>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4"/>
      <c r="B536" s="4"/>
      <c r="C536" s="4"/>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4"/>
      <c r="B537" s="4"/>
      <c r="C537" s="4"/>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4"/>
      <c r="B538" s="4"/>
      <c r="C538" s="4"/>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4"/>
      <c r="B539" s="4"/>
      <c r="C539" s="4"/>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4"/>
      <c r="B540" s="4"/>
      <c r="C540" s="4"/>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4"/>
      <c r="B541" s="4"/>
      <c r="C541" s="4"/>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4"/>
      <c r="B542" s="4"/>
      <c r="C542" s="4"/>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4"/>
      <c r="B543" s="4"/>
      <c r="C543" s="4"/>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4"/>
      <c r="B544" s="4"/>
      <c r="C544" s="4"/>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4"/>
      <c r="B545" s="4"/>
      <c r="C545" s="4"/>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4"/>
      <c r="B546" s="4"/>
      <c r="C546" s="4"/>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4"/>
      <c r="B547" s="4"/>
      <c r="C547" s="4"/>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4"/>
      <c r="B548" s="4"/>
      <c r="C548" s="4"/>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4"/>
      <c r="B549" s="4"/>
      <c r="C549" s="4"/>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4"/>
      <c r="B550" s="4"/>
      <c r="C550" s="4"/>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4"/>
      <c r="B551" s="4"/>
      <c r="C551" s="4"/>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4"/>
      <c r="B552" s="4"/>
      <c r="C552" s="4"/>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4"/>
      <c r="B553" s="4"/>
      <c r="C553" s="4"/>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4"/>
      <c r="B554" s="4"/>
      <c r="C554" s="4"/>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4"/>
      <c r="B555" s="4"/>
      <c r="C555" s="4"/>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4"/>
      <c r="B556" s="4"/>
      <c r="C556" s="4"/>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4"/>
      <c r="B557" s="4"/>
      <c r="C557" s="4"/>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4"/>
      <c r="B558" s="4"/>
      <c r="C558" s="4"/>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4"/>
      <c r="B559" s="4"/>
      <c r="C559" s="4"/>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4"/>
      <c r="B560" s="4"/>
      <c r="C560" s="4"/>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4"/>
      <c r="B561" s="4"/>
      <c r="C561" s="4"/>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4"/>
      <c r="B562" s="4"/>
      <c r="C562" s="4"/>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4"/>
      <c r="B563" s="4"/>
      <c r="C563" s="4"/>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4"/>
      <c r="B564" s="4"/>
      <c r="C564" s="4"/>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4"/>
      <c r="B565" s="4"/>
      <c r="C565" s="4"/>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4"/>
      <c r="B566" s="4"/>
      <c r="C566" s="4"/>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4"/>
      <c r="B567" s="4"/>
      <c r="C567" s="4"/>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4"/>
      <c r="B568" s="4"/>
      <c r="C568" s="4"/>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4"/>
      <c r="B569" s="4"/>
      <c r="C569" s="4"/>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4"/>
      <c r="B570" s="4"/>
      <c r="C570" s="4"/>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4"/>
      <c r="B571" s="4"/>
      <c r="C571" s="4"/>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4"/>
      <c r="B572" s="4"/>
      <c r="C572" s="4"/>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4"/>
      <c r="B573" s="4"/>
      <c r="C573" s="4"/>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4"/>
      <c r="B574" s="4"/>
      <c r="C574" s="4"/>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4"/>
      <c r="B575" s="4"/>
      <c r="C575" s="4"/>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4"/>
      <c r="B576" s="4"/>
      <c r="C576" s="4"/>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4"/>
      <c r="B577" s="4"/>
      <c r="C577" s="4"/>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4"/>
      <c r="B578" s="4"/>
      <c r="C578" s="4"/>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4"/>
      <c r="B579" s="4"/>
      <c r="C579" s="4"/>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4"/>
      <c r="B580" s="4"/>
      <c r="C580" s="4"/>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4"/>
      <c r="B581" s="4"/>
      <c r="C581" s="4"/>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4"/>
      <c r="B582" s="4"/>
      <c r="C582" s="4"/>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4"/>
      <c r="B583" s="4"/>
      <c r="C583" s="4"/>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4"/>
      <c r="B584" s="4"/>
      <c r="C584" s="4"/>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4"/>
      <c r="B585" s="4"/>
      <c r="C585" s="4"/>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4"/>
      <c r="B586" s="4"/>
      <c r="C586" s="4"/>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4"/>
      <c r="B587" s="4"/>
      <c r="C587" s="4"/>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4"/>
      <c r="B588" s="4"/>
      <c r="C588" s="4"/>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4"/>
      <c r="B589" s="4"/>
      <c r="C589" s="4"/>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4"/>
      <c r="B590" s="4"/>
      <c r="C590" s="4"/>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4"/>
      <c r="B591" s="4"/>
      <c r="C591" s="4"/>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4"/>
      <c r="B592" s="4"/>
      <c r="C592" s="4"/>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4"/>
      <c r="B593" s="4"/>
      <c r="C593" s="4"/>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4"/>
      <c r="B594" s="4"/>
      <c r="C594" s="4"/>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4"/>
      <c r="B595" s="4"/>
      <c r="C595" s="4"/>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4"/>
      <c r="B596" s="4"/>
      <c r="C596" s="4"/>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4"/>
      <c r="B597" s="4"/>
      <c r="C597" s="4"/>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4"/>
      <c r="B598" s="4"/>
      <c r="C598" s="4"/>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4"/>
      <c r="B599" s="4"/>
      <c r="C599" s="4"/>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4"/>
      <c r="B600" s="4"/>
      <c r="C600" s="4"/>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4"/>
      <c r="B601" s="4"/>
      <c r="C601" s="4"/>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4"/>
      <c r="B602" s="4"/>
      <c r="C602" s="4"/>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4"/>
      <c r="B603" s="4"/>
      <c r="C603" s="4"/>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4"/>
      <c r="B604" s="4"/>
      <c r="C604" s="4"/>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4"/>
      <c r="B605" s="4"/>
      <c r="C605" s="4"/>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4"/>
      <c r="B606" s="4"/>
      <c r="C606" s="4"/>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4"/>
      <c r="B607" s="4"/>
      <c r="C607" s="4"/>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4"/>
      <c r="B608" s="4"/>
      <c r="C608" s="4"/>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4"/>
      <c r="B609" s="4"/>
      <c r="C609" s="4"/>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4"/>
      <c r="B610" s="4"/>
      <c r="C610" s="4"/>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4"/>
      <c r="B611" s="4"/>
      <c r="C611" s="4"/>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4"/>
      <c r="B612" s="4"/>
      <c r="C612" s="4"/>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4"/>
      <c r="B613" s="4"/>
      <c r="C613" s="4"/>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4"/>
      <c r="B614" s="4"/>
      <c r="C614" s="4"/>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4"/>
      <c r="B615" s="4"/>
      <c r="C615" s="4"/>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4"/>
      <c r="B616" s="4"/>
      <c r="C616" s="4"/>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4"/>
      <c r="B617" s="4"/>
      <c r="C617" s="4"/>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4"/>
      <c r="B618" s="4"/>
      <c r="C618" s="4"/>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4"/>
      <c r="B619" s="4"/>
      <c r="C619" s="4"/>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4"/>
      <c r="B620" s="4"/>
      <c r="C620" s="4"/>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4"/>
      <c r="B621" s="4"/>
      <c r="C621" s="4"/>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4"/>
      <c r="B622" s="4"/>
      <c r="C622" s="4"/>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4"/>
      <c r="B623" s="4"/>
      <c r="C623" s="4"/>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4"/>
      <c r="B624" s="4"/>
      <c r="C624" s="4"/>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4"/>
      <c r="B625" s="4"/>
      <c r="C625" s="4"/>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4"/>
      <c r="B626" s="4"/>
      <c r="C626" s="4"/>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4"/>
      <c r="B627" s="4"/>
      <c r="C627" s="4"/>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4"/>
      <c r="B628" s="4"/>
      <c r="C628" s="4"/>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4"/>
      <c r="B629" s="4"/>
      <c r="C629" s="4"/>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4"/>
      <c r="B630" s="4"/>
      <c r="C630" s="4"/>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4"/>
      <c r="B631" s="4"/>
      <c r="C631" s="4"/>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4"/>
      <c r="B632" s="4"/>
      <c r="C632" s="4"/>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4"/>
      <c r="B633" s="4"/>
      <c r="C633" s="4"/>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4"/>
      <c r="B634" s="4"/>
      <c r="C634" s="4"/>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4"/>
      <c r="B635" s="4"/>
      <c r="C635" s="4"/>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4"/>
      <c r="B636" s="4"/>
      <c r="C636" s="4"/>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4"/>
      <c r="B637" s="4"/>
      <c r="C637" s="4"/>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4"/>
      <c r="B638" s="4"/>
      <c r="C638" s="4"/>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4"/>
      <c r="B639" s="4"/>
      <c r="C639" s="4"/>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4"/>
      <c r="B640" s="4"/>
      <c r="C640" s="4"/>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4"/>
      <c r="B641" s="4"/>
      <c r="C641" s="4"/>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4"/>
      <c r="B642" s="4"/>
      <c r="C642" s="4"/>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4"/>
      <c r="B643" s="4"/>
      <c r="C643" s="4"/>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4"/>
      <c r="B644" s="4"/>
      <c r="C644" s="4"/>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4"/>
      <c r="B645" s="4"/>
      <c r="C645" s="4"/>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4"/>
      <c r="B646" s="4"/>
      <c r="C646" s="4"/>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4"/>
      <c r="B647" s="4"/>
      <c r="C647" s="4"/>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4"/>
      <c r="B648" s="4"/>
      <c r="C648" s="4"/>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4"/>
      <c r="B649" s="4"/>
      <c r="C649" s="4"/>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4"/>
      <c r="B650" s="4"/>
      <c r="C650" s="4"/>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4"/>
      <c r="B651" s="4"/>
      <c r="C651" s="4"/>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4"/>
      <c r="B652" s="4"/>
      <c r="C652" s="4"/>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4"/>
      <c r="B653" s="4"/>
      <c r="C653" s="4"/>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4"/>
      <c r="B654" s="4"/>
      <c r="C654" s="4"/>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4"/>
      <c r="B655" s="4"/>
      <c r="C655" s="4"/>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4"/>
      <c r="B656" s="4"/>
      <c r="C656" s="4"/>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4"/>
      <c r="B657" s="4"/>
      <c r="C657" s="4"/>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4"/>
      <c r="B658" s="4"/>
      <c r="C658" s="4"/>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4"/>
      <c r="B659" s="4"/>
      <c r="C659" s="4"/>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4"/>
      <c r="B660" s="4"/>
      <c r="C660" s="4"/>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4"/>
      <c r="B661" s="4"/>
      <c r="C661" s="4"/>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4"/>
      <c r="B662" s="4"/>
      <c r="C662" s="4"/>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4"/>
      <c r="B663" s="4"/>
      <c r="C663" s="4"/>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4"/>
      <c r="B664" s="4"/>
      <c r="C664" s="4"/>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4"/>
      <c r="B665" s="4"/>
      <c r="C665" s="4"/>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4"/>
      <c r="B666" s="4"/>
      <c r="C666" s="4"/>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4"/>
      <c r="B667" s="4"/>
      <c r="C667" s="4"/>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4"/>
      <c r="B668" s="4"/>
      <c r="C668" s="4"/>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4"/>
      <c r="B669" s="4"/>
      <c r="C669" s="4"/>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4"/>
      <c r="B670" s="4"/>
      <c r="C670" s="4"/>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4"/>
      <c r="B671" s="4"/>
      <c r="C671" s="4"/>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4"/>
      <c r="B672" s="4"/>
      <c r="C672" s="4"/>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4"/>
      <c r="B673" s="4"/>
      <c r="C673" s="4"/>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4"/>
      <c r="B674" s="4"/>
      <c r="C674" s="4"/>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4"/>
      <c r="B675" s="4"/>
      <c r="C675" s="4"/>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4"/>
      <c r="B676" s="4"/>
      <c r="C676" s="4"/>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4"/>
      <c r="B677" s="4"/>
      <c r="C677" s="4"/>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4"/>
      <c r="B678" s="4"/>
      <c r="C678" s="4"/>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4"/>
      <c r="B679" s="4"/>
      <c r="C679" s="4"/>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4"/>
      <c r="B680" s="4"/>
      <c r="C680" s="4"/>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4"/>
      <c r="B681" s="4"/>
      <c r="C681" s="4"/>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4"/>
      <c r="B682" s="4"/>
      <c r="C682" s="4"/>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4"/>
      <c r="B683" s="4"/>
      <c r="C683" s="4"/>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4"/>
      <c r="B684" s="4"/>
      <c r="C684" s="4"/>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4"/>
      <c r="B685" s="4"/>
      <c r="C685" s="4"/>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4"/>
      <c r="B686" s="4"/>
      <c r="C686" s="4"/>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4"/>
      <c r="B687" s="4"/>
      <c r="C687" s="4"/>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4"/>
      <c r="B688" s="4"/>
      <c r="C688" s="4"/>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4"/>
      <c r="B689" s="4"/>
      <c r="C689" s="4"/>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4"/>
      <c r="B690" s="4"/>
      <c r="C690" s="4"/>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4"/>
      <c r="B691" s="4"/>
      <c r="C691" s="4"/>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4"/>
      <c r="B692" s="4"/>
      <c r="C692" s="4"/>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4"/>
      <c r="B693" s="4"/>
      <c r="C693" s="4"/>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4"/>
      <c r="B694" s="4"/>
      <c r="C694" s="4"/>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4"/>
      <c r="B695" s="4"/>
      <c r="C695" s="4"/>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4"/>
      <c r="B696" s="4"/>
      <c r="C696" s="4"/>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4"/>
      <c r="B697" s="4"/>
      <c r="C697" s="4"/>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4"/>
      <c r="B698" s="4"/>
      <c r="C698" s="4"/>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4"/>
      <c r="B699" s="4"/>
      <c r="C699" s="4"/>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4"/>
      <c r="B700" s="4"/>
      <c r="C700" s="4"/>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4"/>
      <c r="B701" s="4"/>
      <c r="C701" s="4"/>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4"/>
      <c r="B702" s="4"/>
      <c r="C702" s="4"/>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4"/>
      <c r="B703" s="4"/>
      <c r="C703" s="4"/>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4"/>
      <c r="B704" s="4"/>
      <c r="C704" s="4"/>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4"/>
      <c r="B705" s="4"/>
      <c r="C705" s="4"/>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4"/>
      <c r="B706" s="4"/>
      <c r="C706" s="4"/>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4"/>
      <c r="B707" s="4"/>
      <c r="C707" s="4"/>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4"/>
      <c r="B708" s="4"/>
      <c r="C708" s="4"/>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4"/>
      <c r="B709" s="4"/>
      <c r="C709" s="4"/>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4"/>
      <c r="B710" s="4"/>
      <c r="C710" s="4"/>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4"/>
      <c r="B711" s="4"/>
      <c r="C711" s="4"/>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4"/>
      <c r="B712" s="4"/>
      <c r="C712" s="4"/>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4"/>
      <c r="B713" s="4"/>
      <c r="C713" s="4"/>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4"/>
      <c r="B714" s="4"/>
      <c r="C714" s="4"/>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4"/>
      <c r="B715" s="4"/>
      <c r="C715" s="4"/>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4"/>
      <c r="B716" s="4"/>
      <c r="C716" s="4"/>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4"/>
      <c r="B717" s="4"/>
      <c r="C717" s="4"/>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4"/>
      <c r="B718" s="4"/>
      <c r="C718" s="4"/>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4"/>
      <c r="B719" s="4"/>
      <c r="C719" s="4"/>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4"/>
      <c r="B720" s="4"/>
      <c r="C720" s="4"/>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4"/>
      <c r="B721" s="4"/>
      <c r="C721" s="4"/>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4"/>
      <c r="B722" s="4"/>
      <c r="C722" s="4"/>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4"/>
      <c r="B723" s="4"/>
      <c r="C723" s="4"/>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4"/>
      <c r="B724" s="4"/>
      <c r="C724" s="4"/>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4"/>
      <c r="B725" s="4"/>
      <c r="C725" s="4"/>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4"/>
      <c r="B726" s="4"/>
      <c r="C726" s="4"/>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4"/>
      <c r="B727" s="4"/>
      <c r="C727" s="4"/>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4"/>
      <c r="B728" s="4"/>
      <c r="C728" s="4"/>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4"/>
      <c r="B729" s="4"/>
      <c r="C729" s="4"/>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4"/>
      <c r="B730" s="4"/>
      <c r="C730" s="4"/>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4"/>
      <c r="B731" s="4"/>
      <c r="C731" s="4"/>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4"/>
      <c r="B732" s="4"/>
      <c r="C732" s="4"/>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4"/>
      <c r="B733" s="4"/>
      <c r="C733" s="4"/>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4"/>
      <c r="B734" s="4"/>
      <c r="C734" s="4"/>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4"/>
      <c r="B735" s="4"/>
      <c r="C735" s="4"/>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4"/>
      <c r="B736" s="4"/>
      <c r="C736" s="4"/>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4"/>
      <c r="B737" s="4"/>
      <c r="C737" s="4"/>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4"/>
      <c r="B738" s="4"/>
      <c r="C738" s="4"/>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4"/>
      <c r="B739" s="4"/>
      <c r="C739" s="4"/>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4"/>
      <c r="B740" s="4"/>
      <c r="C740" s="4"/>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4"/>
      <c r="B741" s="4"/>
      <c r="C741" s="4"/>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4"/>
      <c r="B742" s="4"/>
      <c r="C742" s="4"/>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4"/>
      <c r="B743" s="4"/>
      <c r="C743" s="4"/>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4"/>
      <c r="B744" s="4"/>
      <c r="C744" s="4"/>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4"/>
      <c r="B745" s="4"/>
      <c r="C745" s="4"/>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4"/>
      <c r="B746" s="4"/>
      <c r="C746" s="4"/>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4"/>
      <c r="B747" s="4"/>
      <c r="C747" s="4"/>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4"/>
      <c r="B748" s="4"/>
      <c r="C748" s="4"/>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4"/>
      <c r="B749" s="4"/>
      <c r="C749" s="4"/>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4"/>
      <c r="B750" s="4"/>
      <c r="C750" s="4"/>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4"/>
      <c r="B751" s="4"/>
      <c r="C751" s="4"/>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4"/>
      <c r="B752" s="4"/>
      <c r="C752" s="4"/>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4"/>
      <c r="B753" s="4"/>
      <c r="C753" s="4"/>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4"/>
      <c r="B754" s="4"/>
      <c r="C754" s="4"/>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4"/>
      <c r="B755" s="4"/>
      <c r="C755" s="4"/>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4"/>
      <c r="B756" s="4"/>
      <c r="C756" s="4"/>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4"/>
      <c r="B757" s="4"/>
      <c r="C757" s="4"/>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4"/>
      <c r="B758" s="4"/>
      <c r="C758" s="4"/>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4"/>
      <c r="B759" s="4"/>
      <c r="C759" s="4"/>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4"/>
      <c r="B760" s="4"/>
      <c r="C760" s="4"/>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4"/>
      <c r="B761" s="4"/>
      <c r="C761" s="4"/>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4"/>
      <c r="B762" s="4"/>
      <c r="C762" s="4"/>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4"/>
      <c r="B763" s="4"/>
      <c r="C763" s="4"/>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4"/>
      <c r="B764" s="4"/>
      <c r="C764" s="4"/>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4"/>
      <c r="B765" s="4"/>
      <c r="C765" s="4"/>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4"/>
      <c r="B766" s="4"/>
      <c r="C766" s="4"/>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4"/>
      <c r="B767" s="4"/>
      <c r="C767" s="4"/>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4"/>
      <c r="B768" s="4"/>
      <c r="C768" s="4"/>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4"/>
      <c r="B769" s="4"/>
      <c r="C769" s="4"/>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4"/>
      <c r="B770" s="4"/>
      <c r="C770" s="4"/>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4"/>
      <c r="B771" s="4"/>
      <c r="C771" s="4"/>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4"/>
      <c r="B772" s="4"/>
      <c r="C772" s="4"/>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4"/>
      <c r="B773" s="4"/>
      <c r="C773" s="4"/>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4"/>
      <c r="B774" s="4"/>
      <c r="C774" s="4"/>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4"/>
      <c r="B775" s="4"/>
      <c r="C775" s="4"/>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4"/>
      <c r="B776" s="4"/>
      <c r="C776" s="4"/>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4"/>
      <c r="B777" s="4"/>
      <c r="C777" s="4"/>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4"/>
      <c r="B778" s="4"/>
      <c r="C778" s="4"/>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4"/>
      <c r="B779" s="4"/>
      <c r="C779" s="4"/>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4"/>
      <c r="B780" s="4"/>
      <c r="C780" s="4"/>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4"/>
      <c r="B781" s="4"/>
      <c r="C781" s="4"/>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4"/>
      <c r="B782" s="4"/>
      <c r="C782" s="4"/>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4"/>
      <c r="B783" s="4"/>
      <c r="C783" s="4"/>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4"/>
      <c r="B784" s="4"/>
      <c r="C784" s="4"/>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4"/>
      <c r="B785" s="4"/>
      <c r="C785" s="4"/>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4"/>
      <c r="B786" s="4"/>
      <c r="C786" s="4"/>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4"/>
      <c r="B787" s="4"/>
      <c r="C787" s="4"/>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4"/>
      <c r="B788" s="4"/>
      <c r="C788" s="4"/>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4"/>
      <c r="B789" s="4"/>
      <c r="C789" s="4"/>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4"/>
      <c r="B790" s="4"/>
      <c r="C790" s="4"/>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4"/>
      <c r="B791" s="4"/>
      <c r="C791" s="4"/>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4"/>
      <c r="B792" s="4"/>
      <c r="C792" s="4"/>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4"/>
      <c r="B793" s="4"/>
      <c r="C793" s="4"/>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4"/>
      <c r="B794" s="4"/>
      <c r="C794" s="4"/>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4"/>
      <c r="B795" s="4"/>
      <c r="C795" s="4"/>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4"/>
      <c r="B796" s="4"/>
      <c r="C796" s="4"/>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4"/>
      <c r="B797" s="4"/>
      <c r="C797" s="4"/>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4"/>
      <c r="B798" s="4"/>
      <c r="C798" s="4"/>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4"/>
      <c r="B799" s="4"/>
      <c r="C799" s="4"/>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4"/>
      <c r="B800" s="4"/>
      <c r="C800" s="4"/>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4"/>
      <c r="B801" s="4"/>
      <c r="C801" s="4"/>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4"/>
      <c r="B802" s="4"/>
      <c r="C802" s="4"/>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4"/>
      <c r="B803" s="4"/>
      <c r="C803" s="4"/>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4"/>
      <c r="B804" s="4"/>
      <c r="C804" s="4"/>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4"/>
      <c r="B805" s="4"/>
      <c r="C805" s="4"/>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4"/>
      <c r="B806" s="4"/>
      <c r="C806" s="4"/>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4"/>
      <c r="B807" s="4"/>
      <c r="C807" s="4"/>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4"/>
      <c r="B808" s="4"/>
      <c r="C808" s="4"/>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4"/>
      <c r="B809" s="4"/>
      <c r="C809" s="4"/>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4"/>
      <c r="B810" s="4"/>
      <c r="C810" s="4"/>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4"/>
      <c r="B811" s="4"/>
      <c r="C811" s="4"/>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4"/>
      <c r="B812" s="4"/>
      <c r="C812" s="4"/>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4"/>
      <c r="B813" s="4"/>
      <c r="C813" s="4"/>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4"/>
      <c r="B814" s="4"/>
      <c r="C814" s="4"/>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4"/>
      <c r="B815" s="4"/>
      <c r="C815" s="4"/>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4"/>
      <c r="B816" s="4"/>
      <c r="C816" s="4"/>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4"/>
      <c r="B817" s="4"/>
      <c r="C817" s="4"/>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4"/>
      <c r="B818" s="4"/>
      <c r="C818" s="4"/>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4"/>
      <c r="B819" s="4"/>
      <c r="C819" s="4"/>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4"/>
      <c r="B820" s="4"/>
      <c r="C820" s="4"/>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4"/>
      <c r="B821" s="4"/>
      <c r="C821" s="4"/>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4"/>
      <c r="B822" s="4"/>
      <c r="C822" s="4"/>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4"/>
      <c r="B823" s="4"/>
      <c r="C823" s="4"/>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4"/>
      <c r="B824" s="4"/>
      <c r="C824" s="4"/>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4"/>
      <c r="B825" s="4"/>
      <c r="C825" s="4"/>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4"/>
      <c r="B826" s="4"/>
      <c r="C826" s="4"/>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4"/>
      <c r="B827" s="4"/>
      <c r="C827" s="4"/>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4"/>
      <c r="B828" s="4"/>
      <c r="C828" s="4"/>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4"/>
      <c r="B829" s="4"/>
      <c r="C829" s="4"/>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4"/>
      <c r="B830" s="4"/>
      <c r="C830" s="4"/>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4"/>
      <c r="B831" s="4"/>
      <c r="C831" s="4"/>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4"/>
      <c r="B832" s="4"/>
      <c r="C832" s="4"/>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4"/>
      <c r="B833" s="4"/>
      <c r="C833" s="4"/>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4"/>
      <c r="B834" s="4"/>
      <c r="C834" s="4"/>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4"/>
      <c r="B835" s="4"/>
      <c r="C835" s="4"/>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4"/>
      <c r="B836" s="4"/>
      <c r="C836" s="4"/>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4"/>
      <c r="B837" s="4"/>
      <c r="C837" s="4"/>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4"/>
      <c r="B838" s="4"/>
      <c r="C838" s="4"/>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4"/>
      <c r="B839" s="4"/>
      <c r="C839" s="4"/>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4"/>
      <c r="B840" s="4"/>
      <c r="C840" s="4"/>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4"/>
      <c r="B841" s="4"/>
      <c r="C841" s="4"/>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4"/>
      <c r="B842" s="4"/>
      <c r="C842" s="4"/>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4"/>
      <c r="B843" s="4"/>
      <c r="C843" s="4"/>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4"/>
      <c r="B844" s="4"/>
      <c r="C844" s="4"/>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4"/>
      <c r="B845" s="4"/>
      <c r="C845" s="4"/>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4"/>
      <c r="B846" s="4"/>
      <c r="C846" s="4"/>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4"/>
      <c r="B847" s="4"/>
      <c r="C847" s="4"/>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4"/>
      <c r="B848" s="4"/>
      <c r="C848" s="4"/>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4"/>
      <c r="B849" s="4"/>
      <c r="C849" s="4"/>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4"/>
      <c r="B850" s="4"/>
      <c r="C850" s="4"/>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4"/>
      <c r="B851" s="4"/>
      <c r="C851" s="4"/>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4"/>
      <c r="B852" s="4"/>
      <c r="C852" s="4"/>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4"/>
      <c r="B853" s="4"/>
      <c r="C853" s="4"/>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4"/>
      <c r="B854" s="4"/>
      <c r="C854" s="4"/>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4"/>
      <c r="B855" s="4"/>
      <c r="C855" s="4"/>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4"/>
      <c r="B856" s="4"/>
      <c r="C856" s="4"/>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4"/>
      <c r="B857" s="4"/>
      <c r="C857" s="4"/>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4"/>
      <c r="B858" s="4"/>
      <c r="C858" s="4"/>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4"/>
      <c r="B859" s="4"/>
      <c r="C859" s="4"/>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4"/>
      <c r="B860" s="4"/>
      <c r="C860" s="4"/>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4"/>
      <c r="B861" s="4"/>
      <c r="C861" s="4"/>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4"/>
      <c r="B862" s="4"/>
      <c r="C862" s="4"/>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4"/>
      <c r="B863" s="4"/>
      <c r="C863" s="4"/>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4"/>
      <c r="B864" s="4"/>
      <c r="C864" s="4"/>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4"/>
      <c r="B865" s="4"/>
      <c r="C865" s="4"/>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4"/>
      <c r="B866" s="4"/>
      <c r="C866" s="4"/>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4"/>
      <c r="B867" s="4"/>
      <c r="C867" s="4"/>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4"/>
      <c r="B868" s="4"/>
      <c r="C868" s="4"/>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4"/>
      <c r="B869" s="4"/>
      <c r="C869" s="4"/>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4"/>
      <c r="B870" s="4"/>
      <c r="C870" s="4"/>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4"/>
      <c r="B871" s="4"/>
      <c r="C871" s="4"/>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4"/>
      <c r="B872" s="4"/>
      <c r="C872" s="4"/>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4"/>
      <c r="B873" s="4"/>
      <c r="C873" s="4"/>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4"/>
      <c r="B874" s="4"/>
      <c r="C874" s="4"/>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4"/>
      <c r="B875" s="4"/>
      <c r="C875" s="4"/>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4"/>
      <c r="B876" s="4"/>
      <c r="C876" s="4"/>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4"/>
      <c r="B877" s="4"/>
      <c r="C877" s="4"/>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4"/>
      <c r="B878" s="4"/>
      <c r="C878" s="4"/>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4"/>
      <c r="B879" s="4"/>
      <c r="C879" s="4"/>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4"/>
      <c r="B880" s="4"/>
      <c r="C880" s="4"/>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4"/>
      <c r="B881" s="4"/>
      <c r="C881" s="4"/>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4"/>
      <c r="B882" s="4"/>
      <c r="C882" s="4"/>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4"/>
      <c r="B883" s="4"/>
      <c r="C883" s="4"/>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4"/>
      <c r="B884" s="4"/>
      <c r="C884" s="4"/>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4"/>
      <c r="B885" s="4"/>
      <c r="C885" s="4"/>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4"/>
      <c r="B886" s="4"/>
      <c r="C886" s="4"/>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4"/>
      <c r="B887" s="4"/>
      <c r="C887" s="4"/>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4"/>
      <c r="B888" s="4"/>
      <c r="C888" s="4"/>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4"/>
      <c r="B889" s="4"/>
      <c r="C889" s="4"/>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4"/>
      <c r="B890" s="4"/>
      <c r="C890" s="4"/>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4"/>
      <c r="B891" s="4"/>
      <c r="C891" s="4"/>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4"/>
      <c r="B892" s="4"/>
      <c r="C892" s="4"/>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4"/>
      <c r="B893" s="4"/>
      <c r="C893" s="4"/>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4"/>
      <c r="B894" s="4"/>
      <c r="C894" s="4"/>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4"/>
      <c r="B895" s="4"/>
      <c r="C895" s="4"/>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4"/>
      <c r="B896" s="4"/>
      <c r="C896" s="4"/>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4"/>
      <c r="B897" s="4"/>
      <c r="C897" s="4"/>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4"/>
      <c r="B898" s="4"/>
      <c r="C898" s="4"/>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4"/>
      <c r="B899" s="4"/>
      <c r="C899" s="4"/>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4"/>
      <c r="B900" s="4"/>
      <c r="C900" s="4"/>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4"/>
      <c r="B901" s="4"/>
      <c r="C901" s="4"/>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4"/>
      <c r="B902" s="4"/>
      <c r="C902" s="4"/>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4"/>
      <c r="B903" s="4"/>
      <c r="C903" s="4"/>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4"/>
      <c r="B904" s="4"/>
      <c r="C904" s="4"/>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4"/>
      <c r="B905" s="4"/>
      <c r="C905" s="4"/>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4"/>
      <c r="B906" s="4"/>
      <c r="C906" s="4"/>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4"/>
      <c r="B907" s="4"/>
      <c r="C907" s="4"/>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4"/>
      <c r="B908" s="4"/>
      <c r="C908" s="4"/>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4"/>
      <c r="B909" s="4"/>
      <c r="C909" s="4"/>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4"/>
      <c r="B910" s="4"/>
      <c r="C910" s="4"/>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4"/>
      <c r="B911" s="4"/>
      <c r="C911" s="4"/>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4"/>
      <c r="B912" s="4"/>
      <c r="C912" s="4"/>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4"/>
      <c r="B913" s="4"/>
      <c r="C913" s="4"/>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4"/>
      <c r="B914" s="4"/>
      <c r="C914" s="4"/>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4"/>
      <c r="B915" s="4"/>
      <c r="C915" s="4"/>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4"/>
      <c r="B916" s="4"/>
      <c r="C916" s="4"/>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4"/>
      <c r="B917" s="4"/>
      <c r="C917" s="4"/>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4"/>
      <c r="B918" s="4"/>
      <c r="C918" s="4"/>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4"/>
      <c r="B919" s="4"/>
      <c r="C919" s="4"/>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4"/>
      <c r="B920" s="4"/>
      <c r="C920" s="4"/>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4"/>
      <c r="B921" s="4"/>
      <c r="C921" s="4"/>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4"/>
      <c r="B922" s="4"/>
      <c r="C922" s="4"/>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4"/>
      <c r="B923" s="4"/>
      <c r="C923" s="4"/>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4"/>
      <c r="B924" s="4"/>
      <c r="C924" s="4"/>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4"/>
      <c r="B925" s="4"/>
      <c r="C925" s="4"/>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4"/>
      <c r="B926" s="4"/>
      <c r="C926" s="4"/>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4"/>
      <c r="B927" s="4"/>
      <c r="C927" s="4"/>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4"/>
      <c r="B928" s="4"/>
      <c r="C928" s="4"/>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4"/>
      <c r="B929" s="4"/>
      <c r="C929" s="4"/>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4"/>
      <c r="B930" s="4"/>
      <c r="C930" s="4"/>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4"/>
      <c r="B931" s="4"/>
      <c r="C931" s="4"/>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4"/>
      <c r="B932" s="4"/>
      <c r="C932" s="4"/>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4"/>
      <c r="B933" s="4"/>
      <c r="C933" s="4"/>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4"/>
      <c r="B934" s="4"/>
      <c r="C934" s="4"/>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4"/>
      <c r="B935" s="4"/>
      <c r="C935" s="4"/>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4"/>
      <c r="B936" s="4"/>
      <c r="C936" s="4"/>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4"/>
      <c r="B937" s="4"/>
      <c r="C937" s="4"/>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4"/>
      <c r="B938" s="4"/>
      <c r="C938" s="4"/>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4"/>
      <c r="B939" s="4"/>
      <c r="C939" s="4"/>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4"/>
      <c r="B940" s="4"/>
      <c r="C940" s="4"/>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4"/>
      <c r="B941" s="4"/>
      <c r="C941" s="4"/>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4"/>
      <c r="B942" s="4"/>
      <c r="C942" s="4"/>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4"/>
      <c r="B943" s="4"/>
      <c r="C943" s="4"/>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4"/>
      <c r="B944" s="4"/>
      <c r="C944" s="4"/>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4"/>
      <c r="B945" s="4"/>
      <c r="C945" s="4"/>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4"/>
      <c r="B946" s="4"/>
      <c r="C946" s="4"/>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4"/>
      <c r="B947" s="4"/>
      <c r="C947" s="4"/>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4"/>
      <c r="B948" s="4"/>
      <c r="C948" s="4"/>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4"/>
      <c r="B949" s="4"/>
      <c r="C949" s="4"/>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4"/>
      <c r="B950" s="4"/>
      <c r="C950" s="4"/>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4"/>
      <c r="B951" s="4"/>
      <c r="C951" s="4"/>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4"/>
      <c r="B952" s="4"/>
      <c r="C952" s="4"/>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4"/>
      <c r="B953" s="4"/>
      <c r="C953" s="4"/>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4"/>
      <c r="B954" s="4"/>
      <c r="C954" s="4"/>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4"/>
      <c r="B955" s="4"/>
      <c r="C955" s="4"/>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4"/>
      <c r="B956" s="4"/>
      <c r="C956" s="4"/>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4"/>
      <c r="B957" s="4"/>
      <c r="C957" s="4"/>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4"/>
      <c r="B958" s="4"/>
      <c r="C958" s="4"/>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4"/>
      <c r="B959" s="4"/>
      <c r="C959" s="4"/>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4"/>
      <c r="B960" s="4"/>
      <c r="C960" s="4"/>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4"/>
      <c r="B961" s="4"/>
      <c r="C961" s="4"/>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4"/>
      <c r="B962" s="4"/>
      <c r="C962" s="4"/>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4"/>
      <c r="B963" s="4"/>
      <c r="C963" s="4"/>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4"/>
      <c r="B964" s="4"/>
      <c r="C964" s="4"/>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4"/>
      <c r="B965" s="4"/>
      <c r="C965" s="4"/>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4"/>
      <c r="B966" s="4"/>
      <c r="C966" s="4"/>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4"/>
      <c r="B967" s="4"/>
      <c r="C967" s="4"/>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4"/>
      <c r="B968" s="4"/>
      <c r="C968" s="4"/>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4"/>
      <c r="B969" s="4"/>
      <c r="C969" s="4"/>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4"/>
      <c r="B970" s="4"/>
      <c r="C970" s="4"/>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4"/>
      <c r="B971" s="4"/>
      <c r="C971" s="4"/>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4"/>
      <c r="B972" s="4"/>
      <c r="C972" s="4"/>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4"/>
      <c r="B973" s="4"/>
      <c r="C973" s="4"/>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4"/>
      <c r="B974" s="4"/>
      <c r="C974" s="4"/>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4"/>
      <c r="B975" s="4"/>
      <c r="C975" s="4"/>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4"/>
      <c r="B976" s="4"/>
      <c r="C976" s="4"/>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4"/>
      <c r="B977" s="4"/>
      <c r="C977" s="4"/>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4"/>
      <c r="B978" s="4"/>
      <c r="C978" s="4"/>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4"/>
      <c r="B979" s="4"/>
      <c r="C979" s="4"/>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4"/>
      <c r="B980" s="4"/>
      <c r="C980" s="4"/>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4"/>
      <c r="B981" s="4"/>
      <c r="C981" s="4"/>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4"/>
      <c r="B982" s="4"/>
      <c r="C982" s="4"/>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4"/>
      <c r="B983" s="4"/>
      <c r="C983" s="4"/>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4"/>
      <c r="B984" s="4"/>
      <c r="C984" s="4"/>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4"/>
      <c r="B985" s="4"/>
      <c r="C985" s="4"/>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4"/>
      <c r="B986" s="4"/>
      <c r="C986" s="4"/>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4"/>
      <c r="B987" s="4"/>
      <c r="C987" s="4"/>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4"/>
      <c r="B988" s="4"/>
      <c r="C988" s="4"/>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4"/>
      <c r="B989" s="4"/>
      <c r="C989" s="4"/>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4"/>
      <c r="B990" s="4"/>
      <c r="C990" s="4"/>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4"/>
      <c r="B991" s="4"/>
      <c r="C991" s="4"/>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4"/>
      <c r="B992" s="4"/>
      <c r="C992" s="4"/>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4"/>
      <c r="B993" s="4"/>
      <c r="C993" s="4"/>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4"/>
      <c r="B994" s="4"/>
      <c r="C994" s="4"/>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4"/>
      <c r="B995" s="4"/>
      <c r="C995" s="4"/>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4"/>
      <c r="B996" s="4"/>
      <c r="C996" s="4"/>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4"/>
      <c r="B997" s="4"/>
      <c r="C997" s="4"/>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4"/>
      <c r="B998" s="4"/>
      <c r="C998" s="4"/>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4"/>
      <c r="B999" s="4"/>
      <c r="C999" s="4"/>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4"/>
      <c r="B1000" s="4"/>
      <c r="C1000" s="4"/>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c r="A1001" s="4"/>
      <c r="B1001" s="4"/>
      <c r="C1001" s="4"/>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c r="A1002" s="4"/>
      <c r="B1002" s="4"/>
      <c r="C1002" s="4"/>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c r="A1003" s="4"/>
      <c r="B1003" s="4"/>
      <c r="C1003" s="4"/>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c r="A1004" s="4"/>
      <c r="B1004" s="4"/>
      <c r="C1004" s="4"/>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c r="A1005" s="4"/>
      <c r="B1005" s="4"/>
      <c r="C1005" s="4"/>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c r="A1006" s="4"/>
      <c r="B1006" s="4"/>
      <c r="C1006" s="4"/>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c r="A1007" s="4"/>
      <c r="B1007" s="4"/>
      <c r="C1007" s="4"/>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c r="A1008" s="4"/>
      <c r="B1008" s="4"/>
      <c r="C1008" s="4"/>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c r="A1009" s="4"/>
      <c r="B1009" s="4"/>
      <c r="C1009" s="4"/>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c r="A1010" s="4"/>
      <c r="B1010" s="4"/>
      <c r="C1010" s="4"/>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c r="A1011" s="4"/>
      <c r="B1011" s="4"/>
      <c r="C1011" s="4"/>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c r="A1012" s="4"/>
      <c r="B1012" s="4"/>
      <c r="C1012" s="4"/>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c r="A1013" s="4"/>
      <c r="B1013" s="4"/>
      <c r="C1013" s="4"/>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c r="A1014" s="4"/>
      <c r="B1014" s="4"/>
      <c r="C1014" s="4"/>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c r="A1015" s="4"/>
      <c r="B1015" s="4"/>
      <c r="C1015" s="4"/>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c r="A1016" s="4"/>
      <c r="B1016" s="4"/>
      <c r="C1016" s="4"/>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c r="A1017" s="4"/>
      <c r="B1017" s="4"/>
      <c r="C1017" s="4"/>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c r="A1018" s="4"/>
      <c r="B1018" s="4"/>
      <c r="C1018" s="4"/>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c r="A1019" s="4"/>
      <c r="B1019" s="4"/>
      <c r="C1019" s="4"/>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c r="A1020" s="4"/>
      <c r="B1020" s="4"/>
      <c r="C1020" s="4"/>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sheetData>
  <mergeCells count="28">
    <mergeCell ref="C61:C65"/>
    <mergeCell ref="C24:C25"/>
    <mergeCell ref="C27:C36"/>
    <mergeCell ref="C38:C43"/>
    <mergeCell ref="C44:C49"/>
    <mergeCell ref="C50:C60"/>
    <mergeCell ref="C15:C19"/>
    <mergeCell ref="A61:A65"/>
    <mergeCell ref="A66:A70"/>
    <mergeCell ref="A71:A75"/>
    <mergeCell ref="A76:A77"/>
    <mergeCell ref="A15:A19"/>
    <mergeCell ref="A20:A23"/>
    <mergeCell ref="A24:A25"/>
    <mergeCell ref="A27:A37"/>
    <mergeCell ref="A38:A43"/>
    <mergeCell ref="A44:A49"/>
    <mergeCell ref="A50:A60"/>
    <mergeCell ref="C66:C70"/>
    <mergeCell ref="C71:C75"/>
    <mergeCell ref="C76:C77"/>
    <mergeCell ref="C20:C23"/>
    <mergeCell ref="A2:A10"/>
    <mergeCell ref="C2:C10"/>
    <mergeCell ref="A11:A12"/>
    <mergeCell ref="C11:C12"/>
    <mergeCell ref="A13:A14"/>
    <mergeCell ref="C13:C14"/>
  </mergeCells>
  <hyperlinks>
    <hyperlink ref="C38" r:id="rId1" xr:uid="{00000000-0004-0000-05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2"/>
  <sheetViews>
    <sheetView topLeftCell="A28" workbookViewId="0">
      <selection activeCell="A2" sqref="A2:C30"/>
    </sheetView>
  </sheetViews>
  <sheetFormatPr defaultColWidth="14.44140625" defaultRowHeight="15" customHeight="1"/>
  <cols>
    <col min="1" max="1" width="49.44140625" customWidth="1"/>
    <col min="2" max="2" width="50.6640625" customWidth="1"/>
    <col min="3" max="3" width="45.88671875" customWidth="1"/>
  </cols>
  <sheetData>
    <row r="1" spans="1:26">
      <c r="A1" s="5" t="s">
        <v>62</v>
      </c>
      <c r="B1" s="5" t="s">
        <v>63</v>
      </c>
      <c r="C1" s="5" t="s">
        <v>64</v>
      </c>
      <c r="D1" s="2"/>
      <c r="E1" s="2"/>
      <c r="F1" s="2"/>
      <c r="G1" s="2"/>
      <c r="H1" s="2"/>
      <c r="I1" s="2"/>
      <c r="J1" s="2"/>
      <c r="K1" s="2"/>
      <c r="L1" s="2"/>
      <c r="M1" s="2"/>
      <c r="N1" s="2"/>
      <c r="O1" s="2"/>
      <c r="P1" s="2"/>
      <c r="Q1" s="2"/>
      <c r="R1" s="2"/>
      <c r="S1" s="2"/>
      <c r="T1" s="2"/>
      <c r="U1" s="2"/>
      <c r="V1" s="2"/>
      <c r="W1" s="2"/>
      <c r="X1" s="2"/>
      <c r="Y1" s="2"/>
      <c r="Z1" s="2"/>
    </row>
    <row r="2" spans="1:26">
      <c r="A2" s="24" t="s">
        <v>619</v>
      </c>
      <c r="B2" s="4" t="s">
        <v>620</v>
      </c>
      <c r="C2" s="24" t="s">
        <v>621</v>
      </c>
      <c r="D2" s="2"/>
      <c r="E2" s="2"/>
      <c r="F2" s="2"/>
      <c r="G2" s="2"/>
      <c r="H2" s="2"/>
      <c r="I2" s="2"/>
      <c r="J2" s="2"/>
      <c r="K2" s="2"/>
      <c r="L2" s="2"/>
      <c r="M2" s="2"/>
      <c r="N2" s="2"/>
      <c r="O2" s="2"/>
      <c r="P2" s="2"/>
      <c r="Q2" s="2"/>
      <c r="R2" s="2"/>
      <c r="S2" s="2"/>
      <c r="T2" s="2"/>
      <c r="U2" s="2"/>
      <c r="V2" s="2"/>
      <c r="W2" s="2"/>
      <c r="X2" s="2"/>
      <c r="Y2" s="2"/>
      <c r="Z2" s="2"/>
    </row>
    <row r="3" spans="1:26">
      <c r="A3" s="26"/>
      <c r="B3" s="4" t="s">
        <v>622</v>
      </c>
      <c r="C3" s="26"/>
      <c r="D3" s="2"/>
      <c r="E3" s="2"/>
      <c r="F3" s="2"/>
      <c r="G3" s="2"/>
      <c r="H3" s="2"/>
      <c r="I3" s="2"/>
      <c r="J3" s="2"/>
      <c r="K3" s="2"/>
      <c r="L3" s="2"/>
      <c r="M3" s="2"/>
      <c r="N3" s="2"/>
      <c r="O3" s="2"/>
      <c r="P3" s="2"/>
      <c r="Q3" s="2"/>
      <c r="R3" s="2"/>
      <c r="S3" s="2"/>
      <c r="T3" s="2"/>
      <c r="U3" s="2"/>
      <c r="V3" s="2"/>
      <c r="W3" s="2"/>
      <c r="X3" s="2"/>
      <c r="Y3" s="2"/>
      <c r="Z3" s="2"/>
    </row>
    <row r="4" spans="1:26">
      <c r="A4" s="24" t="s">
        <v>623</v>
      </c>
      <c r="B4" s="4" t="s">
        <v>624</v>
      </c>
      <c r="C4" s="24" t="s">
        <v>625</v>
      </c>
      <c r="D4" s="2"/>
      <c r="E4" s="2"/>
      <c r="F4" s="2"/>
      <c r="G4" s="2"/>
      <c r="H4" s="2"/>
      <c r="I4" s="2"/>
      <c r="J4" s="2"/>
      <c r="K4" s="2"/>
      <c r="L4" s="2"/>
      <c r="M4" s="2"/>
      <c r="N4" s="2"/>
      <c r="O4" s="2"/>
      <c r="P4" s="2"/>
      <c r="Q4" s="2"/>
      <c r="R4" s="2"/>
      <c r="S4" s="2"/>
      <c r="T4" s="2"/>
      <c r="U4" s="2"/>
      <c r="V4" s="2"/>
      <c r="W4" s="2"/>
      <c r="X4" s="2"/>
      <c r="Y4" s="2"/>
      <c r="Z4" s="2"/>
    </row>
    <row r="5" spans="1:26">
      <c r="A5" s="25"/>
      <c r="B5" s="4" t="s">
        <v>626</v>
      </c>
      <c r="C5" s="25"/>
      <c r="D5" s="2"/>
      <c r="E5" s="2"/>
      <c r="F5" s="2"/>
      <c r="G5" s="2"/>
      <c r="H5" s="2"/>
      <c r="I5" s="2"/>
      <c r="J5" s="2"/>
      <c r="K5" s="2"/>
      <c r="L5" s="2"/>
      <c r="M5" s="2"/>
      <c r="N5" s="2"/>
      <c r="O5" s="2"/>
      <c r="P5" s="2"/>
      <c r="Q5" s="2"/>
      <c r="R5" s="2"/>
      <c r="S5" s="2"/>
      <c r="T5" s="2"/>
      <c r="U5" s="2"/>
      <c r="V5" s="2"/>
      <c r="W5" s="2"/>
      <c r="X5" s="2"/>
      <c r="Y5" s="2"/>
      <c r="Z5" s="2"/>
    </row>
    <row r="6" spans="1:26">
      <c r="A6" s="26"/>
      <c r="B6" s="4" t="s">
        <v>627</v>
      </c>
      <c r="C6" s="26"/>
      <c r="D6" s="2"/>
      <c r="E6" s="2"/>
      <c r="F6" s="2"/>
      <c r="G6" s="2"/>
      <c r="H6" s="2"/>
      <c r="I6" s="2"/>
      <c r="J6" s="2"/>
      <c r="K6" s="2"/>
      <c r="L6" s="2"/>
      <c r="M6" s="2"/>
      <c r="N6" s="2"/>
      <c r="O6" s="2"/>
      <c r="P6" s="2"/>
      <c r="Q6" s="2"/>
      <c r="R6" s="2"/>
      <c r="S6" s="2"/>
      <c r="T6" s="2"/>
      <c r="U6" s="2"/>
      <c r="V6" s="2"/>
      <c r="W6" s="2"/>
      <c r="X6" s="2"/>
      <c r="Y6" s="2"/>
      <c r="Z6" s="2"/>
    </row>
    <row r="7" spans="1:26">
      <c r="A7" s="24" t="s">
        <v>628</v>
      </c>
      <c r="B7" s="4" t="s">
        <v>629</v>
      </c>
      <c r="C7" s="27" t="s">
        <v>630</v>
      </c>
      <c r="D7" s="2"/>
      <c r="E7" s="2"/>
      <c r="F7" s="2"/>
      <c r="G7" s="2"/>
      <c r="H7" s="2"/>
      <c r="I7" s="2"/>
      <c r="J7" s="2"/>
      <c r="K7" s="2"/>
      <c r="L7" s="2"/>
      <c r="M7" s="2"/>
      <c r="N7" s="2"/>
      <c r="O7" s="2"/>
      <c r="P7" s="2"/>
      <c r="Q7" s="2"/>
      <c r="R7" s="2"/>
      <c r="S7" s="2"/>
      <c r="T7" s="2"/>
      <c r="U7" s="2"/>
      <c r="V7" s="2"/>
      <c r="W7" s="2"/>
      <c r="X7" s="2"/>
      <c r="Y7" s="2"/>
      <c r="Z7" s="2"/>
    </row>
    <row r="8" spans="1:26">
      <c r="A8" s="25"/>
      <c r="B8" s="4" t="s">
        <v>631</v>
      </c>
      <c r="C8" s="25"/>
      <c r="D8" s="2"/>
      <c r="E8" s="2"/>
      <c r="F8" s="2"/>
      <c r="G8" s="2"/>
      <c r="H8" s="2"/>
      <c r="I8" s="2"/>
      <c r="J8" s="2"/>
      <c r="K8" s="2"/>
      <c r="L8" s="2"/>
      <c r="M8" s="2"/>
      <c r="N8" s="2"/>
      <c r="O8" s="2"/>
      <c r="P8" s="2"/>
      <c r="Q8" s="2"/>
      <c r="R8" s="2"/>
      <c r="S8" s="2"/>
      <c r="T8" s="2"/>
      <c r="U8" s="2"/>
      <c r="V8" s="2"/>
      <c r="W8" s="2"/>
      <c r="X8" s="2"/>
      <c r="Y8" s="2"/>
      <c r="Z8" s="2"/>
    </row>
    <row r="9" spans="1:26">
      <c r="A9" s="25"/>
      <c r="B9" s="4" t="s">
        <v>632</v>
      </c>
      <c r="C9" s="25"/>
      <c r="D9" s="2"/>
      <c r="E9" s="2"/>
      <c r="F9" s="2"/>
      <c r="G9" s="2"/>
      <c r="H9" s="2"/>
      <c r="I9" s="2"/>
      <c r="J9" s="2"/>
      <c r="K9" s="2"/>
      <c r="L9" s="2"/>
      <c r="M9" s="2"/>
      <c r="N9" s="2"/>
      <c r="O9" s="2"/>
      <c r="P9" s="2"/>
      <c r="Q9" s="2"/>
      <c r="R9" s="2"/>
      <c r="S9" s="2"/>
      <c r="T9" s="2"/>
      <c r="U9" s="2"/>
      <c r="V9" s="2"/>
      <c r="W9" s="2"/>
      <c r="X9" s="2"/>
      <c r="Y9" s="2"/>
      <c r="Z9" s="2"/>
    </row>
    <row r="10" spans="1:26">
      <c r="A10" s="25"/>
      <c r="B10" s="4" t="s">
        <v>633</v>
      </c>
      <c r="C10" s="25"/>
      <c r="D10" s="2"/>
      <c r="E10" s="2"/>
      <c r="F10" s="2"/>
      <c r="G10" s="2"/>
      <c r="H10" s="2"/>
      <c r="I10" s="2"/>
      <c r="J10" s="2"/>
      <c r="K10" s="2"/>
      <c r="L10" s="2"/>
      <c r="M10" s="2"/>
      <c r="N10" s="2"/>
      <c r="O10" s="2"/>
      <c r="P10" s="2"/>
      <c r="Q10" s="2"/>
      <c r="R10" s="2"/>
      <c r="S10" s="2"/>
      <c r="T10" s="2"/>
      <c r="U10" s="2"/>
      <c r="V10" s="2"/>
      <c r="W10" s="2"/>
      <c r="X10" s="2"/>
      <c r="Y10" s="2"/>
      <c r="Z10" s="2"/>
    </row>
    <row r="11" spans="1:26">
      <c r="A11" s="26"/>
      <c r="B11" s="4" t="s">
        <v>634</v>
      </c>
      <c r="C11" s="26"/>
      <c r="D11" s="2"/>
      <c r="E11" s="2"/>
      <c r="F11" s="2"/>
      <c r="G11" s="2"/>
      <c r="H11" s="2"/>
      <c r="I11" s="2"/>
      <c r="J11" s="2"/>
      <c r="K11" s="2"/>
      <c r="L11" s="2"/>
      <c r="M11" s="2"/>
      <c r="N11" s="2"/>
      <c r="O11" s="2"/>
      <c r="P11" s="2"/>
      <c r="Q11" s="2"/>
      <c r="R11" s="2"/>
      <c r="S11" s="2"/>
      <c r="T11" s="2"/>
      <c r="U11" s="2"/>
      <c r="V11" s="2"/>
      <c r="W11" s="2"/>
      <c r="X11" s="2"/>
      <c r="Y11" s="2"/>
      <c r="Z11" s="2"/>
    </row>
    <row r="12" spans="1:26">
      <c r="A12" s="24" t="s">
        <v>635</v>
      </c>
      <c r="B12" s="4" t="s">
        <v>636</v>
      </c>
      <c r="C12" s="27" t="s">
        <v>637</v>
      </c>
      <c r="D12" s="2"/>
      <c r="E12" s="2"/>
      <c r="F12" s="2"/>
      <c r="G12" s="2"/>
      <c r="H12" s="2"/>
      <c r="I12" s="2"/>
      <c r="J12" s="2"/>
      <c r="K12" s="2"/>
      <c r="L12" s="2"/>
      <c r="M12" s="2"/>
      <c r="N12" s="2"/>
      <c r="O12" s="2"/>
      <c r="P12" s="2"/>
      <c r="Q12" s="2"/>
      <c r="R12" s="2"/>
      <c r="S12" s="2"/>
      <c r="T12" s="2"/>
      <c r="U12" s="2"/>
      <c r="V12" s="2"/>
      <c r="W12" s="2"/>
      <c r="X12" s="2"/>
      <c r="Y12" s="2"/>
      <c r="Z12" s="2"/>
    </row>
    <row r="13" spans="1:26">
      <c r="A13" s="26"/>
      <c r="B13" s="4" t="s">
        <v>638</v>
      </c>
      <c r="C13" s="26"/>
      <c r="D13" s="2"/>
      <c r="E13" s="2"/>
      <c r="F13" s="2"/>
      <c r="G13" s="2"/>
      <c r="H13" s="2"/>
      <c r="I13" s="2"/>
      <c r="J13" s="2"/>
      <c r="K13" s="2"/>
      <c r="L13" s="2"/>
      <c r="M13" s="2"/>
      <c r="N13" s="2"/>
      <c r="O13" s="2"/>
      <c r="P13" s="2"/>
      <c r="Q13" s="2"/>
      <c r="R13" s="2"/>
      <c r="S13" s="2"/>
      <c r="T13" s="2"/>
      <c r="U13" s="2"/>
      <c r="V13" s="2"/>
      <c r="W13" s="2"/>
      <c r="X13" s="2"/>
      <c r="Y13" s="2"/>
      <c r="Z13" s="2"/>
    </row>
    <row r="14" spans="1:26">
      <c r="A14" s="24" t="s">
        <v>639</v>
      </c>
      <c r="B14" s="4" t="s">
        <v>640</v>
      </c>
      <c r="C14" s="24" t="s">
        <v>641</v>
      </c>
      <c r="D14" s="2"/>
      <c r="E14" s="2"/>
      <c r="F14" s="2"/>
      <c r="G14" s="2"/>
      <c r="H14" s="2"/>
      <c r="I14" s="2"/>
      <c r="J14" s="2"/>
      <c r="K14" s="2"/>
      <c r="L14" s="2"/>
      <c r="M14" s="2"/>
      <c r="N14" s="2"/>
      <c r="O14" s="2"/>
      <c r="P14" s="2"/>
      <c r="Q14" s="2"/>
      <c r="R14" s="2"/>
      <c r="S14" s="2"/>
      <c r="T14" s="2"/>
      <c r="U14" s="2"/>
      <c r="V14" s="2"/>
      <c r="W14" s="2"/>
      <c r="X14" s="2"/>
      <c r="Y14" s="2"/>
      <c r="Z14" s="2"/>
    </row>
    <row r="15" spans="1:26">
      <c r="A15" s="26"/>
      <c r="B15" s="4" t="s">
        <v>642</v>
      </c>
      <c r="C15" s="26"/>
      <c r="D15" s="2"/>
      <c r="E15" s="2"/>
      <c r="F15" s="2"/>
      <c r="G15" s="2"/>
      <c r="H15" s="2"/>
      <c r="I15" s="2"/>
      <c r="J15" s="2"/>
      <c r="K15" s="2"/>
      <c r="L15" s="2"/>
      <c r="M15" s="2"/>
      <c r="N15" s="2"/>
      <c r="O15" s="2"/>
      <c r="P15" s="2"/>
      <c r="Q15" s="2"/>
      <c r="R15" s="2"/>
      <c r="S15" s="2"/>
      <c r="T15" s="2"/>
      <c r="U15" s="2"/>
      <c r="V15" s="2"/>
      <c r="W15" s="2"/>
      <c r="X15" s="2"/>
      <c r="Y15" s="2"/>
      <c r="Z15" s="2"/>
    </row>
    <row r="16" spans="1:26">
      <c r="A16" s="4" t="s">
        <v>643</v>
      </c>
      <c r="B16" s="4" t="s">
        <v>644</v>
      </c>
      <c r="C16" s="4" t="s">
        <v>645</v>
      </c>
      <c r="D16" s="2"/>
      <c r="E16" s="2"/>
      <c r="F16" s="2"/>
      <c r="G16" s="2"/>
      <c r="H16" s="2"/>
      <c r="I16" s="2"/>
      <c r="J16" s="2"/>
      <c r="K16" s="2"/>
      <c r="L16" s="2"/>
      <c r="M16" s="2"/>
      <c r="N16" s="2"/>
      <c r="O16" s="2"/>
      <c r="P16" s="2"/>
      <c r="Q16" s="2"/>
      <c r="R16" s="2"/>
      <c r="S16" s="2"/>
      <c r="T16" s="2"/>
      <c r="U16" s="2"/>
      <c r="V16" s="2"/>
      <c r="W16" s="2"/>
      <c r="X16" s="2"/>
      <c r="Y16" s="2"/>
      <c r="Z16" s="2"/>
    </row>
    <row r="17" spans="1:26">
      <c r="A17" s="24" t="s">
        <v>646</v>
      </c>
      <c r="B17" s="4" t="s">
        <v>647</v>
      </c>
      <c r="C17" s="24" t="s">
        <v>648</v>
      </c>
      <c r="D17" s="2"/>
      <c r="E17" s="2"/>
      <c r="F17" s="2"/>
      <c r="G17" s="2"/>
      <c r="H17" s="2"/>
      <c r="I17" s="2"/>
      <c r="J17" s="2"/>
      <c r="K17" s="2"/>
      <c r="L17" s="2"/>
      <c r="M17" s="2"/>
      <c r="N17" s="2"/>
      <c r="O17" s="2"/>
      <c r="P17" s="2"/>
      <c r="Q17" s="2"/>
      <c r="R17" s="2"/>
      <c r="S17" s="2"/>
      <c r="T17" s="2"/>
      <c r="U17" s="2"/>
      <c r="V17" s="2"/>
      <c r="W17" s="2"/>
      <c r="X17" s="2"/>
      <c r="Y17" s="2"/>
      <c r="Z17" s="2"/>
    </row>
    <row r="18" spans="1:26">
      <c r="A18" s="25"/>
      <c r="B18" s="4" t="s">
        <v>649</v>
      </c>
      <c r="C18" s="25"/>
      <c r="D18" s="2"/>
      <c r="E18" s="2"/>
      <c r="F18" s="2"/>
      <c r="G18" s="2"/>
      <c r="H18" s="2"/>
      <c r="I18" s="2"/>
      <c r="J18" s="2"/>
      <c r="K18" s="2"/>
      <c r="L18" s="2"/>
      <c r="M18" s="2"/>
      <c r="N18" s="2"/>
      <c r="O18" s="2"/>
      <c r="P18" s="2"/>
      <c r="Q18" s="2"/>
      <c r="R18" s="2"/>
      <c r="S18" s="2"/>
      <c r="T18" s="2"/>
      <c r="U18" s="2"/>
      <c r="V18" s="2"/>
      <c r="W18" s="2"/>
      <c r="X18" s="2"/>
      <c r="Y18" s="2"/>
      <c r="Z18" s="2"/>
    </row>
    <row r="19" spans="1:26">
      <c r="A19" s="25"/>
      <c r="B19" s="15" t="s">
        <v>650</v>
      </c>
      <c r="C19" s="25"/>
      <c r="D19" s="2"/>
      <c r="E19" s="2"/>
      <c r="F19" s="2"/>
      <c r="G19" s="2"/>
      <c r="H19" s="2"/>
      <c r="I19" s="2"/>
      <c r="J19" s="2"/>
      <c r="K19" s="2"/>
      <c r="L19" s="2"/>
      <c r="M19" s="2"/>
      <c r="N19" s="2"/>
      <c r="O19" s="2"/>
      <c r="P19" s="2"/>
      <c r="Q19" s="2"/>
      <c r="R19" s="2"/>
      <c r="S19" s="2"/>
      <c r="T19" s="2"/>
      <c r="U19" s="2"/>
      <c r="V19" s="2"/>
      <c r="W19" s="2"/>
      <c r="X19" s="2"/>
      <c r="Y19" s="2"/>
      <c r="Z19" s="2"/>
    </row>
    <row r="20" spans="1:26">
      <c r="A20" s="25"/>
      <c r="B20" s="4" t="s">
        <v>651</v>
      </c>
      <c r="C20" s="25"/>
      <c r="D20" s="2"/>
      <c r="E20" s="2"/>
      <c r="F20" s="2"/>
      <c r="G20" s="2"/>
      <c r="H20" s="2"/>
      <c r="I20" s="2"/>
      <c r="J20" s="2"/>
      <c r="K20" s="2"/>
      <c r="L20" s="2"/>
      <c r="M20" s="2"/>
      <c r="N20" s="2"/>
      <c r="O20" s="2"/>
      <c r="P20" s="2"/>
      <c r="Q20" s="2"/>
      <c r="R20" s="2"/>
      <c r="S20" s="2"/>
      <c r="T20" s="2"/>
      <c r="U20" s="2"/>
      <c r="V20" s="2"/>
      <c r="W20" s="2"/>
      <c r="X20" s="2"/>
      <c r="Y20" s="2"/>
      <c r="Z20" s="2"/>
    </row>
    <row r="21" spans="1:26">
      <c r="A21" s="25"/>
      <c r="B21" s="4" t="s">
        <v>652</v>
      </c>
      <c r="C21" s="25"/>
      <c r="D21" s="2"/>
      <c r="E21" s="2"/>
      <c r="F21" s="2"/>
      <c r="G21" s="2"/>
      <c r="H21" s="2"/>
      <c r="I21" s="2"/>
      <c r="J21" s="2"/>
      <c r="K21" s="2"/>
      <c r="L21" s="2"/>
      <c r="M21" s="2"/>
      <c r="N21" s="2"/>
      <c r="O21" s="2"/>
      <c r="P21" s="2"/>
      <c r="Q21" s="2"/>
      <c r="R21" s="2"/>
      <c r="S21" s="2"/>
      <c r="T21" s="2"/>
      <c r="U21" s="2"/>
      <c r="V21" s="2"/>
      <c r="W21" s="2"/>
      <c r="X21" s="2"/>
      <c r="Y21" s="2"/>
      <c r="Z21" s="2"/>
    </row>
    <row r="22" spans="1:26">
      <c r="A22" s="25"/>
      <c r="B22" s="4" t="s">
        <v>653</v>
      </c>
      <c r="C22" s="25"/>
      <c r="D22" s="2"/>
      <c r="E22" s="2"/>
      <c r="F22" s="2"/>
      <c r="G22" s="2"/>
      <c r="H22" s="2"/>
      <c r="I22" s="2"/>
      <c r="J22" s="2"/>
      <c r="K22" s="2"/>
      <c r="L22" s="2"/>
      <c r="M22" s="2"/>
      <c r="N22" s="2"/>
      <c r="O22" s="2"/>
      <c r="P22" s="2"/>
      <c r="Q22" s="2"/>
      <c r="R22" s="2"/>
      <c r="S22" s="2"/>
      <c r="T22" s="2"/>
      <c r="U22" s="2"/>
      <c r="V22" s="2"/>
      <c r="W22" s="2"/>
      <c r="X22" s="2"/>
      <c r="Y22" s="2"/>
      <c r="Z22" s="2"/>
    </row>
    <row r="23" spans="1:26">
      <c r="A23" s="25"/>
      <c r="B23" s="4" t="s">
        <v>654</v>
      </c>
      <c r="C23" s="25"/>
      <c r="D23" s="2"/>
      <c r="E23" s="2"/>
      <c r="F23" s="2"/>
      <c r="G23" s="2"/>
      <c r="H23" s="2"/>
      <c r="I23" s="2"/>
      <c r="J23" s="2"/>
      <c r="K23" s="2"/>
      <c r="L23" s="2"/>
      <c r="M23" s="2"/>
      <c r="N23" s="2"/>
      <c r="O23" s="2"/>
      <c r="P23" s="2"/>
      <c r="Q23" s="2"/>
      <c r="R23" s="2"/>
      <c r="S23" s="2"/>
      <c r="T23" s="2"/>
      <c r="U23" s="2"/>
      <c r="V23" s="2"/>
      <c r="W23" s="2"/>
      <c r="X23" s="2"/>
      <c r="Y23" s="2"/>
      <c r="Z23" s="2"/>
    </row>
    <row r="24" spans="1:26">
      <c r="A24" s="25"/>
      <c r="B24" s="4" t="s">
        <v>655</v>
      </c>
      <c r="C24" s="25"/>
      <c r="D24" s="2"/>
      <c r="E24" s="2"/>
      <c r="F24" s="2"/>
      <c r="G24" s="2"/>
      <c r="H24" s="2"/>
      <c r="I24" s="2"/>
      <c r="J24" s="2"/>
      <c r="K24" s="2"/>
      <c r="L24" s="2"/>
      <c r="M24" s="2"/>
      <c r="N24" s="2"/>
      <c r="O24" s="2"/>
      <c r="P24" s="2"/>
      <c r="Q24" s="2"/>
      <c r="R24" s="2"/>
      <c r="S24" s="2"/>
      <c r="T24" s="2"/>
      <c r="U24" s="2"/>
      <c r="V24" s="2"/>
      <c r="W24" s="2"/>
      <c r="X24" s="2"/>
      <c r="Y24" s="2"/>
      <c r="Z24" s="2"/>
    </row>
    <row r="25" spans="1:26">
      <c r="A25" s="25"/>
      <c r="B25" s="4" t="s">
        <v>656</v>
      </c>
      <c r="C25" s="25"/>
      <c r="D25" s="2"/>
      <c r="E25" s="2"/>
      <c r="F25" s="2"/>
      <c r="G25" s="2"/>
      <c r="H25" s="2"/>
      <c r="I25" s="2"/>
      <c r="J25" s="2"/>
      <c r="K25" s="2"/>
      <c r="L25" s="2"/>
      <c r="M25" s="2"/>
      <c r="N25" s="2"/>
      <c r="O25" s="2"/>
      <c r="P25" s="2"/>
      <c r="Q25" s="2"/>
      <c r="R25" s="2"/>
      <c r="S25" s="2"/>
      <c r="T25" s="2"/>
      <c r="U25" s="2"/>
      <c r="V25" s="2"/>
      <c r="W25" s="2"/>
      <c r="X25" s="2"/>
      <c r="Y25" s="2"/>
      <c r="Z25" s="2"/>
    </row>
    <row r="26" spans="1:26">
      <c r="A26" s="25"/>
      <c r="B26" s="4" t="s">
        <v>657</v>
      </c>
      <c r="C26" s="25"/>
      <c r="D26" s="2"/>
      <c r="E26" s="2"/>
      <c r="F26" s="2"/>
      <c r="G26" s="2"/>
      <c r="H26" s="2"/>
      <c r="I26" s="2"/>
      <c r="J26" s="2"/>
      <c r="K26" s="2"/>
      <c r="L26" s="2"/>
      <c r="M26" s="2"/>
      <c r="N26" s="2"/>
      <c r="O26" s="2"/>
      <c r="P26" s="2"/>
      <c r="Q26" s="2"/>
      <c r="R26" s="2"/>
      <c r="S26" s="2"/>
      <c r="T26" s="2"/>
      <c r="U26" s="2"/>
      <c r="V26" s="2"/>
      <c r="W26" s="2"/>
      <c r="X26" s="2"/>
      <c r="Y26" s="2"/>
      <c r="Z26" s="2"/>
    </row>
    <row r="27" spans="1:26">
      <c r="A27" s="26"/>
      <c r="B27" s="4" t="s">
        <v>658</v>
      </c>
      <c r="C27" s="26"/>
      <c r="D27" s="2"/>
      <c r="E27" s="2"/>
      <c r="F27" s="2"/>
      <c r="G27" s="2"/>
      <c r="H27" s="2"/>
      <c r="I27" s="2"/>
      <c r="J27" s="2"/>
      <c r="K27" s="2"/>
      <c r="L27" s="2"/>
      <c r="M27" s="2"/>
      <c r="N27" s="2"/>
      <c r="O27" s="2"/>
      <c r="P27" s="2"/>
      <c r="Q27" s="2"/>
      <c r="R27" s="2"/>
      <c r="S27" s="2"/>
      <c r="T27" s="2"/>
      <c r="U27" s="2"/>
      <c r="V27" s="2"/>
      <c r="W27" s="2"/>
      <c r="X27" s="2"/>
      <c r="Y27" s="2"/>
      <c r="Z27" s="2"/>
    </row>
    <row r="28" spans="1:26">
      <c r="A28" s="24" t="s">
        <v>659</v>
      </c>
      <c r="B28" s="4" t="s">
        <v>660</v>
      </c>
      <c r="C28" s="27" t="s">
        <v>661</v>
      </c>
      <c r="D28" s="2"/>
      <c r="E28" s="2"/>
      <c r="F28" s="2"/>
      <c r="G28" s="2"/>
      <c r="H28" s="2"/>
      <c r="I28" s="2"/>
      <c r="J28" s="2"/>
      <c r="K28" s="2"/>
      <c r="L28" s="2"/>
      <c r="M28" s="2"/>
      <c r="N28" s="2"/>
      <c r="O28" s="2"/>
      <c r="P28" s="2"/>
      <c r="Q28" s="2"/>
      <c r="R28" s="2"/>
      <c r="S28" s="2"/>
      <c r="T28" s="2"/>
      <c r="U28" s="2"/>
      <c r="V28" s="2"/>
      <c r="W28" s="2"/>
      <c r="X28" s="2"/>
      <c r="Y28" s="2"/>
      <c r="Z28" s="2"/>
    </row>
    <row r="29" spans="1:26">
      <c r="A29" s="25"/>
      <c r="B29" s="4" t="s">
        <v>662</v>
      </c>
      <c r="C29" s="25"/>
      <c r="D29" s="2"/>
      <c r="E29" s="2"/>
      <c r="F29" s="2"/>
      <c r="G29" s="2"/>
      <c r="H29" s="2"/>
      <c r="I29" s="2"/>
      <c r="J29" s="2"/>
      <c r="K29" s="2"/>
      <c r="L29" s="2"/>
      <c r="M29" s="2"/>
      <c r="N29" s="2"/>
      <c r="O29" s="2"/>
      <c r="P29" s="2"/>
      <c r="Q29" s="2"/>
      <c r="R29" s="2"/>
      <c r="S29" s="2"/>
      <c r="T29" s="2"/>
      <c r="U29" s="2"/>
      <c r="V29" s="2"/>
      <c r="W29" s="2"/>
      <c r="X29" s="2"/>
      <c r="Y29" s="2"/>
      <c r="Z29" s="2"/>
    </row>
    <row r="30" spans="1:26">
      <c r="A30" s="26"/>
      <c r="B30" s="4" t="s">
        <v>663</v>
      </c>
      <c r="C30" s="26"/>
      <c r="D30" s="2"/>
      <c r="E30" s="2"/>
      <c r="F30" s="2"/>
      <c r="G30" s="2"/>
      <c r="H30" s="2"/>
      <c r="I30" s="2"/>
      <c r="J30" s="2"/>
      <c r="K30" s="2"/>
      <c r="L30" s="2"/>
      <c r="M30" s="2"/>
      <c r="N30" s="2"/>
      <c r="O30" s="2"/>
      <c r="P30" s="2"/>
      <c r="Q30" s="2"/>
      <c r="R30" s="2"/>
      <c r="S30" s="2"/>
      <c r="T30" s="2"/>
      <c r="U30" s="2"/>
      <c r="V30" s="2"/>
      <c r="W30" s="2"/>
      <c r="X30" s="2"/>
      <c r="Y30" s="2"/>
      <c r="Z30" s="2"/>
    </row>
    <row r="31" spans="1:26">
      <c r="C31" s="4"/>
      <c r="D31" s="2"/>
      <c r="E31" s="2"/>
      <c r="F31" s="2"/>
      <c r="G31" s="2"/>
      <c r="H31" s="2"/>
      <c r="I31" s="2"/>
      <c r="J31" s="2"/>
      <c r="K31" s="2"/>
      <c r="L31" s="2"/>
      <c r="M31" s="2"/>
      <c r="N31" s="2"/>
      <c r="O31" s="2"/>
      <c r="P31" s="2"/>
      <c r="Q31" s="2"/>
      <c r="R31" s="2"/>
      <c r="S31" s="2"/>
      <c r="T31" s="2"/>
      <c r="U31" s="2"/>
      <c r="V31" s="2"/>
      <c r="W31" s="2"/>
      <c r="X31" s="2"/>
      <c r="Y31" s="2"/>
      <c r="Z31" s="2"/>
    </row>
    <row r="32" spans="1:26">
      <c r="A32" s="4"/>
      <c r="B32" s="4"/>
      <c r="C32" s="4"/>
      <c r="D32" s="2"/>
      <c r="E32" s="2"/>
      <c r="F32" s="2"/>
      <c r="G32" s="2"/>
      <c r="H32" s="2"/>
      <c r="I32" s="2"/>
      <c r="J32" s="2"/>
      <c r="K32" s="2"/>
      <c r="L32" s="2"/>
      <c r="M32" s="2"/>
      <c r="N32" s="2"/>
      <c r="O32" s="2"/>
      <c r="P32" s="2"/>
      <c r="Q32" s="2"/>
      <c r="R32" s="2"/>
      <c r="S32" s="2"/>
      <c r="T32" s="2"/>
      <c r="U32" s="2"/>
      <c r="V32" s="2"/>
      <c r="W32" s="2"/>
      <c r="X32" s="2"/>
      <c r="Y32" s="2"/>
      <c r="Z32" s="2"/>
    </row>
    <row r="33" spans="1:26">
      <c r="A33" s="4"/>
      <c r="C33" s="4"/>
      <c r="D33" s="2"/>
      <c r="E33" s="2"/>
      <c r="F33" s="2"/>
      <c r="G33" s="2"/>
      <c r="H33" s="2"/>
      <c r="I33" s="2"/>
      <c r="J33" s="2"/>
      <c r="K33" s="2"/>
      <c r="L33" s="2"/>
      <c r="M33" s="2"/>
      <c r="N33" s="2"/>
      <c r="O33" s="2"/>
      <c r="P33" s="2"/>
      <c r="Q33" s="2"/>
      <c r="R33" s="2"/>
      <c r="S33" s="2"/>
      <c r="T33" s="2"/>
      <c r="U33" s="2"/>
      <c r="V33" s="2"/>
      <c r="W33" s="2"/>
      <c r="X33" s="2"/>
      <c r="Y33" s="2"/>
      <c r="Z33" s="2"/>
    </row>
    <row r="34" spans="1:26">
      <c r="A34" s="4"/>
      <c r="B34" s="4"/>
      <c r="C34" s="4"/>
      <c r="D34" s="2"/>
      <c r="E34" s="2"/>
      <c r="F34" s="2"/>
      <c r="G34" s="2"/>
      <c r="H34" s="2"/>
      <c r="I34" s="2"/>
      <c r="J34" s="2"/>
      <c r="K34" s="2"/>
      <c r="L34" s="2"/>
      <c r="M34" s="2"/>
      <c r="N34" s="2"/>
      <c r="O34" s="2"/>
      <c r="P34" s="2"/>
      <c r="Q34" s="2"/>
      <c r="R34" s="2"/>
      <c r="S34" s="2"/>
      <c r="T34" s="2"/>
      <c r="U34" s="2"/>
      <c r="V34" s="2"/>
      <c r="W34" s="2"/>
      <c r="X34" s="2"/>
      <c r="Y34" s="2"/>
      <c r="Z34" s="2"/>
    </row>
    <row r="35" spans="1:26">
      <c r="A35" s="4"/>
      <c r="B35" s="4"/>
      <c r="C35" s="4"/>
      <c r="D35" s="2"/>
      <c r="E35" s="2"/>
      <c r="F35" s="2"/>
      <c r="G35" s="2"/>
      <c r="H35" s="2"/>
      <c r="I35" s="2"/>
      <c r="J35" s="2"/>
      <c r="K35" s="2"/>
      <c r="L35" s="2"/>
      <c r="M35" s="2"/>
      <c r="N35" s="2"/>
      <c r="O35" s="2"/>
      <c r="P35" s="2"/>
      <c r="Q35" s="2"/>
      <c r="R35" s="2"/>
      <c r="S35" s="2"/>
      <c r="T35" s="2"/>
      <c r="U35" s="2"/>
      <c r="V35" s="2"/>
      <c r="W35" s="2"/>
      <c r="X35" s="2"/>
      <c r="Y35" s="2"/>
      <c r="Z35" s="2"/>
    </row>
    <row r="36" spans="1:26">
      <c r="A36" s="4"/>
      <c r="B36" s="4"/>
      <c r="C36" s="4"/>
      <c r="D36" s="2"/>
      <c r="E36" s="2"/>
      <c r="F36" s="2"/>
      <c r="G36" s="2"/>
      <c r="H36" s="2"/>
      <c r="I36" s="2"/>
      <c r="J36" s="2"/>
      <c r="K36" s="2"/>
      <c r="L36" s="2"/>
      <c r="M36" s="2"/>
      <c r="N36" s="2"/>
      <c r="O36" s="2"/>
      <c r="P36" s="2"/>
      <c r="Q36" s="2"/>
      <c r="R36" s="2"/>
      <c r="S36" s="2"/>
      <c r="T36" s="2"/>
      <c r="U36" s="2"/>
      <c r="V36" s="2"/>
      <c r="W36" s="2"/>
      <c r="X36" s="2"/>
      <c r="Y36" s="2"/>
      <c r="Z36" s="2"/>
    </row>
    <row r="37" spans="1:26">
      <c r="A37" s="4"/>
      <c r="B37" s="4"/>
      <c r="C37" s="4"/>
      <c r="D37" s="2"/>
      <c r="E37" s="2"/>
      <c r="F37" s="2"/>
      <c r="G37" s="2"/>
      <c r="H37" s="2"/>
      <c r="I37" s="2"/>
      <c r="J37" s="2"/>
      <c r="K37" s="2"/>
      <c r="L37" s="2"/>
      <c r="M37" s="2"/>
      <c r="N37" s="2"/>
      <c r="O37" s="2"/>
      <c r="P37" s="2"/>
      <c r="Q37" s="2"/>
      <c r="R37" s="2"/>
      <c r="S37" s="2"/>
      <c r="T37" s="2"/>
      <c r="U37" s="2"/>
      <c r="V37" s="2"/>
      <c r="W37" s="2"/>
      <c r="X37" s="2"/>
      <c r="Y37" s="2"/>
      <c r="Z37" s="2"/>
    </row>
    <row r="38" spans="1:26">
      <c r="A38" s="4"/>
      <c r="B38" s="4"/>
      <c r="C38" s="4"/>
      <c r="D38" s="2"/>
      <c r="E38" s="2"/>
      <c r="F38" s="2"/>
      <c r="G38" s="2"/>
      <c r="H38" s="2"/>
      <c r="I38" s="2"/>
      <c r="J38" s="2"/>
      <c r="K38" s="2"/>
      <c r="L38" s="2"/>
      <c r="M38" s="2"/>
      <c r="N38" s="2"/>
      <c r="O38" s="2"/>
      <c r="P38" s="2"/>
      <c r="Q38" s="2"/>
      <c r="R38" s="2"/>
      <c r="S38" s="2"/>
      <c r="T38" s="2"/>
      <c r="U38" s="2"/>
      <c r="V38" s="2"/>
      <c r="W38" s="2"/>
      <c r="X38" s="2"/>
      <c r="Y38" s="2"/>
      <c r="Z38" s="2"/>
    </row>
    <row r="39" spans="1:26">
      <c r="A39" s="4"/>
      <c r="B39" s="4"/>
      <c r="C39" s="4"/>
      <c r="D39" s="2"/>
      <c r="E39" s="2"/>
      <c r="F39" s="2"/>
      <c r="G39" s="2"/>
      <c r="H39" s="2"/>
      <c r="I39" s="2"/>
      <c r="J39" s="2"/>
      <c r="K39" s="2"/>
      <c r="L39" s="2"/>
      <c r="M39" s="2"/>
      <c r="N39" s="2"/>
      <c r="O39" s="2"/>
      <c r="P39" s="2"/>
      <c r="Q39" s="2"/>
      <c r="R39" s="2"/>
      <c r="S39" s="2"/>
      <c r="T39" s="2"/>
      <c r="U39" s="2"/>
      <c r="V39" s="2"/>
      <c r="W39" s="2"/>
      <c r="X39" s="2"/>
      <c r="Y39" s="2"/>
      <c r="Z39" s="2"/>
    </row>
    <row r="40" spans="1:26">
      <c r="A40" s="4"/>
      <c r="B40" s="4"/>
      <c r="C40" s="4"/>
      <c r="D40" s="2"/>
      <c r="E40" s="2"/>
      <c r="F40" s="2"/>
      <c r="G40" s="2"/>
      <c r="H40" s="2"/>
      <c r="I40" s="2"/>
      <c r="J40" s="2"/>
      <c r="K40" s="2"/>
      <c r="L40" s="2"/>
      <c r="M40" s="2"/>
      <c r="N40" s="2"/>
      <c r="O40" s="2"/>
      <c r="P40" s="2"/>
      <c r="Q40" s="2"/>
      <c r="R40" s="2"/>
      <c r="S40" s="2"/>
      <c r="T40" s="2"/>
      <c r="U40" s="2"/>
      <c r="V40" s="2"/>
      <c r="W40" s="2"/>
      <c r="X40" s="2"/>
      <c r="Y40" s="2"/>
      <c r="Z40" s="2"/>
    </row>
    <row r="41" spans="1:26">
      <c r="A41" s="4"/>
      <c r="B41" s="4"/>
      <c r="C41" s="4"/>
      <c r="D41" s="2"/>
      <c r="E41" s="2"/>
      <c r="F41" s="2"/>
      <c r="G41" s="2"/>
      <c r="H41" s="2"/>
      <c r="I41" s="2"/>
      <c r="J41" s="2"/>
      <c r="K41" s="2"/>
      <c r="L41" s="2"/>
      <c r="M41" s="2"/>
      <c r="N41" s="2"/>
      <c r="O41" s="2"/>
      <c r="P41" s="2"/>
      <c r="Q41" s="2"/>
      <c r="R41" s="2"/>
      <c r="S41" s="2"/>
      <c r="T41" s="2"/>
      <c r="U41" s="2"/>
      <c r="V41" s="2"/>
      <c r="W41" s="2"/>
      <c r="X41" s="2"/>
      <c r="Y41" s="2"/>
      <c r="Z41" s="2"/>
    </row>
    <row r="42" spans="1:26">
      <c r="A42" s="4"/>
      <c r="B42" s="4"/>
      <c r="C42" s="4"/>
      <c r="D42" s="2"/>
      <c r="E42" s="2"/>
      <c r="F42" s="2"/>
      <c r="G42" s="2"/>
      <c r="H42" s="2"/>
      <c r="I42" s="2"/>
      <c r="J42" s="2"/>
      <c r="K42" s="2"/>
      <c r="L42" s="2"/>
      <c r="M42" s="2"/>
      <c r="N42" s="2"/>
      <c r="O42" s="2"/>
      <c r="P42" s="2"/>
      <c r="Q42" s="2"/>
      <c r="R42" s="2"/>
      <c r="S42" s="2"/>
      <c r="T42" s="2"/>
      <c r="U42" s="2"/>
      <c r="V42" s="2"/>
      <c r="W42" s="2"/>
      <c r="X42" s="2"/>
      <c r="Y42" s="2"/>
      <c r="Z42" s="2"/>
    </row>
    <row r="43" spans="1:26">
      <c r="A43" s="4"/>
      <c r="B43" s="4"/>
      <c r="C43" s="4"/>
      <c r="D43" s="2"/>
      <c r="E43" s="2"/>
      <c r="F43" s="2"/>
      <c r="G43" s="2"/>
      <c r="H43" s="2"/>
      <c r="I43" s="2"/>
      <c r="J43" s="2"/>
      <c r="K43" s="2"/>
      <c r="L43" s="2"/>
      <c r="M43" s="2"/>
      <c r="N43" s="2"/>
      <c r="O43" s="2"/>
      <c r="P43" s="2"/>
      <c r="Q43" s="2"/>
      <c r="R43" s="2"/>
      <c r="S43" s="2"/>
      <c r="T43" s="2"/>
      <c r="U43" s="2"/>
      <c r="V43" s="2"/>
      <c r="W43" s="2"/>
      <c r="X43" s="2"/>
      <c r="Y43" s="2"/>
      <c r="Z43" s="2"/>
    </row>
    <row r="44" spans="1:26">
      <c r="A44" s="4"/>
      <c r="B44" s="4"/>
      <c r="C44" s="4"/>
      <c r="D44" s="2"/>
      <c r="E44" s="2"/>
      <c r="F44" s="2"/>
      <c r="G44" s="2"/>
      <c r="H44" s="2"/>
      <c r="I44" s="2"/>
      <c r="J44" s="2"/>
      <c r="K44" s="2"/>
      <c r="L44" s="2"/>
      <c r="M44" s="2"/>
      <c r="N44" s="2"/>
      <c r="O44" s="2"/>
      <c r="P44" s="2"/>
      <c r="Q44" s="2"/>
      <c r="R44" s="2"/>
      <c r="S44" s="2"/>
      <c r="T44" s="2"/>
      <c r="U44" s="2"/>
      <c r="V44" s="2"/>
      <c r="W44" s="2"/>
      <c r="X44" s="2"/>
      <c r="Y44" s="2"/>
      <c r="Z44" s="2"/>
    </row>
    <row r="45" spans="1:26">
      <c r="A45" s="4"/>
      <c r="B45" s="4"/>
      <c r="C45" s="4"/>
      <c r="D45" s="2"/>
      <c r="E45" s="2"/>
      <c r="F45" s="2"/>
      <c r="G45" s="2"/>
      <c r="H45" s="2"/>
      <c r="I45" s="2"/>
      <c r="J45" s="2"/>
      <c r="K45" s="2"/>
      <c r="L45" s="2"/>
      <c r="M45" s="2"/>
      <c r="N45" s="2"/>
      <c r="O45" s="2"/>
      <c r="P45" s="2"/>
      <c r="Q45" s="2"/>
      <c r="R45" s="2"/>
      <c r="S45" s="2"/>
      <c r="T45" s="2"/>
      <c r="U45" s="2"/>
      <c r="V45" s="2"/>
      <c r="W45" s="2"/>
      <c r="X45" s="2"/>
      <c r="Y45" s="2"/>
      <c r="Z45" s="2"/>
    </row>
    <row r="46" spans="1:26">
      <c r="A46" s="4"/>
      <c r="B46" s="4"/>
      <c r="C46" s="4"/>
      <c r="D46" s="2"/>
      <c r="E46" s="2"/>
      <c r="F46" s="2"/>
      <c r="G46" s="2"/>
      <c r="H46" s="2"/>
      <c r="I46" s="2"/>
      <c r="J46" s="2"/>
      <c r="K46" s="2"/>
      <c r="L46" s="2"/>
      <c r="M46" s="2"/>
      <c r="N46" s="2"/>
      <c r="O46" s="2"/>
      <c r="P46" s="2"/>
      <c r="Q46" s="2"/>
      <c r="R46" s="2"/>
      <c r="S46" s="2"/>
      <c r="T46" s="2"/>
      <c r="U46" s="2"/>
      <c r="V46" s="2"/>
      <c r="W46" s="2"/>
      <c r="X46" s="2"/>
      <c r="Y46" s="2"/>
      <c r="Z46" s="2"/>
    </row>
    <row r="47" spans="1:26">
      <c r="A47" s="4"/>
      <c r="B47" s="4"/>
      <c r="C47" s="4"/>
      <c r="D47" s="2"/>
      <c r="E47" s="2"/>
      <c r="F47" s="2"/>
      <c r="G47" s="2"/>
      <c r="H47" s="2"/>
      <c r="I47" s="2"/>
      <c r="J47" s="2"/>
      <c r="K47" s="2"/>
      <c r="L47" s="2"/>
      <c r="M47" s="2"/>
      <c r="N47" s="2"/>
      <c r="O47" s="2"/>
      <c r="P47" s="2"/>
      <c r="Q47" s="2"/>
      <c r="R47" s="2"/>
      <c r="S47" s="2"/>
      <c r="T47" s="2"/>
      <c r="U47" s="2"/>
      <c r="V47" s="2"/>
      <c r="W47" s="2"/>
      <c r="X47" s="2"/>
      <c r="Y47" s="2"/>
      <c r="Z47" s="2"/>
    </row>
    <row r="48" spans="1:26">
      <c r="A48" s="4"/>
      <c r="B48" s="4"/>
      <c r="C48" s="4"/>
      <c r="D48" s="2"/>
      <c r="E48" s="2"/>
      <c r="F48" s="2"/>
      <c r="G48" s="2"/>
      <c r="H48" s="2"/>
      <c r="I48" s="2"/>
      <c r="J48" s="2"/>
      <c r="K48" s="2"/>
      <c r="L48" s="2"/>
      <c r="M48" s="2"/>
      <c r="N48" s="2"/>
      <c r="O48" s="2"/>
      <c r="P48" s="2"/>
      <c r="Q48" s="2"/>
      <c r="R48" s="2"/>
      <c r="S48" s="2"/>
      <c r="T48" s="2"/>
      <c r="U48" s="2"/>
      <c r="V48" s="2"/>
      <c r="W48" s="2"/>
      <c r="X48" s="2"/>
      <c r="Y48" s="2"/>
      <c r="Z48" s="2"/>
    </row>
    <row r="49" spans="1:26">
      <c r="A49" s="4"/>
      <c r="B49" s="4"/>
      <c r="C49" s="4"/>
      <c r="D49" s="2"/>
      <c r="E49" s="2"/>
      <c r="F49" s="2"/>
      <c r="G49" s="2"/>
      <c r="H49" s="2"/>
      <c r="I49" s="2"/>
      <c r="J49" s="2"/>
      <c r="K49" s="2"/>
      <c r="L49" s="2"/>
      <c r="M49" s="2"/>
      <c r="N49" s="2"/>
      <c r="O49" s="2"/>
      <c r="P49" s="2"/>
      <c r="Q49" s="2"/>
      <c r="R49" s="2"/>
      <c r="S49" s="2"/>
      <c r="T49" s="2"/>
      <c r="U49" s="2"/>
      <c r="V49" s="2"/>
      <c r="W49" s="2"/>
      <c r="X49" s="2"/>
      <c r="Y49" s="2"/>
      <c r="Z49" s="2"/>
    </row>
    <row r="50" spans="1:26">
      <c r="A50" s="4"/>
      <c r="B50" s="4"/>
      <c r="C50" s="4"/>
      <c r="D50" s="2"/>
      <c r="E50" s="2"/>
      <c r="F50" s="2"/>
      <c r="G50" s="2"/>
      <c r="H50" s="2"/>
      <c r="I50" s="2"/>
      <c r="J50" s="2"/>
      <c r="K50" s="2"/>
      <c r="L50" s="2"/>
      <c r="M50" s="2"/>
      <c r="N50" s="2"/>
      <c r="O50" s="2"/>
      <c r="P50" s="2"/>
      <c r="Q50" s="2"/>
      <c r="R50" s="2"/>
      <c r="S50" s="2"/>
      <c r="T50" s="2"/>
      <c r="U50" s="2"/>
      <c r="V50" s="2"/>
      <c r="W50" s="2"/>
      <c r="X50" s="2"/>
      <c r="Y50" s="2"/>
      <c r="Z50" s="2"/>
    </row>
    <row r="51" spans="1:26">
      <c r="A51" s="4"/>
      <c r="B51" s="4"/>
      <c r="C51" s="4"/>
      <c r="D51" s="2"/>
      <c r="E51" s="2"/>
      <c r="F51" s="2"/>
      <c r="G51" s="2"/>
      <c r="H51" s="2"/>
      <c r="I51" s="2"/>
      <c r="J51" s="2"/>
      <c r="K51" s="2"/>
      <c r="L51" s="2"/>
      <c r="M51" s="2"/>
      <c r="N51" s="2"/>
      <c r="O51" s="2"/>
      <c r="P51" s="2"/>
      <c r="Q51" s="2"/>
      <c r="R51" s="2"/>
      <c r="S51" s="2"/>
      <c r="T51" s="2"/>
      <c r="U51" s="2"/>
      <c r="V51" s="2"/>
      <c r="W51" s="2"/>
      <c r="X51" s="2"/>
      <c r="Y51" s="2"/>
      <c r="Z51" s="2"/>
    </row>
    <row r="52" spans="1:26">
      <c r="A52" s="4"/>
      <c r="B52" s="4"/>
      <c r="C52" s="4"/>
      <c r="D52" s="2"/>
      <c r="E52" s="2"/>
      <c r="F52" s="2"/>
      <c r="G52" s="2"/>
      <c r="H52" s="2"/>
      <c r="I52" s="2"/>
      <c r="J52" s="2"/>
      <c r="K52" s="2"/>
      <c r="L52" s="2"/>
      <c r="M52" s="2"/>
      <c r="N52" s="2"/>
      <c r="O52" s="2"/>
      <c r="P52" s="2"/>
      <c r="Q52" s="2"/>
      <c r="R52" s="2"/>
      <c r="S52" s="2"/>
      <c r="T52" s="2"/>
      <c r="U52" s="2"/>
      <c r="V52" s="2"/>
      <c r="W52" s="2"/>
      <c r="X52" s="2"/>
      <c r="Y52" s="2"/>
      <c r="Z52" s="2"/>
    </row>
    <row r="53" spans="1:26">
      <c r="A53" s="4"/>
      <c r="B53" s="4"/>
      <c r="C53" s="4"/>
      <c r="D53" s="2"/>
      <c r="E53" s="2"/>
      <c r="F53" s="2"/>
      <c r="G53" s="2"/>
      <c r="H53" s="2"/>
      <c r="I53" s="2"/>
      <c r="J53" s="2"/>
      <c r="K53" s="2"/>
      <c r="L53" s="2"/>
      <c r="M53" s="2"/>
      <c r="N53" s="2"/>
      <c r="O53" s="2"/>
      <c r="P53" s="2"/>
      <c r="Q53" s="2"/>
      <c r="R53" s="2"/>
      <c r="S53" s="2"/>
      <c r="T53" s="2"/>
      <c r="U53" s="2"/>
      <c r="V53" s="2"/>
      <c r="W53" s="2"/>
      <c r="X53" s="2"/>
      <c r="Y53" s="2"/>
      <c r="Z53" s="2"/>
    </row>
    <row r="54" spans="1:26">
      <c r="A54" s="4"/>
      <c r="B54" s="4"/>
      <c r="C54" s="4"/>
      <c r="D54" s="2"/>
      <c r="E54" s="2"/>
      <c r="F54" s="2"/>
      <c r="G54" s="2"/>
      <c r="H54" s="2"/>
      <c r="I54" s="2"/>
      <c r="J54" s="2"/>
      <c r="K54" s="2"/>
      <c r="L54" s="2"/>
      <c r="M54" s="2"/>
      <c r="N54" s="2"/>
      <c r="O54" s="2"/>
      <c r="P54" s="2"/>
      <c r="Q54" s="2"/>
      <c r="R54" s="2"/>
      <c r="S54" s="2"/>
      <c r="T54" s="2"/>
      <c r="U54" s="2"/>
      <c r="V54" s="2"/>
      <c r="W54" s="2"/>
      <c r="X54" s="2"/>
      <c r="Y54" s="2"/>
      <c r="Z54" s="2"/>
    </row>
    <row r="55" spans="1:26">
      <c r="A55" s="4"/>
      <c r="B55" s="4"/>
      <c r="C55" s="4"/>
      <c r="D55" s="2"/>
      <c r="E55" s="2"/>
      <c r="F55" s="2"/>
      <c r="G55" s="2"/>
      <c r="H55" s="2"/>
      <c r="I55" s="2"/>
      <c r="J55" s="2"/>
      <c r="K55" s="2"/>
      <c r="L55" s="2"/>
      <c r="M55" s="2"/>
      <c r="N55" s="2"/>
      <c r="O55" s="2"/>
      <c r="P55" s="2"/>
      <c r="Q55" s="2"/>
      <c r="R55" s="2"/>
      <c r="S55" s="2"/>
      <c r="T55" s="2"/>
      <c r="U55" s="2"/>
      <c r="V55" s="2"/>
      <c r="W55" s="2"/>
      <c r="X55" s="2"/>
      <c r="Y55" s="2"/>
      <c r="Z55" s="2"/>
    </row>
    <row r="56" spans="1:26">
      <c r="A56" s="4"/>
      <c r="B56" s="4"/>
      <c r="C56" s="4"/>
      <c r="D56" s="2"/>
      <c r="E56" s="2"/>
      <c r="F56" s="2"/>
      <c r="G56" s="2"/>
      <c r="H56" s="2"/>
      <c r="I56" s="2"/>
      <c r="J56" s="2"/>
      <c r="K56" s="2"/>
      <c r="L56" s="2"/>
      <c r="M56" s="2"/>
      <c r="N56" s="2"/>
      <c r="O56" s="2"/>
      <c r="P56" s="2"/>
      <c r="Q56" s="2"/>
      <c r="R56" s="2"/>
      <c r="S56" s="2"/>
      <c r="T56" s="2"/>
      <c r="U56" s="2"/>
      <c r="V56" s="2"/>
      <c r="W56" s="2"/>
      <c r="X56" s="2"/>
      <c r="Y56" s="2"/>
      <c r="Z56" s="2"/>
    </row>
    <row r="57" spans="1:26">
      <c r="A57" s="4"/>
      <c r="B57" s="4"/>
      <c r="C57" s="4"/>
      <c r="D57" s="2"/>
      <c r="E57" s="2"/>
      <c r="F57" s="2"/>
      <c r="G57" s="2"/>
      <c r="H57" s="2"/>
      <c r="I57" s="2"/>
      <c r="J57" s="2"/>
      <c r="K57" s="2"/>
      <c r="L57" s="2"/>
      <c r="M57" s="2"/>
      <c r="N57" s="2"/>
      <c r="O57" s="2"/>
      <c r="P57" s="2"/>
      <c r="Q57" s="2"/>
      <c r="R57" s="2"/>
      <c r="S57" s="2"/>
      <c r="T57" s="2"/>
      <c r="U57" s="2"/>
      <c r="V57" s="2"/>
      <c r="W57" s="2"/>
      <c r="X57" s="2"/>
      <c r="Y57" s="2"/>
      <c r="Z57" s="2"/>
    </row>
    <row r="58" spans="1:26">
      <c r="A58" s="4"/>
      <c r="B58" s="4"/>
      <c r="C58" s="4"/>
      <c r="D58" s="2"/>
      <c r="E58" s="2"/>
      <c r="F58" s="2"/>
      <c r="G58" s="2"/>
      <c r="H58" s="2"/>
      <c r="I58" s="2"/>
      <c r="J58" s="2"/>
      <c r="K58" s="2"/>
      <c r="L58" s="2"/>
      <c r="M58" s="2"/>
      <c r="N58" s="2"/>
      <c r="O58" s="2"/>
      <c r="P58" s="2"/>
      <c r="Q58" s="2"/>
      <c r="R58" s="2"/>
      <c r="S58" s="2"/>
      <c r="T58" s="2"/>
      <c r="U58" s="2"/>
      <c r="V58" s="2"/>
      <c r="W58" s="2"/>
      <c r="X58" s="2"/>
      <c r="Y58" s="2"/>
      <c r="Z58" s="2"/>
    </row>
    <row r="59" spans="1:26">
      <c r="A59" s="4"/>
      <c r="B59" s="4"/>
      <c r="C59" s="4"/>
      <c r="D59" s="2"/>
      <c r="E59" s="2"/>
      <c r="F59" s="2"/>
      <c r="G59" s="2"/>
      <c r="H59" s="2"/>
      <c r="I59" s="2"/>
      <c r="J59" s="2"/>
      <c r="K59" s="2"/>
      <c r="L59" s="2"/>
      <c r="M59" s="2"/>
      <c r="N59" s="2"/>
      <c r="O59" s="2"/>
      <c r="P59" s="2"/>
      <c r="Q59" s="2"/>
      <c r="R59" s="2"/>
      <c r="S59" s="2"/>
      <c r="T59" s="2"/>
      <c r="U59" s="2"/>
      <c r="V59" s="2"/>
      <c r="W59" s="2"/>
      <c r="X59" s="2"/>
      <c r="Y59" s="2"/>
      <c r="Z59" s="2"/>
    </row>
    <row r="60" spans="1:26">
      <c r="A60" s="4"/>
      <c r="B60" s="4"/>
      <c r="C60" s="4"/>
      <c r="D60" s="2"/>
      <c r="E60" s="2"/>
      <c r="F60" s="2"/>
      <c r="G60" s="2"/>
      <c r="H60" s="2"/>
      <c r="I60" s="2"/>
      <c r="J60" s="2"/>
      <c r="K60" s="2"/>
      <c r="L60" s="2"/>
      <c r="M60" s="2"/>
      <c r="N60" s="2"/>
      <c r="O60" s="2"/>
      <c r="P60" s="2"/>
      <c r="Q60" s="2"/>
      <c r="R60" s="2"/>
      <c r="S60" s="2"/>
      <c r="T60" s="2"/>
      <c r="U60" s="2"/>
      <c r="V60" s="2"/>
      <c r="W60" s="2"/>
      <c r="X60" s="2"/>
      <c r="Y60" s="2"/>
      <c r="Z60" s="2"/>
    </row>
    <row r="61" spans="1:26">
      <c r="A61" s="4"/>
      <c r="B61" s="4"/>
      <c r="C61" s="4"/>
      <c r="D61" s="2"/>
      <c r="E61" s="2"/>
      <c r="F61" s="2"/>
      <c r="G61" s="2"/>
      <c r="H61" s="2"/>
      <c r="I61" s="2"/>
      <c r="J61" s="2"/>
      <c r="K61" s="2"/>
      <c r="L61" s="2"/>
      <c r="M61" s="2"/>
      <c r="N61" s="2"/>
      <c r="O61" s="2"/>
      <c r="P61" s="2"/>
      <c r="Q61" s="2"/>
      <c r="R61" s="2"/>
      <c r="S61" s="2"/>
      <c r="T61" s="2"/>
      <c r="U61" s="2"/>
      <c r="V61" s="2"/>
      <c r="W61" s="2"/>
      <c r="X61" s="2"/>
      <c r="Y61" s="2"/>
      <c r="Z61" s="2"/>
    </row>
    <row r="62" spans="1:26">
      <c r="A62" s="4"/>
      <c r="B62" s="4"/>
      <c r="C62" s="4"/>
      <c r="D62" s="2"/>
      <c r="E62" s="2"/>
      <c r="F62" s="2"/>
      <c r="G62" s="2"/>
      <c r="H62" s="2"/>
      <c r="I62" s="2"/>
      <c r="J62" s="2"/>
      <c r="K62" s="2"/>
      <c r="L62" s="2"/>
      <c r="M62" s="2"/>
      <c r="N62" s="2"/>
      <c r="O62" s="2"/>
      <c r="P62" s="2"/>
      <c r="Q62" s="2"/>
      <c r="R62" s="2"/>
      <c r="S62" s="2"/>
      <c r="T62" s="2"/>
      <c r="U62" s="2"/>
      <c r="V62" s="2"/>
      <c r="W62" s="2"/>
      <c r="X62" s="2"/>
      <c r="Y62" s="2"/>
      <c r="Z62" s="2"/>
    </row>
    <row r="63" spans="1:26">
      <c r="A63" s="4"/>
      <c r="B63" s="4"/>
      <c r="C63" s="4"/>
      <c r="D63" s="2"/>
      <c r="E63" s="2"/>
      <c r="F63" s="2"/>
      <c r="G63" s="2"/>
      <c r="H63" s="2"/>
      <c r="I63" s="2"/>
      <c r="J63" s="2"/>
      <c r="K63" s="2"/>
      <c r="L63" s="2"/>
      <c r="M63" s="2"/>
      <c r="N63" s="2"/>
      <c r="O63" s="2"/>
      <c r="P63" s="2"/>
      <c r="Q63" s="2"/>
      <c r="R63" s="2"/>
      <c r="S63" s="2"/>
      <c r="T63" s="2"/>
      <c r="U63" s="2"/>
      <c r="V63" s="2"/>
      <c r="W63" s="2"/>
      <c r="X63" s="2"/>
      <c r="Y63" s="2"/>
      <c r="Z63" s="2"/>
    </row>
    <row r="64" spans="1:26">
      <c r="A64" s="4"/>
      <c r="B64" s="4"/>
      <c r="C64" s="4"/>
      <c r="D64" s="2"/>
      <c r="E64" s="2"/>
      <c r="F64" s="2"/>
      <c r="G64" s="2"/>
      <c r="H64" s="2"/>
      <c r="I64" s="2"/>
      <c r="J64" s="2"/>
      <c r="K64" s="2"/>
      <c r="L64" s="2"/>
      <c r="M64" s="2"/>
      <c r="N64" s="2"/>
      <c r="O64" s="2"/>
      <c r="P64" s="2"/>
      <c r="Q64" s="2"/>
      <c r="R64" s="2"/>
      <c r="S64" s="2"/>
      <c r="T64" s="2"/>
      <c r="U64" s="2"/>
      <c r="V64" s="2"/>
      <c r="W64" s="2"/>
      <c r="X64" s="2"/>
      <c r="Y64" s="2"/>
      <c r="Z64" s="2"/>
    </row>
    <row r="65" spans="1:26">
      <c r="A65" s="4"/>
      <c r="B65" s="4"/>
      <c r="C65" s="4"/>
      <c r="D65" s="2"/>
      <c r="E65" s="2"/>
      <c r="F65" s="2"/>
      <c r="G65" s="2"/>
      <c r="H65" s="2"/>
      <c r="I65" s="2"/>
      <c r="J65" s="2"/>
      <c r="K65" s="2"/>
      <c r="L65" s="2"/>
      <c r="M65" s="2"/>
      <c r="N65" s="2"/>
      <c r="O65" s="2"/>
      <c r="P65" s="2"/>
      <c r="Q65" s="2"/>
      <c r="R65" s="2"/>
      <c r="S65" s="2"/>
      <c r="T65" s="2"/>
      <c r="U65" s="2"/>
      <c r="V65" s="2"/>
      <c r="W65" s="2"/>
      <c r="X65" s="2"/>
      <c r="Y65" s="2"/>
      <c r="Z65" s="2"/>
    </row>
    <row r="66" spans="1:26">
      <c r="A66" s="4"/>
      <c r="B66" s="4"/>
      <c r="C66" s="4"/>
      <c r="D66" s="2"/>
      <c r="E66" s="2"/>
      <c r="F66" s="2"/>
      <c r="G66" s="2"/>
      <c r="H66" s="2"/>
      <c r="I66" s="2"/>
      <c r="J66" s="2"/>
      <c r="K66" s="2"/>
      <c r="L66" s="2"/>
      <c r="M66" s="2"/>
      <c r="N66" s="2"/>
      <c r="O66" s="2"/>
      <c r="P66" s="2"/>
      <c r="Q66" s="2"/>
      <c r="R66" s="2"/>
      <c r="S66" s="2"/>
      <c r="T66" s="2"/>
      <c r="U66" s="2"/>
      <c r="V66" s="2"/>
      <c r="W66" s="2"/>
      <c r="X66" s="2"/>
      <c r="Y66" s="2"/>
      <c r="Z66" s="2"/>
    </row>
    <row r="67" spans="1:26">
      <c r="A67" s="4"/>
      <c r="B67" s="4"/>
      <c r="C67" s="4"/>
      <c r="D67" s="2"/>
      <c r="E67" s="2"/>
      <c r="F67" s="2"/>
      <c r="G67" s="2"/>
      <c r="H67" s="2"/>
      <c r="I67" s="2"/>
      <c r="J67" s="2"/>
      <c r="K67" s="2"/>
      <c r="L67" s="2"/>
      <c r="M67" s="2"/>
      <c r="N67" s="2"/>
      <c r="O67" s="2"/>
      <c r="P67" s="2"/>
      <c r="Q67" s="2"/>
      <c r="R67" s="2"/>
      <c r="S67" s="2"/>
      <c r="T67" s="2"/>
      <c r="U67" s="2"/>
      <c r="V67" s="2"/>
      <c r="W67" s="2"/>
      <c r="X67" s="2"/>
      <c r="Y67" s="2"/>
      <c r="Z67" s="2"/>
    </row>
    <row r="68" spans="1:26">
      <c r="A68" s="4"/>
      <c r="B68" s="4"/>
      <c r="C68" s="4"/>
      <c r="D68" s="2"/>
      <c r="E68" s="2"/>
      <c r="F68" s="2"/>
      <c r="G68" s="2"/>
      <c r="H68" s="2"/>
      <c r="I68" s="2"/>
      <c r="J68" s="2"/>
      <c r="K68" s="2"/>
      <c r="L68" s="2"/>
      <c r="M68" s="2"/>
      <c r="N68" s="2"/>
      <c r="O68" s="2"/>
      <c r="P68" s="2"/>
      <c r="Q68" s="2"/>
      <c r="R68" s="2"/>
      <c r="S68" s="2"/>
      <c r="T68" s="2"/>
      <c r="U68" s="2"/>
      <c r="V68" s="2"/>
      <c r="W68" s="2"/>
      <c r="X68" s="2"/>
      <c r="Y68" s="2"/>
      <c r="Z68" s="2"/>
    </row>
    <row r="69" spans="1:26">
      <c r="A69" s="4"/>
      <c r="B69" s="4"/>
      <c r="C69" s="4"/>
      <c r="D69" s="2"/>
      <c r="E69" s="2"/>
      <c r="F69" s="2"/>
      <c r="G69" s="2"/>
      <c r="H69" s="2"/>
      <c r="I69" s="2"/>
      <c r="J69" s="2"/>
      <c r="K69" s="2"/>
      <c r="L69" s="2"/>
      <c r="M69" s="2"/>
      <c r="N69" s="2"/>
      <c r="O69" s="2"/>
      <c r="P69" s="2"/>
      <c r="Q69" s="2"/>
      <c r="R69" s="2"/>
      <c r="S69" s="2"/>
      <c r="T69" s="2"/>
      <c r="U69" s="2"/>
      <c r="V69" s="2"/>
      <c r="W69" s="2"/>
      <c r="X69" s="2"/>
      <c r="Y69" s="2"/>
      <c r="Z69" s="2"/>
    </row>
    <row r="70" spans="1:26">
      <c r="A70" s="4"/>
      <c r="B70" s="4"/>
      <c r="C70" s="4"/>
      <c r="D70" s="2"/>
      <c r="E70" s="2"/>
      <c r="F70" s="2"/>
      <c r="G70" s="2"/>
      <c r="H70" s="2"/>
      <c r="I70" s="2"/>
      <c r="J70" s="2"/>
      <c r="K70" s="2"/>
      <c r="L70" s="2"/>
      <c r="M70" s="2"/>
      <c r="N70" s="2"/>
      <c r="O70" s="2"/>
      <c r="P70" s="2"/>
      <c r="Q70" s="2"/>
      <c r="R70" s="2"/>
      <c r="S70" s="2"/>
      <c r="T70" s="2"/>
      <c r="U70" s="2"/>
      <c r="V70" s="2"/>
      <c r="W70" s="2"/>
      <c r="X70" s="2"/>
      <c r="Y70" s="2"/>
      <c r="Z70" s="2"/>
    </row>
    <row r="71" spans="1:26">
      <c r="A71" s="4"/>
      <c r="B71" s="4"/>
      <c r="C71" s="4"/>
      <c r="D71" s="2"/>
      <c r="E71" s="2"/>
      <c r="F71" s="2"/>
      <c r="G71" s="2"/>
      <c r="H71" s="2"/>
      <c r="I71" s="2"/>
      <c r="J71" s="2"/>
      <c r="K71" s="2"/>
      <c r="L71" s="2"/>
      <c r="M71" s="2"/>
      <c r="N71" s="2"/>
      <c r="O71" s="2"/>
      <c r="P71" s="2"/>
      <c r="Q71" s="2"/>
      <c r="R71" s="2"/>
      <c r="S71" s="2"/>
      <c r="T71" s="2"/>
      <c r="U71" s="2"/>
      <c r="V71" s="2"/>
      <c r="W71" s="2"/>
      <c r="X71" s="2"/>
      <c r="Y71" s="2"/>
      <c r="Z71" s="2"/>
    </row>
    <row r="72" spans="1:26">
      <c r="A72" s="4"/>
      <c r="B72" s="4"/>
      <c r="C72" s="4"/>
      <c r="D72" s="2"/>
      <c r="E72" s="2"/>
      <c r="F72" s="2"/>
      <c r="G72" s="2"/>
      <c r="H72" s="2"/>
      <c r="I72" s="2"/>
      <c r="J72" s="2"/>
      <c r="K72" s="2"/>
      <c r="L72" s="2"/>
      <c r="M72" s="2"/>
      <c r="N72" s="2"/>
      <c r="O72" s="2"/>
      <c r="P72" s="2"/>
      <c r="Q72" s="2"/>
      <c r="R72" s="2"/>
      <c r="S72" s="2"/>
      <c r="T72" s="2"/>
      <c r="U72" s="2"/>
      <c r="V72" s="2"/>
      <c r="W72" s="2"/>
      <c r="X72" s="2"/>
      <c r="Y72" s="2"/>
      <c r="Z72" s="2"/>
    </row>
    <row r="73" spans="1:26">
      <c r="A73" s="4"/>
      <c r="B73" s="4"/>
      <c r="C73" s="4"/>
      <c r="D73" s="2"/>
      <c r="E73" s="2"/>
      <c r="F73" s="2"/>
      <c r="G73" s="2"/>
      <c r="H73" s="2"/>
      <c r="I73" s="2"/>
      <c r="J73" s="2"/>
      <c r="K73" s="2"/>
      <c r="L73" s="2"/>
      <c r="M73" s="2"/>
      <c r="N73" s="2"/>
      <c r="O73" s="2"/>
      <c r="P73" s="2"/>
      <c r="Q73" s="2"/>
      <c r="R73" s="2"/>
      <c r="S73" s="2"/>
      <c r="T73" s="2"/>
      <c r="U73" s="2"/>
      <c r="V73" s="2"/>
      <c r="W73" s="2"/>
      <c r="X73" s="2"/>
      <c r="Y73" s="2"/>
      <c r="Z73" s="2"/>
    </row>
    <row r="74" spans="1:26">
      <c r="A74" s="4"/>
      <c r="B74" s="4"/>
      <c r="C74" s="4"/>
      <c r="D74" s="2"/>
      <c r="E74" s="2"/>
      <c r="F74" s="2"/>
      <c r="G74" s="2"/>
      <c r="H74" s="2"/>
      <c r="I74" s="2"/>
      <c r="J74" s="2"/>
      <c r="K74" s="2"/>
      <c r="L74" s="2"/>
      <c r="M74" s="2"/>
      <c r="N74" s="2"/>
      <c r="O74" s="2"/>
      <c r="P74" s="2"/>
      <c r="Q74" s="2"/>
      <c r="R74" s="2"/>
      <c r="S74" s="2"/>
      <c r="T74" s="2"/>
      <c r="U74" s="2"/>
      <c r="V74" s="2"/>
      <c r="W74" s="2"/>
      <c r="X74" s="2"/>
      <c r="Y74" s="2"/>
      <c r="Z74" s="2"/>
    </row>
    <row r="75" spans="1:26">
      <c r="A75" s="4"/>
      <c r="B75" s="4"/>
      <c r="C75" s="4"/>
      <c r="D75" s="2"/>
      <c r="E75" s="2"/>
      <c r="F75" s="2"/>
      <c r="G75" s="2"/>
      <c r="H75" s="2"/>
      <c r="I75" s="2"/>
      <c r="J75" s="2"/>
      <c r="K75" s="2"/>
      <c r="L75" s="2"/>
      <c r="M75" s="2"/>
      <c r="N75" s="2"/>
      <c r="O75" s="2"/>
      <c r="P75" s="2"/>
      <c r="Q75" s="2"/>
      <c r="R75" s="2"/>
      <c r="S75" s="2"/>
      <c r="T75" s="2"/>
      <c r="U75" s="2"/>
      <c r="V75" s="2"/>
      <c r="W75" s="2"/>
      <c r="X75" s="2"/>
      <c r="Y75" s="2"/>
      <c r="Z75" s="2"/>
    </row>
    <row r="76" spans="1:26">
      <c r="A76" s="4"/>
      <c r="B76" s="4"/>
      <c r="C76" s="4"/>
      <c r="D76" s="2"/>
      <c r="E76" s="2"/>
      <c r="F76" s="2"/>
      <c r="G76" s="2"/>
      <c r="H76" s="2"/>
      <c r="I76" s="2"/>
      <c r="J76" s="2"/>
      <c r="K76" s="2"/>
      <c r="L76" s="2"/>
      <c r="M76" s="2"/>
      <c r="N76" s="2"/>
      <c r="O76" s="2"/>
      <c r="P76" s="2"/>
      <c r="Q76" s="2"/>
      <c r="R76" s="2"/>
      <c r="S76" s="2"/>
      <c r="T76" s="2"/>
      <c r="U76" s="2"/>
      <c r="V76" s="2"/>
      <c r="W76" s="2"/>
      <c r="X76" s="2"/>
      <c r="Y76" s="2"/>
      <c r="Z76" s="2"/>
    </row>
    <row r="77" spans="1:26">
      <c r="A77" s="4"/>
      <c r="B77" s="4"/>
      <c r="C77" s="4"/>
      <c r="D77" s="2"/>
      <c r="E77" s="2"/>
      <c r="F77" s="2"/>
      <c r="G77" s="2"/>
      <c r="H77" s="2"/>
      <c r="I77" s="2"/>
      <c r="J77" s="2"/>
      <c r="K77" s="2"/>
      <c r="L77" s="2"/>
      <c r="M77" s="2"/>
      <c r="N77" s="2"/>
      <c r="O77" s="2"/>
      <c r="P77" s="2"/>
      <c r="Q77" s="2"/>
      <c r="R77" s="2"/>
      <c r="S77" s="2"/>
      <c r="T77" s="2"/>
      <c r="U77" s="2"/>
      <c r="V77" s="2"/>
      <c r="W77" s="2"/>
      <c r="X77" s="2"/>
      <c r="Y77" s="2"/>
      <c r="Z77" s="2"/>
    </row>
    <row r="78" spans="1:26">
      <c r="A78" s="4"/>
      <c r="B78" s="4"/>
      <c r="C78" s="4"/>
      <c r="D78" s="2"/>
      <c r="E78" s="2"/>
      <c r="F78" s="2"/>
      <c r="G78" s="2"/>
      <c r="H78" s="2"/>
      <c r="I78" s="2"/>
      <c r="J78" s="2"/>
      <c r="K78" s="2"/>
      <c r="L78" s="2"/>
      <c r="M78" s="2"/>
      <c r="N78" s="2"/>
      <c r="O78" s="2"/>
      <c r="P78" s="2"/>
      <c r="Q78" s="2"/>
      <c r="R78" s="2"/>
      <c r="S78" s="2"/>
      <c r="T78" s="2"/>
      <c r="U78" s="2"/>
      <c r="V78" s="2"/>
      <c r="W78" s="2"/>
      <c r="X78" s="2"/>
      <c r="Y78" s="2"/>
      <c r="Z78" s="2"/>
    </row>
    <row r="79" spans="1:26">
      <c r="A79" s="4"/>
      <c r="B79" s="4"/>
      <c r="C79" s="4"/>
      <c r="D79" s="2"/>
      <c r="E79" s="2"/>
      <c r="F79" s="2"/>
      <c r="G79" s="2"/>
      <c r="H79" s="2"/>
      <c r="I79" s="2"/>
      <c r="J79" s="2"/>
      <c r="K79" s="2"/>
      <c r="L79" s="2"/>
      <c r="M79" s="2"/>
      <c r="N79" s="2"/>
      <c r="O79" s="2"/>
      <c r="P79" s="2"/>
      <c r="Q79" s="2"/>
      <c r="R79" s="2"/>
      <c r="S79" s="2"/>
      <c r="T79" s="2"/>
      <c r="U79" s="2"/>
      <c r="V79" s="2"/>
      <c r="W79" s="2"/>
      <c r="X79" s="2"/>
      <c r="Y79" s="2"/>
      <c r="Z79" s="2"/>
    </row>
    <row r="80" spans="1:26">
      <c r="A80" s="4"/>
      <c r="B80" s="4"/>
      <c r="C80" s="4"/>
      <c r="D80" s="2"/>
      <c r="E80" s="2"/>
      <c r="F80" s="2"/>
      <c r="G80" s="2"/>
      <c r="H80" s="2"/>
      <c r="I80" s="2"/>
      <c r="J80" s="2"/>
      <c r="K80" s="2"/>
      <c r="L80" s="2"/>
      <c r="M80" s="2"/>
      <c r="N80" s="2"/>
      <c r="O80" s="2"/>
      <c r="P80" s="2"/>
      <c r="Q80" s="2"/>
      <c r="R80" s="2"/>
      <c r="S80" s="2"/>
      <c r="T80" s="2"/>
      <c r="U80" s="2"/>
      <c r="V80" s="2"/>
      <c r="W80" s="2"/>
      <c r="X80" s="2"/>
      <c r="Y80" s="2"/>
      <c r="Z80" s="2"/>
    </row>
    <row r="81" spans="1:26">
      <c r="A81" s="4"/>
      <c r="B81" s="4"/>
      <c r="C81" s="4"/>
      <c r="D81" s="2"/>
      <c r="E81" s="2"/>
      <c r="F81" s="2"/>
      <c r="G81" s="2"/>
      <c r="H81" s="2"/>
      <c r="I81" s="2"/>
      <c r="J81" s="2"/>
      <c r="K81" s="2"/>
      <c r="L81" s="2"/>
      <c r="M81" s="2"/>
      <c r="N81" s="2"/>
      <c r="O81" s="2"/>
      <c r="P81" s="2"/>
      <c r="Q81" s="2"/>
      <c r="R81" s="2"/>
      <c r="S81" s="2"/>
      <c r="T81" s="2"/>
      <c r="U81" s="2"/>
      <c r="V81" s="2"/>
      <c r="W81" s="2"/>
      <c r="X81" s="2"/>
      <c r="Y81" s="2"/>
      <c r="Z81" s="2"/>
    </row>
    <row r="82" spans="1:26">
      <c r="A82" s="4"/>
      <c r="B82" s="4"/>
      <c r="C82" s="4"/>
      <c r="D82" s="2"/>
      <c r="E82" s="2"/>
      <c r="F82" s="2"/>
      <c r="G82" s="2"/>
      <c r="H82" s="2"/>
      <c r="I82" s="2"/>
      <c r="J82" s="2"/>
      <c r="K82" s="2"/>
      <c r="L82" s="2"/>
      <c r="M82" s="2"/>
      <c r="N82" s="2"/>
      <c r="O82" s="2"/>
      <c r="P82" s="2"/>
      <c r="Q82" s="2"/>
      <c r="R82" s="2"/>
      <c r="S82" s="2"/>
      <c r="T82" s="2"/>
      <c r="U82" s="2"/>
      <c r="V82" s="2"/>
      <c r="W82" s="2"/>
      <c r="X82" s="2"/>
      <c r="Y82" s="2"/>
      <c r="Z82" s="2"/>
    </row>
    <row r="83" spans="1:26">
      <c r="A83" s="4"/>
      <c r="B83" s="4"/>
      <c r="C83" s="4"/>
      <c r="D83" s="2"/>
      <c r="E83" s="2"/>
      <c r="F83" s="2"/>
      <c r="G83" s="2"/>
      <c r="H83" s="2"/>
      <c r="I83" s="2"/>
      <c r="J83" s="2"/>
      <c r="K83" s="2"/>
      <c r="L83" s="2"/>
      <c r="M83" s="2"/>
      <c r="N83" s="2"/>
      <c r="O83" s="2"/>
      <c r="P83" s="2"/>
      <c r="Q83" s="2"/>
      <c r="R83" s="2"/>
      <c r="S83" s="2"/>
      <c r="T83" s="2"/>
      <c r="U83" s="2"/>
      <c r="V83" s="2"/>
      <c r="W83" s="2"/>
      <c r="X83" s="2"/>
      <c r="Y83" s="2"/>
      <c r="Z83" s="2"/>
    </row>
    <row r="84" spans="1:26">
      <c r="A84" s="4"/>
      <c r="B84" s="4"/>
      <c r="C84" s="4"/>
      <c r="D84" s="2"/>
      <c r="E84" s="2"/>
      <c r="F84" s="2"/>
      <c r="G84" s="2"/>
      <c r="H84" s="2"/>
      <c r="I84" s="2"/>
      <c r="J84" s="2"/>
      <c r="K84" s="2"/>
      <c r="L84" s="2"/>
      <c r="M84" s="2"/>
      <c r="N84" s="2"/>
      <c r="O84" s="2"/>
      <c r="P84" s="2"/>
      <c r="Q84" s="2"/>
      <c r="R84" s="2"/>
      <c r="S84" s="2"/>
      <c r="T84" s="2"/>
      <c r="U84" s="2"/>
      <c r="V84" s="2"/>
      <c r="W84" s="2"/>
      <c r="X84" s="2"/>
      <c r="Y84" s="2"/>
      <c r="Z84" s="2"/>
    </row>
    <row r="85" spans="1:26">
      <c r="A85" s="4"/>
      <c r="B85" s="4"/>
      <c r="C85" s="4"/>
      <c r="D85" s="2"/>
      <c r="E85" s="2"/>
      <c r="F85" s="2"/>
      <c r="G85" s="2"/>
      <c r="H85" s="2"/>
      <c r="I85" s="2"/>
      <c r="J85" s="2"/>
      <c r="K85" s="2"/>
      <c r="L85" s="2"/>
      <c r="M85" s="2"/>
      <c r="N85" s="2"/>
      <c r="O85" s="2"/>
      <c r="P85" s="2"/>
      <c r="Q85" s="2"/>
      <c r="R85" s="2"/>
      <c r="S85" s="2"/>
      <c r="T85" s="2"/>
      <c r="U85" s="2"/>
      <c r="V85" s="2"/>
      <c r="W85" s="2"/>
      <c r="X85" s="2"/>
      <c r="Y85" s="2"/>
      <c r="Z85" s="2"/>
    </row>
    <row r="86" spans="1:26">
      <c r="A86" s="4"/>
      <c r="B86" s="4"/>
      <c r="C86" s="4"/>
      <c r="D86" s="2"/>
      <c r="E86" s="2"/>
      <c r="F86" s="2"/>
      <c r="G86" s="2"/>
      <c r="H86" s="2"/>
      <c r="I86" s="2"/>
      <c r="J86" s="2"/>
      <c r="K86" s="2"/>
      <c r="L86" s="2"/>
      <c r="M86" s="2"/>
      <c r="N86" s="2"/>
      <c r="O86" s="2"/>
      <c r="P86" s="2"/>
      <c r="Q86" s="2"/>
      <c r="R86" s="2"/>
      <c r="S86" s="2"/>
      <c r="T86" s="2"/>
      <c r="U86" s="2"/>
      <c r="V86" s="2"/>
      <c r="W86" s="2"/>
      <c r="X86" s="2"/>
      <c r="Y86" s="2"/>
      <c r="Z86" s="2"/>
    </row>
    <row r="87" spans="1:26">
      <c r="A87" s="4"/>
      <c r="B87" s="4"/>
      <c r="C87" s="4"/>
      <c r="D87" s="2"/>
      <c r="E87" s="2"/>
      <c r="F87" s="2"/>
      <c r="G87" s="2"/>
      <c r="H87" s="2"/>
      <c r="I87" s="2"/>
      <c r="J87" s="2"/>
      <c r="K87" s="2"/>
      <c r="L87" s="2"/>
      <c r="M87" s="2"/>
      <c r="N87" s="2"/>
      <c r="O87" s="2"/>
      <c r="P87" s="2"/>
      <c r="Q87" s="2"/>
      <c r="R87" s="2"/>
      <c r="S87" s="2"/>
      <c r="T87" s="2"/>
      <c r="U87" s="2"/>
      <c r="V87" s="2"/>
      <c r="W87" s="2"/>
      <c r="X87" s="2"/>
      <c r="Y87" s="2"/>
      <c r="Z87" s="2"/>
    </row>
    <row r="88" spans="1:26">
      <c r="A88" s="4"/>
      <c r="B88" s="4"/>
      <c r="C88" s="4"/>
      <c r="D88" s="2"/>
      <c r="E88" s="2"/>
      <c r="F88" s="2"/>
      <c r="G88" s="2"/>
      <c r="H88" s="2"/>
      <c r="I88" s="2"/>
      <c r="J88" s="2"/>
      <c r="K88" s="2"/>
      <c r="L88" s="2"/>
      <c r="M88" s="2"/>
      <c r="N88" s="2"/>
      <c r="O88" s="2"/>
      <c r="P88" s="2"/>
      <c r="Q88" s="2"/>
      <c r="R88" s="2"/>
      <c r="S88" s="2"/>
      <c r="T88" s="2"/>
      <c r="U88" s="2"/>
      <c r="V88" s="2"/>
      <c r="W88" s="2"/>
      <c r="X88" s="2"/>
      <c r="Y88" s="2"/>
      <c r="Z88" s="2"/>
    </row>
    <row r="89" spans="1:26">
      <c r="A89" s="4"/>
      <c r="B89" s="4"/>
      <c r="C89" s="4"/>
      <c r="D89" s="2"/>
      <c r="E89" s="2"/>
      <c r="F89" s="2"/>
      <c r="G89" s="2"/>
      <c r="H89" s="2"/>
      <c r="I89" s="2"/>
      <c r="J89" s="2"/>
      <c r="K89" s="2"/>
      <c r="L89" s="2"/>
      <c r="M89" s="2"/>
      <c r="N89" s="2"/>
      <c r="O89" s="2"/>
      <c r="P89" s="2"/>
      <c r="Q89" s="2"/>
      <c r="R89" s="2"/>
      <c r="S89" s="2"/>
      <c r="T89" s="2"/>
      <c r="U89" s="2"/>
      <c r="V89" s="2"/>
      <c r="W89" s="2"/>
      <c r="X89" s="2"/>
      <c r="Y89" s="2"/>
      <c r="Z89" s="2"/>
    </row>
    <row r="90" spans="1:26">
      <c r="A90" s="4"/>
      <c r="B90" s="4"/>
      <c r="C90" s="4"/>
      <c r="D90" s="2"/>
      <c r="E90" s="2"/>
      <c r="F90" s="2"/>
      <c r="G90" s="2"/>
      <c r="H90" s="2"/>
      <c r="I90" s="2"/>
      <c r="J90" s="2"/>
      <c r="K90" s="2"/>
      <c r="L90" s="2"/>
      <c r="M90" s="2"/>
      <c r="N90" s="2"/>
      <c r="O90" s="2"/>
      <c r="P90" s="2"/>
      <c r="Q90" s="2"/>
      <c r="R90" s="2"/>
      <c r="S90" s="2"/>
      <c r="T90" s="2"/>
      <c r="U90" s="2"/>
      <c r="V90" s="2"/>
      <c r="W90" s="2"/>
      <c r="X90" s="2"/>
      <c r="Y90" s="2"/>
      <c r="Z90" s="2"/>
    </row>
    <row r="91" spans="1:26">
      <c r="A91" s="4"/>
      <c r="B91" s="4"/>
      <c r="C91" s="4"/>
      <c r="D91" s="2"/>
      <c r="E91" s="2"/>
      <c r="F91" s="2"/>
      <c r="G91" s="2"/>
      <c r="H91" s="2"/>
      <c r="I91" s="2"/>
      <c r="J91" s="2"/>
      <c r="K91" s="2"/>
      <c r="L91" s="2"/>
      <c r="M91" s="2"/>
      <c r="N91" s="2"/>
      <c r="O91" s="2"/>
      <c r="P91" s="2"/>
      <c r="Q91" s="2"/>
      <c r="R91" s="2"/>
      <c r="S91" s="2"/>
      <c r="T91" s="2"/>
      <c r="U91" s="2"/>
      <c r="V91" s="2"/>
      <c r="W91" s="2"/>
      <c r="X91" s="2"/>
      <c r="Y91" s="2"/>
      <c r="Z91" s="2"/>
    </row>
    <row r="92" spans="1:26">
      <c r="A92" s="4"/>
      <c r="B92" s="4"/>
      <c r="C92" s="4"/>
      <c r="D92" s="2"/>
      <c r="E92" s="2"/>
      <c r="F92" s="2"/>
      <c r="G92" s="2"/>
      <c r="H92" s="2"/>
      <c r="I92" s="2"/>
      <c r="J92" s="2"/>
      <c r="K92" s="2"/>
      <c r="L92" s="2"/>
      <c r="M92" s="2"/>
      <c r="N92" s="2"/>
      <c r="O92" s="2"/>
      <c r="P92" s="2"/>
      <c r="Q92" s="2"/>
      <c r="R92" s="2"/>
      <c r="S92" s="2"/>
      <c r="T92" s="2"/>
      <c r="U92" s="2"/>
      <c r="V92" s="2"/>
      <c r="W92" s="2"/>
      <c r="X92" s="2"/>
      <c r="Y92" s="2"/>
      <c r="Z92" s="2"/>
    </row>
    <row r="93" spans="1:26">
      <c r="A93" s="4"/>
      <c r="B93" s="4"/>
      <c r="C93" s="4"/>
      <c r="D93" s="2"/>
      <c r="E93" s="2"/>
      <c r="F93" s="2"/>
      <c r="G93" s="2"/>
      <c r="H93" s="2"/>
      <c r="I93" s="2"/>
      <c r="J93" s="2"/>
      <c r="K93" s="2"/>
      <c r="L93" s="2"/>
      <c r="M93" s="2"/>
      <c r="N93" s="2"/>
      <c r="O93" s="2"/>
      <c r="P93" s="2"/>
      <c r="Q93" s="2"/>
      <c r="R93" s="2"/>
      <c r="S93" s="2"/>
      <c r="T93" s="2"/>
      <c r="U93" s="2"/>
      <c r="V93" s="2"/>
      <c r="W93" s="2"/>
      <c r="X93" s="2"/>
      <c r="Y93" s="2"/>
      <c r="Z93" s="2"/>
    </row>
    <row r="94" spans="1:26">
      <c r="A94" s="4"/>
      <c r="B94" s="4"/>
      <c r="C94" s="4"/>
      <c r="D94" s="2"/>
      <c r="E94" s="2"/>
      <c r="F94" s="2"/>
      <c r="G94" s="2"/>
      <c r="H94" s="2"/>
      <c r="I94" s="2"/>
      <c r="J94" s="2"/>
      <c r="K94" s="2"/>
      <c r="L94" s="2"/>
      <c r="M94" s="2"/>
      <c r="N94" s="2"/>
      <c r="O94" s="2"/>
      <c r="P94" s="2"/>
      <c r="Q94" s="2"/>
      <c r="R94" s="2"/>
      <c r="S94" s="2"/>
      <c r="T94" s="2"/>
      <c r="U94" s="2"/>
      <c r="V94" s="2"/>
      <c r="W94" s="2"/>
      <c r="X94" s="2"/>
      <c r="Y94" s="2"/>
      <c r="Z94" s="2"/>
    </row>
    <row r="95" spans="1:26">
      <c r="A95" s="4"/>
      <c r="B95" s="4"/>
      <c r="C95" s="4"/>
      <c r="D95" s="2"/>
      <c r="E95" s="2"/>
      <c r="F95" s="2"/>
      <c r="G95" s="2"/>
      <c r="H95" s="2"/>
      <c r="I95" s="2"/>
      <c r="J95" s="2"/>
      <c r="K95" s="2"/>
      <c r="L95" s="2"/>
      <c r="M95" s="2"/>
      <c r="N95" s="2"/>
      <c r="O95" s="2"/>
      <c r="P95" s="2"/>
      <c r="Q95" s="2"/>
      <c r="R95" s="2"/>
      <c r="S95" s="2"/>
      <c r="T95" s="2"/>
      <c r="U95" s="2"/>
      <c r="V95" s="2"/>
      <c r="W95" s="2"/>
      <c r="X95" s="2"/>
      <c r="Y95" s="2"/>
      <c r="Z95" s="2"/>
    </row>
    <row r="96" spans="1:26">
      <c r="A96" s="4"/>
      <c r="B96" s="4"/>
      <c r="C96" s="4"/>
      <c r="D96" s="2"/>
      <c r="E96" s="2"/>
      <c r="F96" s="2"/>
      <c r="G96" s="2"/>
      <c r="H96" s="2"/>
      <c r="I96" s="2"/>
      <c r="J96" s="2"/>
      <c r="K96" s="2"/>
      <c r="L96" s="2"/>
      <c r="M96" s="2"/>
      <c r="N96" s="2"/>
      <c r="O96" s="2"/>
      <c r="P96" s="2"/>
      <c r="Q96" s="2"/>
      <c r="R96" s="2"/>
      <c r="S96" s="2"/>
      <c r="T96" s="2"/>
      <c r="U96" s="2"/>
      <c r="V96" s="2"/>
      <c r="W96" s="2"/>
      <c r="X96" s="2"/>
      <c r="Y96" s="2"/>
      <c r="Z96" s="2"/>
    </row>
    <row r="97" spans="1:26">
      <c r="A97" s="4"/>
      <c r="B97" s="4"/>
      <c r="C97" s="4"/>
      <c r="D97" s="2"/>
      <c r="E97" s="2"/>
      <c r="F97" s="2"/>
      <c r="G97" s="2"/>
      <c r="H97" s="2"/>
      <c r="I97" s="2"/>
      <c r="J97" s="2"/>
      <c r="K97" s="2"/>
      <c r="L97" s="2"/>
      <c r="M97" s="2"/>
      <c r="N97" s="2"/>
      <c r="O97" s="2"/>
      <c r="P97" s="2"/>
      <c r="Q97" s="2"/>
      <c r="R97" s="2"/>
      <c r="S97" s="2"/>
      <c r="T97" s="2"/>
      <c r="U97" s="2"/>
      <c r="V97" s="2"/>
      <c r="W97" s="2"/>
      <c r="X97" s="2"/>
      <c r="Y97" s="2"/>
      <c r="Z97" s="2"/>
    </row>
    <row r="98" spans="1:26">
      <c r="A98" s="4"/>
      <c r="B98" s="4"/>
      <c r="C98" s="4"/>
      <c r="D98" s="2"/>
      <c r="E98" s="2"/>
      <c r="F98" s="2"/>
      <c r="G98" s="2"/>
      <c r="H98" s="2"/>
      <c r="I98" s="2"/>
      <c r="J98" s="2"/>
      <c r="K98" s="2"/>
      <c r="L98" s="2"/>
      <c r="M98" s="2"/>
      <c r="N98" s="2"/>
      <c r="O98" s="2"/>
      <c r="P98" s="2"/>
      <c r="Q98" s="2"/>
      <c r="R98" s="2"/>
      <c r="S98" s="2"/>
      <c r="T98" s="2"/>
      <c r="U98" s="2"/>
      <c r="V98" s="2"/>
      <c r="W98" s="2"/>
      <c r="X98" s="2"/>
      <c r="Y98" s="2"/>
      <c r="Z98" s="2"/>
    </row>
    <row r="99" spans="1:26">
      <c r="A99" s="4"/>
      <c r="B99" s="4"/>
      <c r="C99" s="4"/>
      <c r="D99" s="2"/>
      <c r="E99" s="2"/>
      <c r="F99" s="2"/>
      <c r="G99" s="2"/>
      <c r="H99" s="2"/>
      <c r="I99" s="2"/>
      <c r="J99" s="2"/>
      <c r="K99" s="2"/>
      <c r="L99" s="2"/>
      <c r="M99" s="2"/>
      <c r="N99" s="2"/>
      <c r="O99" s="2"/>
      <c r="P99" s="2"/>
      <c r="Q99" s="2"/>
      <c r="R99" s="2"/>
      <c r="S99" s="2"/>
      <c r="T99" s="2"/>
      <c r="U99" s="2"/>
      <c r="V99" s="2"/>
      <c r="W99" s="2"/>
      <c r="X99" s="2"/>
      <c r="Y99" s="2"/>
      <c r="Z99" s="2"/>
    </row>
    <row r="100" spans="1:26">
      <c r="A100" s="4"/>
      <c r="B100" s="4"/>
      <c r="C100" s="4"/>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4"/>
      <c r="B101" s="4"/>
      <c r="C101" s="4"/>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4"/>
      <c r="B102" s="4"/>
      <c r="C102" s="4"/>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4"/>
      <c r="B103" s="4"/>
      <c r="C103" s="4"/>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4"/>
      <c r="B104" s="4"/>
      <c r="C104" s="4"/>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4"/>
      <c r="B105" s="4"/>
      <c r="C105" s="4"/>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4"/>
      <c r="B106" s="4"/>
      <c r="C106" s="4"/>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4"/>
      <c r="B107" s="4"/>
      <c r="C107" s="4"/>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4"/>
      <c r="B108" s="4"/>
      <c r="C108" s="4"/>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4"/>
      <c r="B109" s="4"/>
      <c r="C109" s="4"/>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4"/>
      <c r="B110" s="4"/>
      <c r="C110" s="4"/>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4"/>
      <c r="B111" s="4"/>
      <c r="C111" s="4"/>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4"/>
      <c r="B112" s="4"/>
      <c r="C112" s="4"/>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4"/>
      <c r="B113" s="4"/>
      <c r="C113" s="4"/>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4"/>
      <c r="B114" s="4"/>
      <c r="C114" s="4"/>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4"/>
      <c r="B115" s="4"/>
      <c r="C115" s="4"/>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4"/>
      <c r="B116" s="4"/>
      <c r="C116" s="4"/>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4"/>
      <c r="B117" s="4"/>
      <c r="C117" s="4"/>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4"/>
      <c r="B118" s="4"/>
      <c r="C118" s="4"/>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4"/>
      <c r="B119" s="4"/>
      <c r="C119" s="4"/>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4"/>
      <c r="B120" s="4"/>
      <c r="C120" s="4"/>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4"/>
      <c r="B121" s="4"/>
      <c r="C121" s="4"/>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4"/>
      <c r="B122" s="4"/>
      <c r="C122" s="4"/>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4"/>
      <c r="B123" s="4"/>
      <c r="C123" s="4"/>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4"/>
      <c r="B124" s="4"/>
      <c r="C124" s="4"/>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4"/>
      <c r="B125" s="4"/>
      <c r="C125" s="4"/>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4"/>
      <c r="B126" s="4"/>
      <c r="C126" s="4"/>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4"/>
      <c r="B127" s="4"/>
      <c r="C127" s="4"/>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4"/>
      <c r="B128" s="4"/>
      <c r="C128" s="4"/>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4"/>
      <c r="B129" s="4"/>
      <c r="C129" s="4"/>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4"/>
      <c r="B130" s="4"/>
      <c r="C130" s="4"/>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4"/>
      <c r="B131" s="4"/>
      <c r="C131" s="4"/>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4"/>
      <c r="B132" s="4"/>
      <c r="C132" s="4"/>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4"/>
      <c r="B133" s="4"/>
      <c r="C133" s="4"/>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4"/>
      <c r="B134" s="4"/>
      <c r="C134" s="4"/>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4"/>
      <c r="B135" s="4"/>
      <c r="C135" s="4"/>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4"/>
      <c r="B136" s="4"/>
      <c r="C136" s="4"/>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4"/>
      <c r="B137" s="4"/>
      <c r="C137" s="4"/>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4"/>
      <c r="B138" s="4"/>
      <c r="C138" s="4"/>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4"/>
      <c r="B139" s="4"/>
      <c r="C139" s="4"/>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4"/>
      <c r="B140" s="4"/>
      <c r="C140" s="4"/>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4"/>
      <c r="B141" s="4"/>
      <c r="C141" s="4"/>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4"/>
      <c r="B142" s="4"/>
      <c r="C142" s="4"/>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4"/>
      <c r="B143" s="4"/>
      <c r="C143" s="4"/>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4"/>
      <c r="B144" s="4"/>
      <c r="C144" s="4"/>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4"/>
      <c r="B145" s="4"/>
      <c r="C145" s="4"/>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4"/>
      <c r="B146" s="4"/>
      <c r="C146" s="4"/>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4"/>
      <c r="B147" s="4"/>
      <c r="C147" s="4"/>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4"/>
      <c r="B148" s="4"/>
      <c r="C148" s="4"/>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4"/>
      <c r="B149" s="4"/>
      <c r="C149" s="4"/>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4"/>
      <c r="B150" s="4"/>
      <c r="C150" s="4"/>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4"/>
      <c r="B151" s="4"/>
      <c r="C151" s="4"/>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4"/>
      <c r="B152" s="4"/>
      <c r="C152" s="4"/>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4"/>
      <c r="B153" s="4"/>
      <c r="C153" s="4"/>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4"/>
      <c r="B154" s="4"/>
      <c r="C154" s="4"/>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4"/>
      <c r="B155" s="4"/>
      <c r="C155" s="4"/>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4"/>
      <c r="B156" s="4"/>
      <c r="C156" s="4"/>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4"/>
      <c r="B157" s="4"/>
      <c r="C157" s="4"/>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4"/>
      <c r="B158" s="4"/>
      <c r="C158" s="4"/>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4"/>
      <c r="B159" s="4"/>
      <c r="C159" s="4"/>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4"/>
      <c r="B160" s="4"/>
      <c r="C160" s="4"/>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4"/>
      <c r="B161" s="4"/>
      <c r="C161" s="4"/>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4"/>
      <c r="B162" s="4"/>
      <c r="C162" s="4"/>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4"/>
      <c r="B163" s="4"/>
      <c r="C163" s="4"/>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4"/>
      <c r="B164" s="4"/>
      <c r="C164" s="4"/>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4"/>
      <c r="B165" s="4"/>
      <c r="C165" s="4"/>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4"/>
      <c r="B166" s="4"/>
      <c r="C166" s="4"/>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4"/>
      <c r="B167" s="4"/>
      <c r="C167" s="4"/>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4"/>
      <c r="B168" s="4"/>
      <c r="C168" s="4"/>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4"/>
      <c r="B169" s="4"/>
      <c r="C169" s="4"/>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4"/>
      <c r="B170" s="4"/>
      <c r="C170" s="4"/>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4"/>
      <c r="B171" s="4"/>
      <c r="C171" s="4"/>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4"/>
      <c r="B172" s="4"/>
      <c r="C172" s="4"/>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4"/>
      <c r="B173" s="4"/>
      <c r="C173" s="4"/>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4"/>
      <c r="B174" s="4"/>
      <c r="C174" s="4"/>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4"/>
      <c r="B175" s="4"/>
      <c r="C175" s="4"/>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4"/>
      <c r="B176" s="4"/>
      <c r="C176" s="4"/>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4"/>
      <c r="B177" s="4"/>
      <c r="C177" s="4"/>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4"/>
      <c r="B178" s="4"/>
      <c r="C178" s="4"/>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4"/>
      <c r="B179" s="4"/>
      <c r="C179" s="4"/>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4"/>
      <c r="B180" s="4"/>
      <c r="C180" s="4"/>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4"/>
      <c r="B181" s="4"/>
      <c r="C181" s="4"/>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4"/>
      <c r="B182" s="4"/>
      <c r="C182" s="4"/>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4"/>
      <c r="B183" s="4"/>
      <c r="C183" s="4"/>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4"/>
      <c r="B184" s="4"/>
      <c r="C184" s="4"/>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4"/>
      <c r="B185" s="4"/>
      <c r="C185" s="4"/>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4"/>
      <c r="B186" s="4"/>
      <c r="C186" s="4"/>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4"/>
      <c r="B187" s="4"/>
      <c r="C187" s="4"/>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4"/>
      <c r="B188" s="4"/>
      <c r="C188" s="4"/>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4"/>
      <c r="B189" s="4"/>
      <c r="C189" s="4"/>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4"/>
      <c r="B190" s="4"/>
      <c r="C190" s="4"/>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4"/>
      <c r="B191" s="4"/>
      <c r="C191" s="4"/>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4"/>
      <c r="B192" s="4"/>
      <c r="C192" s="4"/>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4"/>
      <c r="B193" s="4"/>
      <c r="C193" s="4"/>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4"/>
      <c r="B194" s="4"/>
      <c r="C194" s="4"/>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4"/>
      <c r="B195" s="4"/>
      <c r="C195" s="4"/>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4"/>
      <c r="B196" s="4"/>
      <c r="C196" s="4"/>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4"/>
      <c r="B197" s="4"/>
      <c r="C197" s="4"/>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4"/>
      <c r="B198" s="4"/>
      <c r="C198" s="4"/>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4"/>
      <c r="B199" s="4"/>
      <c r="C199" s="4"/>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4"/>
      <c r="B200" s="4"/>
      <c r="C200" s="4"/>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4"/>
      <c r="B201" s="4"/>
      <c r="C201" s="4"/>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4"/>
      <c r="B202" s="4"/>
      <c r="C202" s="4"/>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4"/>
      <c r="B203" s="4"/>
      <c r="C203" s="4"/>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4"/>
      <c r="B204" s="4"/>
      <c r="C204" s="4"/>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4"/>
      <c r="B205" s="4"/>
      <c r="C205" s="4"/>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4"/>
      <c r="B206" s="4"/>
      <c r="C206" s="4"/>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4"/>
      <c r="B207" s="4"/>
      <c r="C207" s="4"/>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4"/>
      <c r="B208" s="4"/>
      <c r="C208" s="4"/>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4"/>
      <c r="B209" s="4"/>
      <c r="C209" s="4"/>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4"/>
      <c r="B210" s="4"/>
      <c r="C210" s="4"/>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4"/>
      <c r="B211" s="4"/>
      <c r="C211" s="4"/>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4"/>
      <c r="B212" s="4"/>
      <c r="C212" s="4"/>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4"/>
      <c r="B213" s="4"/>
      <c r="C213" s="4"/>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4"/>
      <c r="B214" s="4"/>
      <c r="C214" s="4"/>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4"/>
      <c r="B215" s="4"/>
      <c r="C215" s="4"/>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4"/>
      <c r="B216" s="4"/>
      <c r="C216" s="4"/>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4"/>
      <c r="B217" s="4"/>
      <c r="C217" s="4"/>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4"/>
      <c r="B218" s="4"/>
      <c r="C218" s="4"/>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4"/>
      <c r="B219" s="4"/>
      <c r="C219" s="4"/>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4"/>
      <c r="B220" s="4"/>
      <c r="C220" s="4"/>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4"/>
      <c r="B221" s="4"/>
      <c r="C221" s="4"/>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4"/>
      <c r="B222" s="4"/>
      <c r="C222" s="4"/>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4"/>
      <c r="B223" s="4"/>
      <c r="C223" s="4"/>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4"/>
      <c r="B224" s="4"/>
      <c r="C224" s="4"/>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4"/>
      <c r="B225" s="4"/>
      <c r="C225" s="4"/>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4"/>
      <c r="B226" s="4"/>
      <c r="C226" s="4"/>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4"/>
      <c r="B227" s="4"/>
      <c r="C227" s="4"/>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4"/>
      <c r="B228" s="4"/>
      <c r="C228" s="4"/>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4"/>
      <c r="B229" s="4"/>
      <c r="C229" s="4"/>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4"/>
      <c r="B230" s="4"/>
      <c r="C230" s="4"/>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4"/>
      <c r="B231" s="4"/>
      <c r="C231" s="4"/>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4"/>
      <c r="B232" s="4"/>
      <c r="C232" s="4"/>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4"/>
      <c r="B233" s="4"/>
      <c r="C233" s="4"/>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4"/>
      <c r="B234" s="4"/>
      <c r="C234" s="4"/>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4"/>
      <c r="B235" s="4"/>
      <c r="C235" s="4"/>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4"/>
      <c r="B236" s="4"/>
      <c r="C236" s="4"/>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4"/>
      <c r="B237" s="4"/>
      <c r="C237" s="4"/>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4"/>
      <c r="B238" s="4"/>
      <c r="C238" s="4"/>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4"/>
      <c r="B239" s="4"/>
      <c r="C239" s="4"/>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4"/>
      <c r="B240" s="4"/>
      <c r="C240" s="4"/>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4"/>
      <c r="B241" s="4"/>
      <c r="C241" s="4"/>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4"/>
      <c r="B242" s="4"/>
      <c r="C242" s="4"/>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4"/>
      <c r="B243" s="4"/>
      <c r="C243" s="4"/>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4"/>
      <c r="B244" s="4"/>
      <c r="C244" s="4"/>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4"/>
      <c r="B245" s="4"/>
      <c r="C245" s="4"/>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4"/>
      <c r="B246" s="4"/>
      <c r="C246" s="4"/>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4"/>
      <c r="B247" s="4"/>
      <c r="C247" s="4"/>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4"/>
      <c r="B248" s="4"/>
      <c r="C248" s="4"/>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4"/>
      <c r="B249" s="4"/>
      <c r="C249" s="4"/>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4"/>
      <c r="B250" s="4"/>
      <c r="C250" s="4"/>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4"/>
      <c r="B251" s="4"/>
      <c r="C251" s="4"/>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4"/>
      <c r="B252" s="4"/>
      <c r="C252" s="4"/>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4"/>
      <c r="B253" s="4"/>
      <c r="C253" s="4"/>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4"/>
      <c r="B254" s="4"/>
      <c r="C254" s="4"/>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4"/>
      <c r="B255" s="4"/>
      <c r="C255" s="4"/>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4"/>
      <c r="B256" s="4"/>
      <c r="C256" s="4"/>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4"/>
      <c r="B257" s="4"/>
      <c r="C257" s="4"/>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4"/>
      <c r="B258" s="4"/>
      <c r="C258" s="4"/>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4"/>
      <c r="B259" s="4"/>
      <c r="C259" s="4"/>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4"/>
      <c r="B260" s="4"/>
      <c r="C260" s="4"/>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4"/>
      <c r="B261" s="4"/>
      <c r="C261" s="4"/>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4"/>
      <c r="B262" s="4"/>
      <c r="C262" s="4"/>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4"/>
      <c r="B263" s="4"/>
      <c r="C263" s="4"/>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4"/>
      <c r="B264" s="4"/>
      <c r="C264" s="4"/>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4"/>
      <c r="B265" s="4"/>
      <c r="C265" s="4"/>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4"/>
      <c r="B266" s="4"/>
      <c r="C266" s="4"/>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4"/>
      <c r="B267" s="4"/>
      <c r="C267" s="4"/>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4"/>
      <c r="B268" s="4"/>
      <c r="C268" s="4"/>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4"/>
      <c r="B269" s="4"/>
      <c r="C269" s="4"/>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4"/>
      <c r="B270" s="4"/>
      <c r="C270" s="4"/>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4"/>
      <c r="B271" s="4"/>
      <c r="C271" s="4"/>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4"/>
      <c r="B272" s="4"/>
      <c r="C272" s="4"/>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4"/>
      <c r="B273" s="4"/>
      <c r="C273" s="4"/>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4"/>
      <c r="B274" s="4"/>
      <c r="C274" s="4"/>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4"/>
      <c r="B275" s="4"/>
      <c r="C275" s="4"/>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4"/>
      <c r="B276" s="4"/>
      <c r="C276" s="4"/>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4"/>
      <c r="B277" s="4"/>
      <c r="C277" s="4"/>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4"/>
      <c r="B278" s="4"/>
      <c r="C278" s="4"/>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4"/>
      <c r="B279" s="4"/>
      <c r="C279" s="4"/>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4"/>
      <c r="B280" s="4"/>
      <c r="C280" s="4"/>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4"/>
      <c r="B281" s="4"/>
      <c r="C281" s="4"/>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4"/>
      <c r="B282" s="4"/>
      <c r="C282" s="4"/>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4"/>
      <c r="B283" s="4"/>
      <c r="C283" s="4"/>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4"/>
      <c r="B284" s="4"/>
      <c r="C284" s="4"/>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4"/>
      <c r="B285" s="4"/>
      <c r="C285" s="4"/>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4"/>
      <c r="B286" s="4"/>
      <c r="C286" s="4"/>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4"/>
      <c r="B287" s="4"/>
      <c r="C287" s="4"/>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4"/>
      <c r="B288" s="4"/>
      <c r="C288" s="4"/>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4"/>
      <c r="B289" s="4"/>
      <c r="C289" s="4"/>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4"/>
      <c r="B290" s="4"/>
      <c r="C290" s="4"/>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4"/>
      <c r="B291" s="4"/>
      <c r="C291" s="4"/>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4"/>
      <c r="B292" s="4"/>
      <c r="C292" s="4"/>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4"/>
      <c r="B293" s="4"/>
      <c r="C293" s="4"/>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4"/>
      <c r="B294" s="4"/>
      <c r="C294" s="4"/>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4"/>
      <c r="B295" s="4"/>
      <c r="C295" s="4"/>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4"/>
      <c r="B296" s="4"/>
      <c r="C296" s="4"/>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4"/>
      <c r="B297" s="4"/>
      <c r="C297" s="4"/>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4"/>
      <c r="B298" s="4"/>
      <c r="C298" s="4"/>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4"/>
      <c r="B299" s="4"/>
      <c r="C299" s="4"/>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4"/>
      <c r="B300" s="4"/>
      <c r="C300" s="4"/>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4"/>
      <c r="B301" s="4"/>
      <c r="C301" s="4"/>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4"/>
      <c r="B302" s="4"/>
      <c r="C302" s="4"/>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4"/>
      <c r="B303" s="4"/>
      <c r="C303" s="4"/>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4"/>
      <c r="B304" s="4"/>
      <c r="C304" s="4"/>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4"/>
      <c r="B305" s="4"/>
      <c r="C305" s="4"/>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4"/>
      <c r="B306" s="4"/>
      <c r="C306" s="4"/>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4"/>
      <c r="B307" s="4"/>
      <c r="C307" s="4"/>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4"/>
      <c r="B308" s="4"/>
      <c r="C308" s="4"/>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4"/>
      <c r="B309" s="4"/>
      <c r="C309" s="4"/>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4"/>
      <c r="B310" s="4"/>
      <c r="C310" s="4"/>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4"/>
      <c r="B311" s="4"/>
      <c r="C311" s="4"/>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4"/>
      <c r="B312" s="4"/>
      <c r="C312" s="4"/>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4"/>
      <c r="B313" s="4"/>
      <c r="C313" s="4"/>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4"/>
      <c r="B314" s="4"/>
      <c r="C314" s="4"/>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4"/>
      <c r="B315" s="4"/>
      <c r="C315" s="4"/>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4"/>
      <c r="B316" s="4"/>
      <c r="C316" s="4"/>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4"/>
      <c r="B317" s="4"/>
      <c r="C317" s="4"/>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4"/>
      <c r="B318" s="4"/>
      <c r="C318" s="4"/>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4"/>
      <c r="B319" s="4"/>
      <c r="C319" s="4"/>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4"/>
      <c r="B320" s="4"/>
      <c r="C320" s="4"/>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4"/>
      <c r="B321" s="4"/>
      <c r="C321" s="4"/>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4"/>
      <c r="B322" s="4"/>
      <c r="C322" s="4"/>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4"/>
      <c r="B323" s="4"/>
      <c r="C323" s="4"/>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4"/>
      <c r="B324" s="4"/>
      <c r="C324" s="4"/>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4"/>
      <c r="B325" s="4"/>
      <c r="C325" s="4"/>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4"/>
      <c r="B326" s="4"/>
      <c r="C326" s="4"/>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4"/>
      <c r="B327" s="4"/>
      <c r="C327" s="4"/>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4"/>
      <c r="B328" s="4"/>
      <c r="C328" s="4"/>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4"/>
      <c r="B329" s="4"/>
      <c r="C329" s="4"/>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4"/>
      <c r="B330" s="4"/>
      <c r="C330" s="4"/>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4"/>
      <c r="B331" s="4"/>
      <c r="C331" s="4"/>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4"/>
      <c r="B332" s="4"/>
      <c r="C332" s="4"/>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4"/>
      <c r="B333" s="4"/>
      <c r="C333" s="4"/>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4"/>
      <c r="B334" s="4"/>
      <c r="C334" s="4"/>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4"/>
      <c r="B335" s="4"/>
      <c r="C335" s="4"/>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4"/>
      <c r="B336" s="4"/>
      <c r="C336" s="4"/>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4"/>
      <c r="B337" s="4"/>
      <c r="C337" s="4"/>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4"/>
      <c r="B338" s="4"/>
      <c r="C338" s="4"/>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4"/>
      <c r="B339" s="4"/>
      <c r="C339" s="4"/>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4"/>
      <c r="B340" s="4"/>
      <c r="C340" s="4"/>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4"/>
      <c r="B341" s="4"/>
      <c r="C341" s="4"/>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4"/>
      <c r="B342" s="4"/>
      <c r="C342" s="4"/>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4"/>
      <c r="B343" s="4"/>
      <c r="C343" s="4"/>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4"/>
      <c r="B344" s="4"/>
      <c r="C344" s="4"/>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4"/>
      <c r="B345" s="4"/>
      <c r="C345" s="4"/>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4"/>
      <c r="B346" s="4"/>
      <c r="C346" s="4"/>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4"/>
      <c r="B347" s="4"/>
      <c r="C347" s="4"/>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4"/>
      <c r="B348" s="4"/>
      <c r="C348" s="4"/>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4"/>
      <c r="B349" s="4"/>
      <c r="C349" s="4"/>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4"/>
      <c r="B350" s="4"/>
      <c r="C350" s="4"/>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4"/>
      <c r="B351" s="4"/>
      <c r="C351" s="4"/>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4"/>
      <c r="B352" s="4"/>
      <c r="C352" s="4"/>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4"/>
      <c r="B353" s="4"/>
      <c r="C353" s="4"/>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4"/>
      <c r="B354" s="4"/>
      <c r="C354" s="4"/>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4"/>
      <c r="B355" s="4"/>
      <c r="C355" s="4"/>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4"/>
      <c r="B356" s="4"/>
      <c r="C356" s="4"/>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4"/>
      <c r="B357" s="4"/>
      <c r="C357" s="4"/>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4"/>
      <c r="B358" s="4"/>
      <c r="C358" s="4"/>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4"/>
      <c r="B359" s="4"/>
      <c r="C359" s="4"/>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4"/>
      <c r="B360" s="4"/>
      <c r="C360" s="4"/>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4"/>
      <c r="B361" s="4"/>
      <c r="C361" s="4"/>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4"/>
      <c r="B362" s="4"/>
      <c r="C362" s="4"/>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4"/>
      <c r="B363" s="4"/>
      <c r="C363" s="4"/>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4"/>
      <c r="B364" s="4"/>
      <c r="C364" s="4"/>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4"/>
      <c r="B365" s="4"/>
      <c r="C365" s="4"/>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4"/>
      <c r="B366" s="4"/>
      <c r="C366" s="4"/>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4"/>
      <c r="B367" s="4"/>
      <c r="C367" s="4"/>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4"/>
      <c r="B368" s="4"/>
      <c r="C368" s="4"/>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4"/>
      <c r="B369" s="4"/>
      <c r="C369" s="4"/>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4"/>
      <c r="B370" s="4"/>
      <c r="C370" s="4"/>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4"/>
      <c r="B371" s="4"/>
      <c r="C371" s="4"/>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4"/>
      <c r="B372" s="4"/>
      <c r="C372" s="4"/>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4"/>
      <c r="B373" s="4"/>
      <c r="C373" s="4"/>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4"/>
      <c r="B374" s="4"/>
      <c r="C374" s="4"/>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4"/>
      <c r="B375" s="4"/>
      <c r="C375" s="4"/>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4"/>
      <c r="B376" s="4"/>
      <c r="C376" s="4"/>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4"/>
      <c r="B377" s="4"/>
      <c r="C377" s="4"/>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4"/>
      <c r="B378" s="4"/>
      <c r="C378" s="4"/>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4"/>
      <c r="B379" s="4"/>
      <c r="C379" s="4"/>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4"/>
      <c r="B380" s="4"/>
      <c r="C380" s="4"/>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4"/>
      <c r="B381" s="4"/>
      <c r="C381" s="4"/>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4"/>
      <c r="B382" s="4"/>
      <c r="C382" s="4"/>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4"/>
      <c r="B383" s="4"/>
      <c r="C383" s="4"/>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4"/>
      <c r="B384" s="4"/>
      <c r="C384" s="4"/>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4"/>
      <c r="B385" s="4"/>
      <c r="C385" s="4"/>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4"/>
      <c r="B386" s="4"/>
      <c r="C386" s="4"/>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4"/>
      <c r="B387" s="4"/>
      <c r="C387" s="4"/>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4"/>
      <c r="B388" s="4"/>
      <c r="C388" s="4"/>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4"/>
      <c r="B389" s="4"/>
      <c r="C389" s="4"/>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4"/>
      <c r="B390" s="4"/>
      <c r="C390" s="4"/>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4"/>
      <c r="B391" s="4"/>
      <c r="C391" s="4"/>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4"/>
      <c r="B392" s="4"/>
      <c r="C392" s="4"/>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4"/>
      <c r="B393" s="4"/>
      <c r="C393" s="4"/>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4"/>
      <c r="B394" s="4"/>
      <c r="C394" s="4"/>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4"/>
      <c r="B395" s="4"/>
      <c r="C395" s="4"/>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4"/>
      <c r="B396" s="4"/>
      <c r="C396" s="4"/>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4"/>
      <c r="B397" s="4"/>
      <c r="C397" s="4"/>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4"/>
      <c r="B398" s="4"/>
      <c r="C398" s="4"/>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4"/>
      <c r="B399" s="4"/>
      <c r="C399" s="4"/>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4"/>
      <c r="B400" s="4"/>
      <c r="C400" s="4"/>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4"/>
      <c r="B401" s="4"/>
      <c r="C401" s="4"/>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4"/>
      <c r="B402" s="4"/>
      <c r="C402" s="4"/>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4"/>
      <c r="B403" s="4"/>
      <c r="C403" s="4"/>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4"/>
      <c r="B404" s="4"/>
      <c r="C404" s="4"/>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4"/>
      <c r="B405" s="4"/>
      <c r="C405" s="4"/>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4"/>
      <c r="B406" s="4"/>
      <c r="C406" s="4"/>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4"/>
      <c r="B407" s="4"/>
      <c r="C407" s="4"/>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4"/>
      <c r="B408" s="4"/>
      <c r="C408" s="4"/>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4"/>
      <c r="B409" s="4"/>
      <c r="C409" s="4"/>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4"/>
      <c r="B410" s="4"/>
      <c r="C410" s="4"/>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4"/>
      <c r="B411" s="4"/>
      <c r="C411" s="4"/>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4"/>
      <c r="B412" s="4"/>
      <c r="C412" s="4"/>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4"/>
      <c r="B413" s="4"/>
      <c r="C413" s="4"/>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4"/>
      <c r="B414" s="4"/>
      <c r="C414" s="4"/>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4"/>
      <c r="B415" s="4"/>
      <c r="C415" s="4"/>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4"/>
      <c r="B416" s="4"/>
      <c r="C416" s="4"/>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4"/>
      <c r="B417" s="4"/>
      <c r="C417" s="4"/>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4"/>
      <c r="B418" s="4"/>
      <c r="C418" s="4"/>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4"/>
      <c r="B419" s="4"/>
      <c r="C419" s="4"/>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4"/>
      <c r="B420" s="4"/>
      <c r="C420" s="4"/>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4"/>
      <c r="B421" s="4"/>
      <c r="C421" s="4"/>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4"/>
      <c r="B422" s="4"/>
      <c r="C422" s="4"/>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4"/>
      <c r="B423" s="4"/>
      <c r="C423" s="4"/>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4"/>
      <c r="B424" s="4"/>
      <c r="C424" s="4"/>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4"/>
      <c r="B425" s="4"/>
      <c r="C425" s="4"/>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4"/>
      <c r="B426" s="4"/>
      <c r="C426" s="4"/>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4"/>
      <c r="B427" s="4"/>
      <c r="C427" s="4"/>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4"/>
      <c r="B428" s="4"/>
      <c r="C428" s="4"/>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4"/>
      <c r="B429" s="4"/>
      <c r="C429" s="4"/>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4"/>
      <c r="B430" s="4"/>
      <c r="C430" s="4"/>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4"/>
      <c r="B431" s="4"/>
      <c r="C431" s="4"/>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4"/>
      <c r="B432" s="4"/>
      <c r="C432" s="4"/>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4"/>
      <c r="B433" s="4"/>
      <c r="C433" s="4"/>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4"/>
      <c r="B434" s="4"/>
      <c r="C434" s="4"/>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4"/>
      <c r="B435" s="4"/>
      <c r="C435" s="4"/>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4"/>
      <c r="B436" s="4"/>
      <c r="C436" s="4"/>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4"/>
      <c r="B437" s="4"/>
      <c r="C437" s="4"/>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4"/>
      <c r="B438" s="4"/>
      <c r="C438" s="4"/>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4"/>
      <c r="B439" s="4"/>
      <c r="C439" s="4"/>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4"/>
      <c r="B440" s="4"/>
      <c r="C440" s="4"/>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4"/>
      <c r="B441" s="4"/>
      <c r="C441" s="4"/>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4"/>
      <c r="B442" s="4"/>
      <c r="C442" s="4"/>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4"/>
      <c r="B443" s="4"/>
      <c r="C443" s="4"/>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4"/>
      <c r="B444" s="4"/>
      <c r="C444" s="4"/>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4"/>
      <c r="B445" s="4"/>
      <c r="C445" s="4"/>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4"/>
      <c r="B446" s="4"/>
      <c r="C446" s="4"/>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4"/>
      <c r="B447" s="4"/>
      <c r="C447" s="4"/>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4"/>
      <c r="B448" s="4"/>
      <c r="C448" s="4"/>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4"/>
      <c r="B449" s="4"/>
      <c r="C449" s="4"/>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4"/>
      <c r="B450" s="4"/>
      <c r="C450" s="4"/>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4"/>
      <c r="B451" s="4"/>
      <c r="C451" s="4"/>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4"/>
      <c r="B452" s="4"/>
      <c r="C452" s="4"/>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4"/>
      <c r="B453" s="4"/>
      <c r="C453" s="4"/>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4"/>
      <c r="B454" s="4"/>
      <c r="C454" s="4"/>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4"/>
      <c r="B455" s="4"/>
      <c r="C455" s="4"/>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4"/>
      <c r="B456" s="4"/>
      <c r="C456" s="4"/>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4"/>
      <c r="B457" s="4"/>
      <c r="C457" s="4"/>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4"/>
      <c r="B458" s="4"/>
      <c r="C458" s="4"/>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4"/>
      <c r="B459" s="4"/>
      <c r="C459" s="4"/>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4"/>
      <c r="B460" s="4"/>
      <c r="C460" s="4"/>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4"/>
      <c r="B461" s="4"/>
      <c r="C461" s="4"/>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4"/>
      <c r="B462" s="4"/>
      <c r="C462" s="4"/>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4"/>
      <c r="B463" s="4"/>
      <c r="C463" s="4"/>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4"/>
      <c r="B464" s="4"/>
      <c r="C464" s="4"/>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4"/>
      <c r="B465" s="4"/>
      <c r="C465" s="4"/>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4"/>
      <c r="B466" s="4"/>
      <c r="C466" s="4"/>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4"/>
      <c r="B467" s="4"/>
      <c r="C467" s="4"/>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4"/>
      <c r="B468" s="4"/>
      <c r="C468" s="4"/>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4"/>
      <c r="B469" s="4"/>
      <c r="C469" s="4"/>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4"/>
      <c r="B470" s="4"/>
      <c r="C470" s="4"/>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4"/>
      <c r="B471" s="4"/>
      <c r="C471" s="4"/>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4"/>
      <c r="B472" s="4"/>
      <c r="C472" s="4"/>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4"/>
      <c r="B473" s="4"/>
      <c r="C473" s="4"/>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4"/>
      <c r="B474" s="4"/>
      <c r="C474" s="4"/>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4"/>
      <c r="B475" s="4"/>
      <c r="C475" s="4"/>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4"/>
      <c r="B476" s="4"/>
      <c r="C476" s="4"/>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4"/>
      <c r="B477" s="4"/>
      <c r="C477" s="4"/>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4"/>
      <c r="B478" s="4"/>
      <c r="C478" s="4"/>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4"/>
      <c r="B479" s="4"/>
      <c r="C479" s="4"/>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4"/>
      <c r="B480" s="4"/>
      <c r="C480" s="4"/>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4"/>
      <c r="B481" s="4"/>
      <c r="C481" s="4"/>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4"/>
      <c r="B482" s="4"/>
      <c r="C482" s="4"/>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4"/>
      <c r="B483" s="4"/>
      <c r="C483" s="4"/>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4"/>
      <c r="B484" s="4"/>
      <c r="C484" s="4"/>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4"/>
      <c r="B485" s="4"/>
      <c r="C485" s="4"/>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4"/>
      <c r="B486" s="4"/>
      <c r="C486" s="4"/>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4"/>
      <c r="B487" s="4"/>
      <c r="C487" s="4"/>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4"/>
      <c r="B488" s="4"/>
      <c r="C488" s="4"/>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4"/>
      <c r="B489" s="4"/>
      <c r="C489" s="4"/>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4"/>
      <c r="B490" s="4"/>
      <c r="C490" s="4"/>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4"/>
      <c r="B491" s="4"/>
      <c r="C491" s="4"/>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4"/>
      <c r="B492" s="4"/>
      <c r="C492" s="4"/>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4"/>
      <c r="B493" s="4"/>
      <c r="C493" s="4"/>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4"/>
      <c r="B494" s="4"/>
      <c r="C494" s="4"/>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4"/>
      <c r="B495" s="4"/>
      <c r="C495" s="4"/>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4"/>
      <c r="B496" s="4"/>
      <c r="C496" s="4"/>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4"/>
      <c r="B497" s="4"/>
      <c r="C497" s="4"/>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4"/>
      <c r="B498" s="4"/>
      <c r="C498" s="4"/>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4"/>
      <c r="B499" s="4"/>
      <c r="C499" s="4"/>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4"/>
      <c r="B500" s="4"/>
      <c r="C500" s="4"/>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4"/>
      <c r="B501" s="4"/>
      <c r="C501" s="4"/>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4"/>
      <c r="B502" s="4"/>
      <c r="C502" s="4"/>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4"/>
      <c r="B503" s="4"/>
      <c r="C503" s="4"/>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4"/>
      <c r="B504" s="4"/>
      <c r="C504" s="4"/>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4"/>
      <c r="B505" s="4"/>
      <c r="C505" s="4"/>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4"/>
      <c r="B506" s="4"/>
      <c r="C506" s="4"/>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4"/>
      <c r="B507" s="4"/>
      <c r="C507" s="4"/>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4"/>
      <c r="B508" s="4"/>
      <c r="C508" s="4"/>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4"/>
      <c r="B509" s="4"/>
      <c r="C509" s="4"/>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4"/>
      <c r="B510" s="4"/>
      <c r="C510" s="4"/>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4"/>
      <c r="B511" s="4"/>
      <c r="C511" s="4"/>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4"/>
      <c r="B512" s="4"/>
      <c r="C512" s="4"/>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4"/>
      <c r="B513" s="4"/>
      <c r="C513" s="4"/>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4"/>
      <c r="B514" s="4"/>
      <c r="C514" s="4"/>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4"/>
      <c r="B515" s="4"/>
      <c r="C515" s="4"/>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4"/>
      <c r="B516" s="4"/>
      <c r="C516" s="4"/>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4"/>
      <c r="B517" s="4"/>
      <c r="C517" s="4"/>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4"/>
      <c r="B518" s="4"/>
      <c r="C518" s="4"/>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4"/>
      <c r="B519" s="4"/>
      <c r="C519" s="4"/>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4"/>
      <c r="B520" s="4"/>
      <c r="C520" s="4"/>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4"/>
      <c r="B521" s="4"/>
      <c r="C521" s="4"/>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4"/>
      <c r="B522" s="4"/>
      <c r="C522" s="4"/>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4"/>
      <c r="B523" s="4"/>
      <c r="C523" s="4"/>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4"/>
      <c r="B524" s="4"/>
      <c r="C524" s="4"/>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4"/>
      <c r="B525" s="4"/>
      <c r="C525" s="4"/>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4"/>
      <c r="B526" s="4"/>
      <c r="C526" s="4"/>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4"/>
      <c r="B527" s="4"/>
      <c r="C527" s="4"/>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4"/>
      <c r="B528" s="4"/>
      <c r="C528" s="4"/>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4"/>
      <c r="B529" s="4"/>
      <c r="C529" s="4"/>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4"/>
      <c r="B530" s="4"/>
      <c r="C530" s="4"/>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4"/>
      <c r="B531" s="4"/>
      <c r="C531" s="4"/>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4"/>
      <c r="B532" s="4"/>
      <c r="C532" s="4"/>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4"/>
      <c r="B533" s="4"/>
      <c r="C533" s="4"/>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4"/>
      <c r="B534" s="4"/>
      <c r="C534" s="4"/>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4"/>
      <c r="B535" s="4"/>
      <c r="C535" s="4"/>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4"/>
      <c r="B536" s="4"/>
      <c r="C536" s="4"/>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4"/>
      <c r="B537" s="4"/>
      <c r="C537" s="4"/>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4"/>
      <c r="B538" s="4"/>
      <c r="C538" s="4"/>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4"/>
      <c r="B539" s="4"/>
      <c r="C539" s="4"/>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4"/>
      <c r="B540" s="4"/>
      <c r="C540" s="4"/>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4"/>
      <c r="B541" s="4"/>
      <c r="C541" s="4"/>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4"/>
      <c r="B542" s="4"/>
      <c r="C542" s="4"/>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4"/>
      <c r="B543" s="4"/>
      <c r="C543" s="4"/>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4"/>
      <c r="B544" s="4"/>
      <c r="C544" s="4"/>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4"/>
      <c r="B545" s="4"/>
      <c r="C545" s="4"/>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4"/>
      <c r="B546" s="4"/>
      <c r="C546" s="4"/>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4"/>
      <c r="B547" s="4"/>
      <c r="C547" s="4"/>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4"/>
      <c r="B548" s="4"/>
      <c r="C548" s="4"/>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4"/>
      <c r="B549" s="4"/>
      <c r="C549" s="4"/>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4"/>
      <c r="B550" s="4"/>
      <c r="C550" s="4"/>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4"/>
      <c r="B551" s="4"/>
      <c r="C551" s="4"/>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4"/>
      <c r="B552" s="4"/>
      <c r="C552" s="4"/>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4"/>
      <c r="B553" s="4"/>
      <c r="C553" s="4"/>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4"/>
      <c r="B554" s="4"/>
      <c r="C554" s="4"/>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4"/>
      <c r="B555" s="4"/>
      <c r="C555" s="4"/>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4"/>
      <c r="B556" s="4"/>
      <c r="C556" s="4"/>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4"/>
      <c r="B557" s="4"/>
      <c r="C557" s="4"/>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4"/>
      <c r="B558" s="4"/>
      <c r="C558" s="4"/>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4"/>
      <c r="B559" s="4"/>
      <c r="C559" s="4"/>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4"/>
      <c r="B560" s="4"/>
      <c r="C560" s="4"/>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4"/>
      <c r="B561" s="4"/>
      <c r="C561" s="4"/>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4"/>
      <c r="B562" s="4"/>
      <c r="C562" s="4"/>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4"/>
      <c r="B563" s="4"/>
      <c r="C563" s="4"/>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4"/>
      <c r="B564" s="4"/>
      <c r="C564" s="4"/>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4"/>
      <c r="B565" s="4"/>
      <c r="C565" s="4"/>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4"/>
      <c r="B566" s="4"/>
      <c r="C566" s="4"/>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4"/>
      <c r="B567" s="4"/>
      <c r="C567" s="4"/>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4"/>
      <c r="B568" s="4"/>
      <c r="C568" s="4"/>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4"/>
      <c r="B569" s="4"/>
      <c r="C569" s="4"/>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4"/>
      <c r="B570" s="4"/>
      <c r="C570" s="4"/>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4"/>
      <c r="B571" s="4"/>
      <c r="C571" s="4"/>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4"/>
      <c r="B572" s="4"/>
      <c r="C572" s="4"/>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4"/>
      <c r="B573" s="4"/>
      <c r="C573" s="4"/>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4"/>
      <c r="B574" s="4"/>
      <c r="C574" s="4"/>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4"/>
      <c r="B575" s="4"/>
      <c r="C575" s="4"/>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4"/>
      <c r="B576" s="4"/>
      <c r="C576" s="4"/>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4"/>
      <c r="B577" s="4"/>
      <c r="C577" s="4"/>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4"/>
      <c r="B578" s="4"/>
      <c r="C578" s="4"/>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4"/>
      <c r="B579" s="4"/>
      <c r="C579" s="4"/>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4"/>
      <c r="B580" s="4"/>
      <c r="C580" s="4"/>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4"/>
      <c r="B581" s="4"/>
      <c r="C581" s="4"/>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4"/>
      <c r="B582" s="4"/>
      <c r="C582" s="4"/>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4"/>
      <c r="B583" s="4"/>
      <c r="C583" s="4"/>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4"/>
      <c r="B584" s="4"/>
      <c r="C584" s="4"/>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4"/>
      <c r="B585" s="4"/>
      <c r="C585" s="4"/>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4"/>
      <c r="B586" s="4"/>
      <c r="C586" s="4"/>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4"/>
      <c r="B587" s="4"/>
      <c r="C587" s="4"/>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4"/>
      <c r="B588" s="4"/>
      <c r="C588" s="4"/>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4"/>
      <c r="B589" s="4"/>
      <c r="C589" s="4"/>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4"/>
      <c r="B590" s="4"/>
      <c r="C590" s="4"/>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4"/>
      <c r="B591" s="4"/>
      <c r="C591" s="4"/>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4"/>
      <c r="B592" s="4"/>
      <c r="C592" s="4"/>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4"/>
      <c r="B593" s="4"/>
      <c r="C593" s="4"/>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4"/>
      <c r="B594" s="4"/>
      <c r="C594" s="4"/>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4"/>
      <c r="B595" s="4"/>
      <c r="C595" s="4"/>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4"/>
      <c r="B596" s="4"/>
      <c r="C596" s="4"/>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4"/>
      <c r="B597" s="4"/>
      <c r="C597" s="4"/>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4"/>
      <c r="B598" s="4"/>
      <c r="C598" s="4"/>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4"/>
      <c r="B599" s="4"/>
      <c r="C599" s="4"/>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4"/>
      <c r="B600" s="4"/>
      <c r="C600" s="4"/>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4"/>
      <c r="B601" s="4"/>
      <c r="C601" s="4"/>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4"/>
      <c r="B602" s="4"/>
      <c r="C602" s="4"/>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4"/>
      <c r="B603" s="4"/>
      <c r="C603" s="4"/>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4"/>
      <c r="B604" s="4"/>
      <c r="C604" s="4"/>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4"/>
      <c r="B605" s="4"/>
      <c r="C605" s="4"/>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4"/>
      <c r="B606" s="4"/>
      <c r="C606" s="4"/>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4"/>
      <c r="B607" s="4"/>
      <c r="C607" s="4"/>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4"/>
      <c r="B608" s="4"/>
      <c r="C608" s="4"/>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4"/>
      <c r="B609" s="4"/>
      <c r="C609" s="4"/>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4"/>
      <c r="B610" s="4"/>
      <c r="C610" s="4"/>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4"/>
      <c r="B611" s="4"/>
      <c r="C611" s="4"/>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4"/>
      <c r="B612" s="4"/>
      <c r="C612" s="4"/>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4"/>
      <c r="B613" s="4"/>
      <c r="C613" s="4"/>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4"/>
      <c r="B614" s="4"/>
      <c r="C614" s="4"/>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4"/>
      <c r="B615" s="4"/>
      <c r="C615" s="4"/>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4"/>
      <c r="B616" s="4"/>
      <c r="C616" s="4"/>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4"/>
      <c r="B617" s="4"/>
      <c r="C617" s="4"/>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4"/>
      <c r="B618" s="4"/>
      <c r="C618" s="4"/>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4"/>
      <c r="B619" s="4"/>
      <c r="C619" s="4"/>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4"/>
      <c r="B620" s="4"/>
      <c r="C620" s="4"/>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4"/>
      <c r="B621" s="4"/>
      <c r="C621" s="4"/>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4"/>
      <c r="B622" s="4"/>
      <c r="C622" s="4"/>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4"/>
      <c r="B623" s="4"/>
      <c r="C623" s="4"/>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4"/>
      <c r="B624" s="4"/>
      <c r="C624" s="4"/>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4"/>
      <c r="B625" s="4"/>
      <c r="C625" s="4"/>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4"/>
      <c r="B626" s="4"/>
      <c r="C626" s="4"/>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4"/>
      <c r="B627" s="4"/>
      <c r="C627" s="4"/>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4"/>
      <c r="B628" s="4"/>
      <c r="C628" s="4"/>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4"/>
      <c r="B629" s="4"/>
      <c r="C629" s="4"/>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4"/>
      <c r="B630" s="4"/>
      <c r="C630" s="4"/>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4"/>
      <c r="B631" s="4"/>
      <c r="C631" s="4"/>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4"/>
      <c r="B632" s="4"/>
      <c r="C632" s="4"/>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4"/>
      <c r="B633" s="4"/>
      <c r="C633" s="4"/>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4"/>
      <c r="B634" s="4"/>
      <c r="C634" s="4"/>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4"/>
      <c r="B635" s="4"/>
      <c r="C635" s="4"/>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4"/>
      <c r="B636" s="4"/>
      <c r="C636" s="4"/>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4"/>
      <c r="B637" s="4"/>
      <c r="C637" s="4"/>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4"/>
      <c r="B638" s="4"/>
      <c r="C638" s="4"/>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4"/>
      <c r="B639" s="4"/>
      <c r="C639" s="4"/>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4"/>
      <c r="B640" s="4"/>
      <c r="C640" s="4"/>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4"/>
      <c r="B641" s="4"/>
      <c r="C641" s="4"/>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4"/>
      <c r="B642" s="4"/>
      <c r="C642" s="4"/>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4"/>
      <c r="B643" s="4"/>
      <c r="C643" s="4"/>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4"/>
      <c r="B644" s="4"/>
      <c r="C644" s="4"/>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4"/>
      <c r="B645" s="4"/>
      <c r="C645" s="4"/>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4"/>
      <c r="B646" s="4"/>
      <c r="C646" s="4"/>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4"/>
      <c r="B647" s="4"/>
      <c r="C647" s="4"/>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4"/>
      <c r="B648" s="4"/>
      <c r="C648" s="4"/>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4"/>
      <c r="B649" s="4"/>
      <c r="C649" s="4"/>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4"/>
      <c r="B650" s="4"/>
      <c r="C650" s="4"/>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4"/>
      <c r="B651" s="4"/>
      <c r="C651" s="4"/>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4"/>
      <c r="B652" s="4"/>
      <c r="C652" s="4"/>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4"/>
      <c r="B653" s="4"/>
      <c r="C653" s="4"/>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4"/>
      <c r="B654" s="4"/>
      <c r="C654" s="4"/>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4"/>
      <c r="B655" s="4"/>
      <c r="C655" s="4"/>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4"/>
      <c r="B656" s="4"/>
      <c r="C656" s="4"/>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4"/>
      <c r="B657" s="4"/>
      <c r="C657" s="4"/>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4"/>
      <c r="B658" s="4"/>
      <c r="C658" s="4"/>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4"/>
      <c r="B659" s="4"/>
      <c r="C659" s="4"/>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4"/>
      <c r="B660" s="4"/>
      <c r="C660" s="4"/>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4"/>
      <c r="B661" s="4"/>
      <c r="C661" s="4"/>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4"/>
      <c r="B662" s="4"/>
      <c r="C662" s="4"/>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4"/>
      <c r="B663" s="4"/>
      <c r="C663" s="4"/>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4"/>
      <c r="B664" s="4"/>
      <c r="C664" s="4"/>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4"/>
      <c r="B665" s="4"/>
      <c r="C665" s="4"/>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4"/>
      <c r="B666" s="4"/>
      <c r="C666" s="4"/>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4"/>
      <c r="B667" s="4"/>
      <c r="C667" s="4"/>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4"/>
      <c r="B668" s="4"/>
      <c r="C668" s="4"/>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4"/>
      <c r="B669" s="4"/>
      <c r="C669" s="4"/>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4"/>
      <c r="B670" s="4"/>
      <c r="C670" s="4"/>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4"/>
      <c r="B671" s="4"/>
      <c r="C671" s="4"/>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4"/>
      <c r="B672" s="4"/>
      <c r="C672" s="4"/>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4"/>
      <c r="B673" s="4"/>
      <c r="C673" s="4"/>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4"/>
      <c r="B674" s="4"/>
      <c r="C674" s="4"/>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4"/>
      <c r="B675" s="4"/>
      <c r="C675" s="4"/>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4"/>
      <c r="B676" s="4"/>
      <c r="C676" s="4"/>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4"/>
      <c r="B677" s="4"/>
      <c r="C677" s="4"/>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4"/>
      <c r="B678" s="4"/>
      <c r="C678" s="4"/>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4"/>
      <c r="B679" s="4"/>
      <c r="C679" s="4"/>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4"/>
      <c r="B680" s="4"/>
      <c r="C680" s="4"/>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4"/>
      <c r="B681" s="4"/>
      <c r="C681" s="4"/>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4"/>
      <c r="B682" s="4"/>
      <c r="C682" s="4"/>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4"/>
      <c r="B683" s="4"/>
      <c r="C683" s="4"/>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4"/>
      <c r="B684" s="4"/>
      <c r="C684" s="4"/>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4"/>
      <c r="B685" s="4"/>
      <c r="C685" s="4"/>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4"/>
      <c r="B686" s="4"/>
      <c r="C686" s="4"/>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4"/>
      <c r="B687" s="4"/>
      <c r="C687" s="4"/>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4"/>
      <c r="B688" s="4"/>
      <c r="C688" s="4"/>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4"/>
      <c r="B689" s="4"/>
      <c r="C689" s="4"/>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4"/>
      <c r="B690" s="4"/>
      <c r="C690" s="4"/>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4"/>
      <c r="B691" s="4"/>
      <c r="C691" s="4"/>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4"/>
      <c r="B692" s="4"/>
      <c r="C692" s="4"/>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4"/>
      <c r="B693" s="4"/>
      <c r="C693" s="4"/>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4"/>
      <c r="B694" s="4"/>
      <c r="C694" s="4"/>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4"/>
      <c r="B695" s="4"/>
      <c r="C695" s="4"/>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4"/>
      <c r="B696" s="4"/>
      <c r="C696" s="4"/>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4"/>
      <c r="B697" s="4"/>
      <c r="C697" s="4"/>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4"/>
      <c r="B698" s="4"/>
      <c r="C698" s="4"/>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4"/>
      <c r="B699" s="4"/>
      <c r="C699" s="4"/>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4"/>
      <c r="B700" s="4"/>
      <c r="C700" s="4"/>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4"/>
      <c r="B701" s="4"/>
      <c r="C701" s="4"/>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4"/>
      <c r="B702" s="4"/>
      <c r="C702" s="4"/>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4"/>
      <c r="B703" s="4"/>
      <c r="C703" s="4"/>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4"/>
      <c r="B704" s="4"/>
      <c r="C704" s="4"/>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4"/>
      <c r="B705" s="4"/>
      <c r="C705" s="4"/>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4"/>
      <c r="B706" s="4"/>
      <c r="C706" s="4"/>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4"/>
      <c r="B707" s="4"/>
      <c r="C707" s="4"/>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4"/>
      <c r="B708" s="4"/>
      <c r="C708" s="4"/>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4"/>
      <c r="B709" s="4"/>
      <c r="C709" s="4"/>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4"/>
      <c r="B710" s="4"/>
      <c r="C710" s="4"/>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4"/>
      <c r="B711" s="4"/>
      <c r="C711" s="4"/>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4"/>
      <c r="B712" s="4"/>
      <c r="C712" s="4"/>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4"/>
      <c r="B713" s="4"/>
      <c r="C713" s="4"/>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4"/>
      <c r="B714" s="4"/>
      <c r="C714" s="4"/>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4"/>
      <c r="B715" s="4"/>
      <c r="C715" s="4"/>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4"/>
      <c r="B716" s="4"/>
      <c r="C716" s="4"/>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4"/>
      <c r="B717" s="4"/>
      <c r="C717" s="4"/>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4"/>
      <c r="B718" s="4"/>
      <c r="C718" s="4"/>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4"/>
      <c r="B719" s="4"/>
      <c r="C719" s="4"/>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4"/>
      <c r="B720" s="4"/>
      <c r="C720" s="4"/>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4"/>
      <c r="B721" s="4"/>
      <c r="C721" s="4"/>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4"/>
      <c r="B722" s="4"/>
      <c r="C722" s="4"/>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4"/>
      <c r="B723" s="4"/>
      <c r="C723" s="4"/>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4"/>
      <c r="B724" s="4"/>
      <c r="C724" s="4"/>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4"/>
      <c r="B725" s="4"/>
      <c r="C725" s="4"/>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4"/>
      <c r="B726" s="4"/>
      <c r="C726" s="4"/>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4"/>
      <c r="B727" s="4"/>
      <c r="C727" s="4"/>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4"/>
      <c r="B728" s="4"/>
      <c r="C728" s="4"/>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4"/>
      <c r="B729" s="4"/>
      <c r="C729" s="4"/>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4"/>
      <c r="B730" s="4"/>
      <c r="C730" s="4"/>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4"/>
      <c r="B731" s="4"/>
      <c r="C731" s="4"/>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4"/>
      <c r="B732" s="4"/>
      <c r="C732" s="4"/>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4"/>
      <c r="B733" s="4"/>
      <c r="C733" s="4"/>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4"/>
      <c r="B734" s="4"/>
      <c r="C734" s="4"/>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4"/>
      <c r="B735" s="4"/>
      <c r="C735" s="4"/>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4"/>
      <c r="B736" s="4"/>
      <c r="C736" s="4"/>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4"/>
      <c r="B737" s="4"/>
      <c r="C737" s="4"/>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4"/>
      <c r="B738" s="4"/>
      <c r="C738" s="4"/>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4"/>
      <c r="B739" s="4"/>
      <c r="C739" s="4"/>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4"/>
      <c r="B740" s="4"/>
      <c r="C740" s="4"/>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4"/>
      <c r="B741" s="4"/>
      <c r="C741" s="4"/>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4"/>
      <c r="B742" s="4"/>
      <c r="C742" s="4"/>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4"/>
      <c r="B743" s="4"/>
      <c r="C743" s="4"/>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4"/>
      <c r="B744" s="4"/>
      <c r="C744" s="4"/>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4"/>
      <c r="B745" s="4"/>
      <c r="C745" s="4"/>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4"/>
      <c r="B746" s="4"/>
      <c r="C746" s="4"/>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4"/>
      <c r="B747" s="4"/>
      <c r="C747" s="4"/>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4"/>
      <c r="B748" s="4"/>
      <c r="C748" s="4"/>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4"/>
      <c r="B749" s="4"/>
      <c r="C749" s="4"/>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4"/>
      <c r="B750" s="4"/>
      <c r="C750" s="4"/>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4"/>
      <c r="B751" s="4"/>
      <c r="C751" s="4"/>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4"/>
      <c r="B752" s="4"/>
      <c r="C752" s="4"/>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4"/>
      <c r="B753" s="4"/>
      <c r="C753" s="4"/>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4"/>
      <c r="B754" s="4"/>
      <c r="C754" s="4"/>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4"/>
      <c r="B755" s="4"/>
      <c r="C755" s="4"/>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4"/>
      <c r="B756" s="4"/>
      <c r="C756" s="4"/>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4"/>
      <c r="B757" s="4"/>
      <c r="C757" s="4"/>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4"/>
      <c r="B758" s="4"/>
      <c r="C758" s="4"/>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4"/>
      <c r="B759" s="4"/>
      <c r="C759" s="4"/>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4"/>
      <c r="B760" s="4"/>
      <c r="C760" s="4"/>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4"/>
      <c r="B761" s="4"/>
      <c r="C761" s="4"/>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4"/>
      <c r="B762" s="4"/>
      <c r="C762" s="4"/>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4"/>
      <c r="B763" s="4"/>
      <c r="C763" s="4"/>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4"/>
      <c r="B764" s="4"/>
      <c r="C764" s="4"/>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4"/>
      <c r="B765" s="4"/>
      <c r="C765" s="4"/>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4"/>
      <c r="B766" s="4"/>
      <c r="C766" s="4"/>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4"/>
      <c r="B767" s="4"/>
      <c r="C767" s="4"/>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4"/>
      <c r="B768" s="4"/>
      <c r="C768" s="4"/>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4"/>
      <c r="B769" s="4"/>
      <c r="C769" s="4"/>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4"/>
      <c r="B770" s="4"/>
      <c r="C770" s="4"/>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4"/>
      <c r="B771" s="4"/>
      <c r="C771" s="4"/>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4"/>
      <c r="B772" s="4"/>
      <c r="C772" s="4"/>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4"/>
      <c r="B773" s="4"/>
      <c r="C773" s="4"/>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4"/>
      <c r="B774" s="4"/>
      <c r="C774" s="4"/>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4"/>
      <c r="B775" s="4"/>
      <c r="C775" s="4"/>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4"/>
      <c r="B776" s="4"/>
      <c r="C776" s="4"/>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4"/>
      <c r="B777" s="4"/>
      <c r="C777" s="4"/>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4"/>
      <c r="B778" s="4"/>
      <c r="C778" s="4"/>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4"/>
      <c r="B779" s="4"/>
      <c r="C779" s="4"/>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4"/>
      <c r="B780" s="4"/>
      <c r="C780" s="4"/>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4"/>
      <c r="B781" s="4"/>
      <c r="C781" s="4"/>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4"/>
      <c r="B782" s="4"/>
      <c r="C782" s="4"/>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4"/>
      <c r="B783" s="4"/>
      <c r="C783" s="4"/>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4"/>
      <c r="B784" s="4"/>
      <c r="C784" s="4"/>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4"/>
      <c r="B785" s="4"/>
      <c r="C785" s="4"/>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4"/>
      <c r="B786" s="4"/>
      <c r="C786" s="4"/>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4"/>
      <c r="B787" s="4"/>
      <c r="C787" s="4"/>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4"/>
      <c r="B788" s="4"/>
      <c r="C788" s="4"/>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4"/>
      <c r="B789" s="4"/>
      <c r="C789" s="4"/>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4"/>
      <c r="B790" s="4"/>
      <c r="C790" s="4"/>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4"/>
      <c r="B791" s="4"/>
      <c r="C791" s="4"/>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4"/>
      <c r="B792" s="4"/>
      <c r="C792" s="4"/>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4"/>
      <c r="B793" s="4"/>
      <c r="C793" s="4"/>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4"/>
      <c r="B794" s="4"/>
      <c r="C794" s="4"/>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4"/>
      <c r="B795" s="4"/>
      <c r="C795" s="4"/>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4"/>
      <c r="B796" s="4"/>
      <c r="C796" s="4"/>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4"/>
      <c r="B797" s="4"/>
      <c r="C797" s="4"/>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4"/>
      <c r="B798" s="4"/>
      <c r="C798" s="4"/>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4"/>
      <c r="B799" s="4"/>
      <c r="C799" s="4"/>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4"/>
      <c r="B800" s="4"/>
      <c r="C800" s="4"/>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4"/>
      <c r="B801" s="4"/>
      <c r="C801" s="4"/>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4"/>
      <c r="B802" s="4"/>
      <c r="C802" s="4"/>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4"/>
      <c r="B803" s="4"/>
      <c r="C803" s="4"/>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4"/>
      <c r="B804" s="4"/>
      <c r="C804" s="4"/>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4"/>
      <c r="B805" s="4"/>
      <c r="C805" s="4"/>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4"/>
      <c r="B806" s="4"/>
      <c r="C806" s="4"/>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4"/>
      <c r="B807" s="4"/>
      <c r="C807" s="4"/>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4"/>
      <c r="B808" s="4"/>
      <c r="C808" s="4"/>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4"/>
      <c r="B809" s="4"/>
      <c r="C809" s="4"/>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4"/>
      <c r="B810" s="4"/>
      <c r="C810" s="4"/>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4"/>
      <c r="B811" s="4"/>
      <c r="C811" s="4"/>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4"/>
      <c r="B812" s="4"/>
      <c r="C812" s="4"/>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4"/>
      <c r="B813" s="4"/>
      <c r="C813" s="4"/>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4"/>
      <c r="B814" s="4"/>
      <c r="C814" s="4"/>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4"/>
      <c r="B815" s="4"/>
      <c r="C815" s="4"/>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4"/>
      <c r="B816" s="4"/>
      <c r="C816" s="4"/>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4"/>
      <c r="B817" s="4"/>
      <c r="C817" s="4"/>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4"/>
      <c r="B818" s="4"/>
      <c r="C818" s="4"/>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4"/>
      <c r="B819" s="4"/>
      <c r="C819" s="4"/>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4"/>
      <c r="B820" s="4"/>
      <c r="C820" s="4"/>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4"/>
      <c r="B821" s="4"/>
      <c r="C821" s="4"/>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4"/>
      <c r="B822" s="4"/>
      <c r="C822" s="4"/>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4"/>
      <c r="B823" s="4"/>
      <c r="C823" s="4"/>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4"/>
      <c r="B824" s="4"/>
      <c r="C824" s="4"/>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4"/>
      <c r="B825" s="4"/>
      <c r="C825" s="4"/>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4"/>
      <c r="B826" s="4"/>
      <c r="C826" s="4"/>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4"/>
      <c r="B827" s="4"/>
      <c r="C827" s="4"/>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4"/>
      <c r="B828" s="4"/>
      <c r="C828" s="4"/>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4"/>
      <c r="B829" s="4"/>
      <c r="C829" s="4"/>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4"/>
      <c r="B830" s="4"/>
      <c r="C830" s="4"/>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4"/>
      <c r="B831" s="4"/>
      <c r="C831" s="4"/>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4"/>
      <c r="B832" s="4"/>
      <c r="C832" s="4"/>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4"/>
      <c r="B833" s="4"/>
      <c r="C833" s="4"/>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4"/>
      <c r="B834" s="4"/>
      <c r="C834" s="4"/>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4"/>
      <c r="B835" s="4"/>
      <c r="C835" s="4"/>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4"/>
      <c r="B836" s="4"/>
      <c r="C836" s="4"/>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4"/>
      <c r="B837" s="4"/>
      <c r="C837" s="4"/>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4"/>
      <c r="B838" s="4"/>
      <c r="C838" s="4"/>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4"/>
      <c r="B839" s="4"/>
      <c r="C839" s="4"/>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4"/>
      <c r="B840" s="4"/>
      <c r="C840" s="4"/>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4"/>
      <c r="B841" s="4"/>
      <c r="C841" s="4"/>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4"/>
      <c r="B842" s="4"/>
      <c r="C842" s="4"/>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4"/>
      <c r="B843" s="4"/>
      <c r="C843" s="4"/>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4"/>
      <c r="B844" s="4"/>
      <c r="C844" s="4"/>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4"/>
      <c r="B845" s="4"/>
      <c r="C845" s="4"/>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4"/>
      <c r="B846" s="4"/>
      <c r="C846" s="4"/>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4"/>
      <c r="B847" s="4"/>
      <c r="C847" s="4"/>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4"/>
      <c r="B848" s="4"/>
      <c r="C848" s="4"/>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4"/>
      <c r="B849" s="4"/>
      <c r="C849" s="4"/>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4"/>
      <c r="B850" s="4"/>
      <c r="C850" s="4"/>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4"/>
      <c r="B851" s="4"/>
      <c r="C851" s="4"/>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4"/>
      <c r="B852" s="4"/>
      <c r="C852" s="4"/>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4"/>
      <c r="B853" s="4"/>
      <c r="C853" s="4"/>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4"/>
      <c r="B854" s="4"/>
      <c r="C854" s="4"/>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4"/>
      <c r="B855" s="4"/>
      <c r="C855" s="4"/>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4"/>
      <c r="B856" s="4"/>
      <c r="C856" s="4"/>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4"/>
      <c r="B857" s="4"/>
      <c r="C857" s="4"/>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4"/>
      <c r="B858" s="4"/>
      <c r="C858" s="4"/>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4"/>
      <c r="B859" s="4"/>
      <c r="C859" s="4"/>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4"/>
      <c r="B860" s="4"/>
      <c r="C860" s="4"/>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4"/>
      <c r="B861" s="4"/>
      <c r="C861" s="4"/>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4"/>
      <c r="B862" s="4"/>
      <c r="C862" s="4"/>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4"/>
      <c r="B863" s="4"/>
      <c r="C863" s="4"/>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4"/>
      <c r="B864" s="4"/>
      <c r="C864" s="4"/>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4"/>
      <c r="B865" s="4"/>
      <c r="C865" s="4"/>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4"/>
      <c r="B866" s="4"/>
      <c r="C866" s="4"/>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4"/>
      <c r="B867" s="4"/>
      <c r="C867" s="4"/>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4"/>
      <c r="B868" s="4"/>
      <c r="C868" s="4"/>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4"/>
      <c r="B869" s="4"/>
      <c r="C869" s="4"/>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4"/>
      <c r="B870" s="4"/>
      <c r="C870" s="4"/>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4"/>
      <c r="B871" s="4"/>
      <c r="C871" s="4"/>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4"/>
      <c r="B872" s="4"/>
      <c r="C872" s="4"/>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4"/>
      <c r="B873" s="4"/>
      <c r="C873" s="4"/>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4"/>
      <c r="B874" s="4"/>
      <c r="C874" s="4"/>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4"/>
      <c r="B875" s="4"/>
      <c r="C875" s="4"/>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4"/>
      <c r="B876" s="4"/>
      <c r="C876" s="4"/>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4"/>
      <c r="B877" s="4"/>
      <c r="C877" s="4"/>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4"/>
      <c r="B878" s="4"/>
      <c r="C878" s="4"/>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4"/>
      <c r="B879" s="4"/>
      <c r="C879" s="4"/>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4"/>
      <c r="B880" s="4"/>
      <c r="C880" s="4"/>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4"/>
      <c r="B881" s="4"/>
      <c r="C881" s="4"/>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4"/>
      <c r="B882" s="4"/>
      <c r="C882" s="4"/>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4"/>
      <c r="B883" s="4"/>
      <c r="C883" s="4"/>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4"/>
      <c r="B884" s="4"/>
      <c r="C884" s="4"/>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4"/>
      <c r="B885" s="4"/>
      <c r="C885" s="4"/>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4"/>
      <c r="B886" s="4"/>
      <c r="C886" s="4"/>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4"/>
      <c r="B887" s="4"/>
      <c r="C887" s="4"/>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4"/>
      <c r="B888" s="4"/>
      <c r="C888" s="4"/>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4"/>
      <c r="B889" s="4"/>
      <c r="C889" s="4"/>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4"/>
      <c r="B890" s="4"/>
      <c r="C890" s="4"/>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4"/>
      <c r="B891" s="4"/>
      <c r="C891" s="4"/>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4"/>
      <c r="B892" s="4"/>
      <c r="C892" s="4"/>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4"/>
      <c r="B893" s="4"/>
      <c r="C893" s="4"/>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4"/>
      <c r="B894" s="4"/>
      <c r="C894" s="4"/>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4"/>
      <c r="B895" s="4"/>
      <c r="C895" s="4"/>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4"/>
      <c r="B896" s="4"/>
      <c r="C896" s="4"/>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4"/>
      <c r="B897" s="4"/>
      <c r="C897" s="4"/>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4"/>
      <c r="B898" s="4"/>
      <c r="C898" s="4"/>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4"/>
      <c r="B899" s="4"/>
      <c r="C899" s="4"/>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4"/>
      <c r="B900" s="4"/>
      <c r="C900" s="4"/>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4"/>
      <c r="B901" s="4"/>
      <c r="C901" s="4"/>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4"/>
      <c r="B902" s="4"/>
      <c r="C902" s="4"/>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4"/>
      <c r="B903" s="4"/>
      <c r="C903" s="4"/>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4"/>
      <c r="B904" s="4"/>
      <c r="C904" s="4"/>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4"/>
      <c r="B905" s="4"/>
      <c r="C905" s="4"/>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4"/>
      <c r="B906" s="4"/>
      <c r="C906" s="4"/>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4"/>
      <c r="B907" s="4"/>
      <c r="C907" s="4"/>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4"/>
      <c r="B908" s="4"/>
      <c r="C908" s="4"/>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4"/>
      <c r="B909" s="4"/>
      <c r="C909" s="4"/>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4"/>
      <c r="B910" s="4"/>
      <c r="C910" s="4"/>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4"/>
      <c r="B911" s="4"/>
      <c r="C911" s="4"/>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4"/>
      <c r="B912" s="4"/>
      <c r="C912" s="4"/>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4"/>
      <c r="B913" s="4"/>
      <c r="C913" s="4"/>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4"/>
      <c r="B914" s="4"/>
      <c r="C914" s="4"/>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4"/>
      <c r="B915" s="4"/>
      <c r="C915" s="4"/>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4"/>
      <c r="B916" s="4"/>
      <c r="C916" s="4"/>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4"/>
      <c r="B917" s="4"/>
      <c r="C917" s="4"/>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4"/>
      <c r="B918" s="4"/>
      <c r="C918" s="4"/>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4"/>
      <c r="B919" s="4"/>
      <c r="C919" s="4"/>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4"/>
      <c r="B920" s="4"/>
      <c r="C920" s="4"/>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4"/>
      <c r="B921" s="4"/>
      <c r="C921" s="4"/>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4"/>
      <c r="B922" s="4"/>
      <c r="C922" s="4"/>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4"/>
      <c r="B923" s="4"/>
      <c r="C923" s="4"/>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4"/>
      <c r="B924" s="4"/>
      <c r="C924" s="4"/>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4"/>
      <c r="B925" s="4"/>
      <c r="C925" s="4"/>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4"/>
      <c r="B926" s="4"/>
      <c r="C926" s="4"/>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4"/>
      <c r="B927" s="4"/>
      <c r="C927" s="4"/>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4"/>
      <c r="B928" s="4"/>
      <c r="C928" s="4"/>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4"/>
      <c r="B929" s="4"/>
      <c r="C929" s="4"/>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4"/>
      <c r="B930" s="4"/>
      <c r="C930" s="4"/>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4"/>
      <c r="B931" s="4"/>
      <c r="C931" s="4"/>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4"/>
      <c r="B932" s="4"/>
      <c r="C932" s="4"/>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4"/>
      <c r="B933" s="4"/>
      <c r="C933" s="4"/>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4"/>
      <c r="B934" s="4"/>
      <c r="C934" s="4"/>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4"/>
      <c r="B935" s="4"/>
      <c r="C935" s="4"/>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4"/>
      <c r="B936" s="4"/>
      <c r="C936" s="4"/>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4"/>
      <c r="B937" s="4"/>
      <c r="C937" s="4"/>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4"/>
      <c r="B938" s="4"/>
      <c r="C938" s="4"/>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4"/>
      <c r="B939" s="4"/>
      <c r="C939" s="4"/>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4"/>
      <c r="B940" s="4"/>
      <c r="C940" s="4"/>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4"/>
      <c r="B941" s="4"/>
      <c r="C941" s="4"/>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4"/>
      <c r="B942" s="4"/>
      <c r="C942" s="4"/>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4"/>
      <c r="B943" s="4"/>
      <c r="C943" s="4"/>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4"/>
      <c r="B944" s="4"/>
      <c r="C944" s="4"/>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4"/>
      <c r="B945" s="4"/>
      <c r="C945" s="4"/>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4"/>
      <c r="B946" s="4"/>
      <c r="C946" s="4"/>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4"/>
      <c r="B947" s="4"/>
      <c r="C947" s="4"/>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4"/>
      <c r="B948" s="4"/>
      <c r="C948" s="4"/>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4"/>
      <c r="B949" s="4"/>
      <c r="C949" s="4"/>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4"/>
      <c r="B950" s="4"/>
      <c r="C950" s="4"/>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4"/>
      <c r="B951" s="4"/>
      <c r="C951" s="4"/>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4"/>
      <c r="B952" s="4"/>
      <c r="C952" s="4"/>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4"/>
      <c r="B953" s="4"/>
      <c r="C953" s="4"/>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4"/>
      <c r="B954" s="4"/>
      <c r="C954" s="4"/>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4"/>
      <c r="B955" s="4"/>
      <c r="C955" s="4"/>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4"/>
      <c r="B956" s="4"/>
      <c r="C956" s="4"/>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4"/>
      <c r="B957" s="4"/>
      <c r="C957" s="4"/>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4"/>
      <c r="B958" s="4"/>
      <c r="C958" s="4"/>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4"/>
      <c r="B959" s="4"/>
      <c r="C959" s="4"/>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4"/>
      <c r="B960" s="4"/>
      <c r="C960" s="4"/>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4"/>
      <c r="B961" s="4"/>
      <c r="C961" s="4"/>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4"/>
      <c r="B962" s="4"/>
      <c r="C962" s="4"/>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4"/>
      <c r="B963" s="4"/>
      <c r="C963" s="4"/>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4"/>
      <c r="B964" s="4"/>
      <c r="C964" s="4"/>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4"/>
      <c r="B965" s="4"/>
      <c r="C965" s="4"/>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4"/>
      <c r="B966" s="4"/>
      <c r="C966" s="4"/>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4"/>
      <c r="B967" s="4"/>
      <c r="C967" s="4"/>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4"/>
      <c r="B968" s="4"/>
      <c r="C968" s="4"/>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4"/>
      <c r="B969" s="4"/>
      <c r="C969" s="4"/>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4"/>
      <c r="B970" s="4"/>
      <c r="C970" s="4"/>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4"/>
      <c r="B971" s="4"/>
      <c r="C971" s="4"/>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4"/>
      <c r="B972" s="4"/>
      <c r="C972" s="4"/>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4"/>
      <c r="B973" s="4"/>
      <c r="C973" s="4"/>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4"/>
      <c r="B974" s="4"/>
      <c r="C974" s="4"/>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4"/>
      <c r="B975" s="4"/>
      <c r="C975" s="4"/>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4"/>
      <c r="B976" s="4"/>
      <c r="C976" s="4"/>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4"/>
      <c r="B977" s="4"/>
      <c r="C977" s="4"/>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4"/>
      <c r="B978" s="4"/>
      <c r="C978" s="4"/>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4"/>
      <c r="B979" s="4"/>
      <c r="C979" s="4"/>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4"/>
      <c r="B980" s="4"/>
      <c r="C980" s="4"/>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4"/>
      <c r="B981" s="4"/>
      <c r="C981" s="4"/>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4"/>
      <c r="B982" s="4"/>
      <c r="C982" s="4"/>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4"/>
      <c r="B983" s="4"/>
      <c r="C983" s="4"/>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4"/>
      <c r="B984" s="4"/>
      <c r="C984" s="4"/>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4"/>
      <c r="B985" s="4"/>
      <c r="C985" s="4"/>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4"/>
      <c r="B986" s="4"/>
      <c r="C986" s="4"/>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4"/>
      <c r="B987" s="4"/>
      <c r="C987" s="4"/>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4"/>
      <c r="B988" s="4"/>
      <c r="C988" s="4"/>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4"/>
      <c r="B989" s="4"/>
      <c r="C989" s="4"/>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4"/>
      <c r="B990" s="4"/>
      <c r="C990" s="4"/>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4"/>
      <c r="B991" s="4"/>
      <c r="C991" s="4"/>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4"/>
      <c r="B992" s="4"/>
      <c r="C992" s="4"/>
      <c r="D992" s="2"/>
      <c r="E992" s="2"/>
      <c r="F992" s="2"/>
      <c r="G992" s="2"/>
      <c r="H992" s="2"/>
      <c r="I992" s="2"/>
      <c r="J992" s="2"/>
      <c r="K992" s="2"/>
      <c r="L992" s="2"/>
      <c r="M992" s="2"/>
      <c r="N992" s="2"/>
      <c r="O992" s="2"/>
      <c r="P992" s="2"/>
      <c r="Q992" s="2"/>
      <c r="R992" s="2"/>
      <c r="S992" s="2"/>
      <c r="T992" s="2"/>
      <c r="U992" s="2"/>
      <c r="V992" s="2"/>
      <c r="W992" s="2"/>
      <c r="X992" s="2"/>
      <c r="Y992" s="2"/>
      <c r="Z992" s="2"/>
    </row>
  </sheetData>
  <mergeCells count="14">
    <mergeCell ref="A2:A3"/>
    <mergeCell ref="C2:C3"/>
    <mergeCell ref="A4:A6"/>
    <mergeCell ref="C4:C6"/>
    <mergeCell ref="A7:A11"/>
    <mergeCell ref="C7:C11"/>
    <mergeCell ref="A12:A13"/>
    <mergeCell ref="A14:A15"/>
    <mergeCell ref="A17:A27"/>
    <mergeCell ref="C17:C27"/>
    <mergeCell ref="A28:A30"/>
    <mergeCell ref="C28:C30"/>
    <mergeCell ref="C12:C13"/>
    <mergeCell ref="C14:C15"/>
  </mergeCells>
  <hyperlinks>
    <hyperlink ref="C7" r:id="rId1" xr:uid="{00000000-0004-0000-0600-000000000000}"/>
    <hyperlink ref="C12" r:id="rId2" xr:uid="{00000000-0004-0000-0600-000001000000}"/>
    <hyperlink ref="C28" r:id="rId3" xr:uid="{00000000-0004-0000-06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19"/>
  <sheetViews>
    <sheetView topLeftCell="A58" workbookViewId="0">
      <selection activeCell="A2" sqref="A2:C59"/>
    </sheetView>
  </sheetViews>
  <sheetFormatPr defaultColWidth="14.44140625" defaultRowHeight="15" customHeight="1"/>
  <cols>
    <col min="1" max="1" width="46.5546875" customWidth="1"/>
    <col min="2" max="2" width="90.5546875" customWidth="1"/>
    <col min="3" max="3" width="62.44140625" customWidth="1"/>
  </cols>
  <sheetData>
    <row r="1" spans="1:3" ht="14.4">
      <c r="A1" s="5" t="s">
        <v>62</v>
      </c>
      <c r="B1" s="5" t="s">
        <v>63</v>
      </c>
      <c r="C1" s="5" t="s">
        <v>64</v>
      </c>
    </row>
    <row r="2" spans="1:3" ht="14.4">
      <c r="A2" s="30" t="s">
        <v>664</v>
      </c>
      <c r="B2" s="1" t="s">
        <v>665</v>
      </c>
      <c r="C2" s="28" t="s">
        <v>666</v>
      </c>
    </row>
    <row r="3" spans="1:3" ht="14.4">
      <c r="A3" s="25"/>
      <c r="B3" s="1" t="s">
        <v>667</v>
      </c>
      <c r="C3" s="25"/>
    </row>
    <row r="4" spans="1:3" ht="14.4">
      <c r="A4" s="25"/>
      <c r="B4" s="1" t="s">
        <v>668</v>
      </c>
      <c r="C4" s="25"/>
    </row>
    <row r="5" spans="1:3" ht="14.4">
      <c r="A5" s="25"/>
      <c r="B5" s="1" t="s">
        <v>669</v>
      </c>
      <c r="C5" s="25"/>
    </row>
    <row r="6" spans="1:3" ht="14.4">
      <c r="A6" s="25"/>
      <c r="B6" s="1" t="s">
        <v>670</v>
      </c>
      <c r="C6" s="25"/>
    </row>
    <row r="7" spans="1:3" ht="14.4">
      <c r="A7" s="25"/>
      <c r="B7" s="1" t="s">
        <v>671</v>
      </c>
      <c r="C7" s="25"/>
    </row>
    <row r="8" spans="1:3" ht="14.4">
      <c r="A8" s="25"/>
      <c r="B8" s="6" t="s">
        <v>672</v>
      </c>
      <c r="C8" s="25"/>
    </row>
    <row r="9" spans="1:3" ht="28.8">
      <c r="A9" s="25"/>
      <c r="B9" s="1" t="s">
        <v>673</v>
      </c>
      <c r="C9" s="25"/>
    </row>
    <row r="10" spans="1:3" ht="14.4">
      <c r="A10" s="25"/>
      <c r="B10" s="1"/>
      <c r="C10" s="25"/>
    </row>
    <row r="11" spans="1:3" ht="14.4">
      <c r="A11" s="25"/>
      <c r="B11" s="1"/>
      <c r="C11" s="25"/>
    </row>
    <row r="12" spans="1:3" ht="14.4">
      <c r="A12" s="25"/>
      <c r="B12" s="1"/>
      <c r="C12" s="25"/>
    </row>
    <row r="13" spans="1:3" ht="14.4">
      <c r="A13" s="25"/>
      <c r="B13" s="1"/>
      <c r="C13" s="25"/>
    </row>
    <row r="14" spans="1:3" ht="15.75" customHeight="1">
      <c r="A14" s="26"/>
      <c r="B14" s="1"/>
      <c r="C14" s="26"/>
    </row>
    <row r="15" spans="1:3" ht="14.4">
      <c r="A15" s="24" t="s">
        <v>674</v>
      </c>
      <c r="B15" s="4" t="s">
        <v>675</v>
      </c>
      <c r="C15" s="27" t="s">
        <v>676</v>
      </c>
    </row>
    <row r="16" spans="1:3" ht="14.4">
      <c r="A16" s="25"/>
      <c r="B16" s="4" t="s">
        <v>677</v>
      </c>
      <c r="C16" s="25"/>
    </row>
    <row r="17" spans="1:3" ht="14.4">
      <c r="A17" s="26"/>
      <c r="B17" s="4" t="s">
        <v>678</v>
      </c>
      <c r="C17" s="26"/>
    </row>
    <row r="18" spans="1:3" ht="28.8">
      <c r="A18" s="24" t="s">
        <v>679</v>
      </c>
      <c r="B18" s="4" t="s">
        <v>680</v>
      </c>
      <c r="C18" s="24" t="s">
        <v>681</v>
      </c>
    </row>
    <row r="19" spans="1:3" ht="14.4">
      <c r="A19" s="25"/>
      <c r="B19" s="4" t="s">
        <v>682</v>
      </c>
      <c r="C19" s="25"/>
    </row>
    <row r="20" spans="1:3" ht="14.4">
      <c r="A20" s="26"/>
      <c r="B20" s="4" t="s">
        <v>683</v>
      </c>
      <c r="C20" s="26"/>
    </row>
    <row r="21" spans="1:3" ht="14.4">
      <c r="A21" s="24" t="s">
        <v>684</v>
      </c>
      <c r="B21" s="4" t="s">
        <v>685</v>
      </c>
      <c r="C21" s="24" t="s">
        <v>686</v>
      </c>
    </row>
    <row r="22" spans="1:3" ht="14.4">
      <c r="A22" s="26"/>
      <c r="B22" s="4" t="s">
        <v>687</v>
      </c>
      <c r="C22" s="26"/>
    </row>
    <row r="23" spans="1:3" ht="14.4">
      <c r="A23" s="24" t="s">
        <v>688</v>
      </c>
      <c r="B23" s="4" t="s">
        <v>689</v>
      </c>
      <c r="C23" s="24" t="s">
        <v>690</v>
      </c>
    </row>
    <row r="24" spans="1:3" ht="14.4">
      <c r="A24" s="26"/>
      <c r="B24" s="4" t="s">
        <v>691</v>
      </c>
      <c r="C24" s="26"/>
    </row>
    <row r="25" spans="1:3" ht="14.4">
      <c r="A25" s="24" t="s">
        <v>692</v>
      </c>
      <c r="B25" s="4" t="s">
        <v>693</v>
      </c>
      <c r="C25" s="24" t="s">
        <v>694</v>
      </c>
    </row>
    <row r="26" spans="1:3" ht="14.4">
      <c r="A26" s="25"/>
      <c r="B26" s="4" t="s">
        <v>695</v>
      </c>
      <c r="C26" s="25"/>
    </row>
    <row r="27" spans="1:3" ht="14.4">
      <c r="A27" s="25"/>
      <c r="B27" s="4" t="s">
        <v>696</v>
      </c>
      <c r="C27" s="25"/>
    </row>
    <row r="28" spans="1:3" ht="14.4">
      <c r="A28" s="26"/>
      <c r="B28" s="7"/>
      <c r="C28" s="26"/>
    </row>
    <row r="29" spans="1:3" ht="14.4">
      <c r="A29" s="24" t="s">
        <v>697</v>
      </c>
      <c r="B29" s="4" t="s">
        <v>698</v>
      </c>
      <c r="C29" s="24" t="s">
        <v>699</v>
      </c>
    </row>
    <row r="30" spans="1:3" ht="14.4">
      <c r="A30" s="25"/>
      <c r="B30" s="4" t="s">
        <v>700</v>
      </c>
      <c r="C30" s="25"/>
    </row>
    <row r="31" spans="1:3" ht="14.4">
      <c r="A31" s="25"/>
      <c r="B31" s="4" t="s">
        <v>701</v>
      </c>
      <c r="C31" s="25"/>
    </row>
    <row r="32" spans="1:3" ht="14.4">
      <c r="A32" s="26"/>
      <c r="B32" s="4" t="s">
        <v>702</v>
      </c>
      <c r="C32" s="26"/>
    </row>
    <row r="33" spans="1:3" ht="14.4">
      <c r="A33" s="24" t="s">
        <v>703</v>
      </c>
      <c r="B33" s="4" t="s">
        <v>704</v>
      </c>
      <c r="C33" s="24" t="s">
        <v>705</v>
      </c>
    </row>
    <row r="34" spans="1:3" ht="14.4">
      <c r="A34" s="25"/>
      <c r="B34" s="4" t="s">
        <v>706</v>
      </c>
      <c r="C34" s="25"/>
    </row>
    <row r="35" spans="1:3" ht="14.4">
      <c r="A35" s="25"/>
      <c r="B35" s="4" t="s">
        <v>707</v>
      </c>
      <c r="C35" s="25"/>
    </row>
    <row r="36" spans="1:3" ht="28.8">
      <c r="A36" s="26"/>
      <c r="B36" s="4" t="s">
        <v>708</v>
      </c>
      <c r="C36" s="26"/>
    </row>
    <row r="37" spans="1:3" ht="14.4">
      <c r="A37" s="24" t="s">
        <v>709</v>
      </c>
      <c r="B37" s="4" t="s">
        <v>710</v>
      </c>
      <c r="C37" s="24" t="s">
        <v>711</v>
      </c>
    </row>
    <row r="38" spans="1:3" ht="14.4">
      <c r="A38" s="25"/>
      <c r="B38" s="4" t="s">
        <v>712</v>
      </c>
      <c r="C38" s="25"/>
    </row>
    <row r="39" spans="1:3" ht="14.4">
      <c r="A39" s="25"/>
      <c r="B39" s="16" t="s">
        <v>713</v>
      </c>
      <c r="C39" s="25"/>
    </row>
    <row r="40" spans="1:3" ht="14.4">
      <c r="A40" s="25"/>
      <c r="B40" s="4" t="s">
        <v>714</v>
      </c>
      <c r="C40" s="25"/>
    </row>
    <row r="41" spans="1:3" ht="14.4">
      <c r="A41" s="25"/>
      <c r="B41" s="4" t="s">
        <v>715</v>
      </c>
      <c r="C41" s="25"/>
    </row>
    <row r="42" spans="1:3" ht="28.8">
      <c r="A42" s="25"/>
      <c r="B42" s="4" t="s">
        <v>716</v>
      </c>
      <c r="C42" s="25"/>
    </row>
    <row r="43" spans="1:3" ht="14.4">
      <c r="A43" s="25"/>
      <c r="B43" s="4" t="s">
        <v>717</v>
      </c>
      <c r="C43" s="25"/>
    </row>
    <row r="44" spans="1:3" ht="14.4">
      <c r="A44" s="25"/>
      <c r="B44" s="4" t="s">
        <v>718</v>
      </c>
      <c r="C44" s="25"/>
    </row>
    <row r="45" spans="1:3" ht="14.4">
      <c r="A45" s="25"/>
      <c r="B45" s="4" t="s">
        <v>719</v>
      </c>
      <c r="C45" s="25"/>
    </row>
    <row r="46" spans="1:3" ht="14.4">
      <c r="A46" s="25"/>
      <c r="B46" s="4" t="s">
        <v>720</v>
      </c>
      <c r="C46" s="25"/>
    </row>
    <row r="47" spans="1:3" ht="14.4">
      <c r="A47" s="26"/>
      <c r="B47" s="4" t="s">
        <v>721</v>
      </c>
      <c r="C47" s="26"/>
    </row>
    <row r="48" spans="1:3" ht="14.4">
      <c r="A48" s="24" t="s">
        <v>722</v>
      </c>
      <c r="B48" s="4" t="s">
        <v>723</v>
      </c>
      <c r="C48" s="24" t="s">
        <v>724</v>
      </c>
    </row>
    <row r="49" spans="1:3" ht="14.4">
      <c r="A49" s="25"/>
      <c r="B49" s="4" t="s">
        <v>725</v>
      </c>
      <c r="C49" s="25"/>
    </row>
    <row r="50" spans="1:3" ht="14.4">
      <c r="A50" s="26"/>
      <c r="B50" s="4" t="s">
        <v>726</v>
      </c>
      <c r="C50" s="26"/>
    </row>
    <row r="51" spans="1:3" ht="28.8">
      <c r="A51" s="24" t="s">
        <v>727</v>
      </c>
      <c r="B51" s="4" t="s">
        <v>728</v>
      </c>
      <c r="C51" s="24" t="s">
        <v>729</v>
      </c>
    </row>
    <row r="52" spans="1:3" ht="14.4">
      <c r="A52" s="25"/>
      <c r="B52" s="4" t="s">
        <v>730</v>
      </c>
      <c r="C52" s="25"/>
    </row>
    <row r="53" spans="1:3" ht="14.4">
      <c r="A53" s="26"/>
      <c r="B53" s="4" t="s">
        <v>731</v>
      </c>
      <c r="C53" s="26"/>
    </row>
    <row r="54" spans="1:3" ht="14.4">
      <c r="A54" s="24" t="s">
        <v>732</v>
      </c>
      <c r="B54" s="4" t="s">
        <v>733</v>
      </c>
      <c r="C54" s="43" t="s">
        <v>734</v>
      </c>
    </row>
    <row r="55" spans="1:3" ht="14.4">
      <c r="A55" s="26"/>
      <c r="B55" s="4" t="s">
        <v>735</v>
      </c>
      <c r="C55" s="26"/>
    </row>
    <row r="56" spans="1:3" ht="14.4">
      <c r="A56" s="33" t="s">
        <v>736</v>
      </c>
      <c r="B56" s="7" t="s">
        <v>737</v>
      </c>
      <c r="C56" s="24" t="s">
        <v>738</v>
      </c>
    </row>
    <row r="57" spans="1:3" ht="14.4">
      <c r="A57" s="25"/>
      <c r="B57" s="4" t="s">
        <v>739</v>
      </c>
      <c r="C57" s="25"/>
    </row>
    <row r="58" spans="1:3" ht="14.4">
      <c r="A58" s="25"/>
      <c r="B58" s="9" t="s">
        <v>740</v>
      </c>
      <c r="C58" s="25"/>
    </row>
    <row r="59" spans="1:3" ht="14.4">
      <c r="A59" s="26"/>
      <c r="B59" s="4" t="s">
        <v>741</v>
      </c>
      <c r="C59" s="26"/>
    </row>
    <row r="60" spans="1:3" ht="14.4">
      <c r="A60" s="4"/>
      <c r="B60" s="4"/>
      <c r="C60" s="4"/>
    </row>
    <row r="61" spans="1:3" ht="14.4">
      <c r="A61" s="4"/>
      <c r="B61" s="7"/>
      <c r="C61" s="4"/>
    </row>
    <row r="62" spans="1:3" ht="14.4">
      <c r="A62" s="4"/>
      <c r="B62" s="7"/>
    </row>
    <row r="63" spans="1:3" ht="14.4">
      <c r="A63" s="4"/>
      <c r="B63" s="7"/>
      <c r="C63" s="4"/>
    </row>
    <row r="64" spans="1:3" ht="14.4">
      <c r="A64" s="4"/>
      <c r="B64" s="4"/>
      <c r="C64" s="4"/>
    </row>
    <row r="65" spans="1:3" ht="14.4">
      <c r="A65" s="4"/>
      <c r="C65" s="4"/>
    </row>
    <row r="66" spans="1:3" ht="14.4">
      <c r="A66" s="4"/>
      <c r="B66" s="4"/>
      <c r="C66" s="4"/>
    </row>
    <row r="67" spans="1:3" ht="14.4">
      <c r="A67" s="4"/>
      <c r="B67" s="4"/>
      <c r="C67" s="4"/>
    </row>
    <row r="68" spans="1:3" ht="14.4">
      <c r="A68" s="4"/>
      <c r="B68" s="4"/>
      <c r="C68" s="4"/>
    </row>
    <row r="69" spans="1:3" ht="14.4">
      <c r="A69" s="4"/>
      <c r="B69" s="4"/>
      <c r="C69" s="4"/>
    </row>
    <row r="70" spans="1:3" ht="14.4">
      <c r="A70" s="4"/>
      <c r="B70" s="4"/>
      <c r="C70" s="4"/>
    </row>
    <row r="71" spans="1:3" ht="14.4">
      <c r="A71" s="4"/>
      <c r="B71" s="4"/>
      <c r="C71" s="4"/>
    </row>
    <row r="72" spans="1:3" ht="14.4">
      <c r="A72" s="4"/>
      <c r="B72" s="4"/>
      <c r="C72" s="4"/>
    </row>
    <row r="73" spans="1:3" ht="14.4">
      <c r="A73" s="4"/>
      <c r="B73" s="4"/>
      <c r="C73" s="4"/>
    </row>
    <row r="74" spans="1:3" ht="14.4">
      <c r="A74" s="4"/>
      <c r="B74" s="4"/>
      <c r="C74" s="4"/>
    </row>
    <row r="75" spans="1:3" ht="14.4">
      <c r="A75" s="4"/>
      <c r="B75" s="4"/>
      <c r="C75" s="4"/>
    </row>
    <row r="76" spans="1:3" ht="14.4">
      <c r="A76" s="4"/>
      <c r="B76" s="4"/>
      <c r="C76" s="4"/>
    </row>
    <row r="77" spans="1:3" ht="14.4">
      <c r="A77" s="4"/>
      <c r="B77" s="4"/>
      <c r="C77" s="4"/>
    </row>
    <row r="78" spans="1:3" ht="14.4">
      <c r="A78" s="4"/>
      <c r="B78" s="4"/>
      <c r="C78" s="4"/>
    </row>
    <row r="79" spans="1:3" ht="14.4">
      <c r="A79" s="4"/>
      <c r="B79" s="4"/>
      <c r="C79" s="4"/>
    </row>
    <row r="80" spans="1:3" ht="14.4">
      <c r="A80" s="4"/>
      <c r="B80" s="4"/>
      <c r="C80" s="4"/>
    </row>
    <row r="81" spans="1:3" ht="14.4">
      <c r="A81" s="4"/>
      <c r="B81" s="4"/>
      <c r="C81" s="4"/>
    </row>
    <row r="82" spans="1:3" ht="14.4">
      <c r="A82" s="4"/>
      <c r="B82" s="4"/>
      <c r="C82" s="4"/>
    </row>
    <row r="83" spans="1:3" ht="14.4">
      <c r="A83" s="4"/>
      <c r="B83" s="4"/>
      <c r="C83" s="4"/>
    </row>
    <row r="84" spans="1:3" ht="14.4">
      <c r="A84" s="4"/>
      <c r="B84" s="4"/>
      <c r="C84" s="4"/>
    </row>
    <row r="85" spans="1:3" ht="14.4">
      <c r="A85" s="4"/>
      <c r="B85" s="4"/>
      <c r="C85" s="4"/>
    </row>
    <row r="86" spans="1:3" ht="14.4">
      <c r="A86" s="4"/>
      <c r="B86" s="4"/>
      <c r="C86" s="4"/>
    </row>
    <row r="87" spans="1:3" ht="14.4">
      <c r="A87" s="4"/>
      <c r="B87" s="4"/>
      <c r="C87" s="4"/>
    </row>
    <row r="88" spans="1:3" ht="14.4">
      <c r="A88" s="4"/>
      <c r="B88" s="4"/>
      <c r="C88" s="4"/>
    </row>
    <row r="89" spans="1:3" ht="14.4">
      <c r="A89" s="4"/>
      <c r="B89" s="4"/>
      <c r="C89" s="4"/>
    </row>
    <row r="90" spans="1:3" ht="14.4">
      <c r="A90" s="4"/>
      <c r="B90" s="4"/>
      <c r="C90" s="4"/>
    </row>
    <row r="91" spans="1:3" ht="14.4">
      <c r="A91" s="4"/>
      <c r="B91" s="4"/>
      <c r="C91" s="4"/>
    </row>
    <row r="92" spans="1:3" ht="14.4">
      <c r="A92" s="4"/>
      <c r="B92" s="4"/>
      <c r="C92" s="4"/>
    </row>
    <row r="93" spans="1:3" ht="14.4">
      <c r="A93" s="4"/>
      <c r="B93" s="4"/>
      <c r="C93" s="4"/>
    </row>
    <row r="94" spans="1:3" ht="14.4">
      <c r="A94" s="4"/>
      <c r="B94" s="4"/>
      <c r="C94" s="4"/>
    </row>
    <row r="95" spans="1:3" ht="14.4">
      <c r="A95" s="4"/>
      <c r="B95" s="4"/>
      <c r="C95" s="4"/>
    </row>
    <row r="96" spans="1:3" ht="14.4">
      <c r="A96" s="4"/>
      <c r="B96" s="4"/>
      <c r="C96" s="4"/>
    </row>
    <row r="97" spans="1:3" ht="14.4">
      <c r="A97" s="4"/>
      <c r="B97" s="4"/>
      <c r="C97" s="4"/>
    </row>
    <row r="98" spans="1:3" ht="14.4">
      <c r="A98" s="4"/>
      <c r="B98" s="4"/>
      <c r="C98" s="4"/>
    </row>
    <row r="99" spans="1:3" ht="14.4">
      <c r="A99" s="4"/>
      <c r="B99" s="4"/>
      <c r="C99" s="4"/>
    </row>
    <row r="100" spans="1:3" ht="14.4">
      <c r="A100" s="4"/>
      <c r="B100" s="4"/>
      <c r="C100" s="4"/>
    </row>
    <row r="101" spans="1:3" ht="14.4">
      <c r="A101" s="4"/>
      <c r="B101" s="4"/>
      <c r="C101" s="4"/>
    </row>
    <row r="102" spans="1:3" ht="14.4">
      <c r="A102" s="4"/>
      <c r="B102" s="4"/>
      <c r="C102" s="4"/>
    </row>
    <row r="103" spans="1:3" ht="14.4">
      <c r="A103" s="4"/>
      <c r="B103" s="4"/>
      <c r="C103" s="4"/>
    </row>
    <row r="104" spans="1:3" ht="14.4">
      <c r="A104" s="4"/>
      <c r="B104" s="4"/>
      <c r="C104" s="4"/>
    </row>
    <row r="105" spans="1:3" ht="14.4">
      <c r="A105" s="4"/>
      <c r="B105" s="4"/>
      <c r="C105" s="4"/>
    </row>
    <row r="106" spans="1:3" ht="14.4">
      <c r="A106" s="4"/>
      <c r="B106" s="4"/>
      <c r="C106" s="4"/>
    </row>
    <row r="107" spans="1:3" ht="14.4">
      <c r="A107" s="4"/>
      <c r="B107" s="4"/>
      <c r="C107" s="4"/>
    </row>
    <row r="108" spans="1:3" ht="14.4">
      <c r="A108" s="4"/>
      <c r="B108" s="4"/>
      <c r="C108" s="4"/>
    </row>
    <row r="109" spans="1:3" ht="14.4">
      <c r="A109" s="4"/>
      <c r="B109" s="4"/>
      <c r="C109" s="4"/>
    </row>
    <row r="110" spans="1:3" ht="14.4">
      <c r="A110" s="4"/>
      <c r="B110" s="4"/>
      <c r="C110" s="4"/>
    </row>
    <row r="111" spans="1:3" ht="14.4">
      <c r="A111" s="4"/>
      <c r="B111" s="4"/>
      <c r="C111" s="4"/>
    </row>
    <row r="112" spans="1:3" ht="14.4">
      <c r="A112" s="4"/>
      <c r="B112" s="4"/>
      <c r="C112" s="4"/>
    </row>
    <row r="113" spans="1:3" ht="14.4">
      <c r="A113" s="4"/>
      <c r="B113" s="4"/>
      <c r="C113" s="4"/>
    </row>
    <row r="114" spans="1:3" ht="14.4">
      <c r="A114" s="4"/>
      <c r="B114" s="4"/>
      <c r="C114" s="4"/>
    </row>
    <row r="115" spans="1:3" ht="14.4">
      <c r="A115" s="4"/>
      <c r="B115" s="4"/>
      <c r="C115" s="4"/>
    </row>
    <row r="116" spans="1:3" ht="14.4">
      <c r="A116" s="4"/>
      <c r="B116" s="4"/>
      <c r="C116" s="4"/>
    </row>
    <row r="117" spans="1:3" ht="14.4">
      <c r="A117" s="4"/>
      <c r="B117" s="4"/>
      <c r="C117" s="4"/>
    </row>
    <row r="118" spans="1:3" ht="14.4">
      <c r="A118" s="4"/>
      <c r="B118" s="4"/>
      <c r="C118" s="4"/>
    </row>
    <row r="119" spans="1:3" ht="14.4">
      <c r="A119" s="4"/>
      <c r="B119" s="4"/>
      <c r="C119" s="4"/>
    </row>
    <row r="120" spans="1:3" ht="14.4">
      <c r="A120" s="4"/>
      <c r="B120" s="4"/>
      <c r="C120" s="4"/>
    </row>
    <row r="121" spans="1:3" ht="14.4">
      <c r="A121" s="4"/>
      <c r="B121" s="4"/>
      <c r="C121" s="4"/>
    </row>
    <row r="122" spans="1:3" ht="14.4">
      <c r="A122" s="4"/>
      <c r="B122" s="4"/>
      <c r="C122" s="4"/>
    </row>
    <row r="123" spans="1:3" ht="14.4">
      <c r="A123" s="4"/>
      <c r="B123" s="4"/>
      <c r="C123" s="4"/>
    </row>
    <row r="124" spans="1:3" ht="14.4">
      <c r="A124" s="4"/>
      <c r="B124" s="4"/>
      <c r="C124" s="4"/>
    </row>
    <row r="125" spans="1:3" ht="14.4">
      <c r="A125" s="4"/>
      <c r="B125" s="4"/>
      <c r="C125" s="4"/>
    </row>
    <row r="126" spans="1:3" ht="14.4">
      <c r="A126" s="4"/>
      <c r="B126" s="4"/>
      <c r="C126" s="4"/>
    </row>
    <row r="127" spans="1:3" ht="14.4">
      <c r="A127" s="4"/>
      <c r="B127" s="4"/>
      <c r="C127" s="4"/>
    </row>
    <row r="128" spans="1:3" ht="14.4">
      <c r="A128" s="4"/>
      <c r="B128" s="4"/>
      <c r="C128" s="4"/>
    </row>
    <row r="129" spans="1:3" ht="14.4">
      <c r="A129" s="4"/>
      <c r="B129" s="4"/>
      <c r="C129" s="4"/>
    </row>
    <row r="130" spans="1:3" ht="14.4">
      <c r="A130" s="4"/>
      <c r="B130" s="4"/>
      <c r="C130" s="4"/>
    </row>
    <row r="131" spans="1:3" ht="14.4">
      <c r="A131" s="4"/>
      <c r="B131" s="4"/>
      <c r="C131" s="4"/>
    </row>
    <row r="132" spans="1:3" ht="14.4">
      <c r="A132" s="4"/>
      <c r="B132" s="4"/>
      <c r="C132" s="4"/>
    </row>
    <row r="133" spans="1:3" ht="14.4">
      <c r="A133" s="4"/>
      <c r="B133" s="4"/>
      <c r="C133" s="4"/>
    </row>
    <row r="134" spans="1:3" ht="14.4">
      <c r="A134" s="4"/>
      <c r="B134" s="4"/>
      <c r="C134" s="4"/>
    </row>
    <row r="135" spans="1:3" ht="14.4">
      <c r="A135" s="4"/>
      <c r="B135" s="4"/>
      <c r="C135" s="4"/>
    </row>
    <row r="136" spans="1:3" ht="14.4">
      <c r="A136" s="4"/>
      <c r="B136" s="4"/>
      <c r="C136" s="4"/>
    </row>
    <row r="137" spans="1:3" ht="14.4">
      <c r="A137" s="4"/>
      <c r="B137" s="4"/>
      <c r="C137" s="4"/>
    </row>
    <row r="138" spans="1:3" ht="14.4">
      <c r="A138" s="4"/>
      <c r="B138" s="4"/>
      <c r="C138" s="4"/>
    </row>
    <row r="139" spans="1:3" ht="14.4">
      <c r="A139" s="4"/>
      <c r="B139" s="4"/>
      <c r="C139" s="4"/>
    </row>
    <row r="140" spans="1:3" ht="14.4">
      <c r="A140" s="4"/>
      <c r="B140" s="4"/>
      <c r="C140" s="4"/>
    </row>
    <row r="141" spans="1:3" ht="14.4">
      <c r="A141" s="4"/>
      <c r="B141" s="4"/>
      <c r="C141" s="4"/>
    </row>
    <row r="142" spans="1:3" ht="14.4">
      <c r="A142" s="4"/>
      <c r="B142" s="4"/>
      <c r="C142" s="4"/>
    </row>
    <row r="143" spans="1:3" ht="14.4">
      <c r="A143" s="4"/>
      <c r="B143" s="4"/>
      <c r="C143" s="4"/>
    </row>
    <row r="144" spans="1:3" ht="14.4">
      <c r="A144" s="4"/>
      <c r="B144" s="4"/>
      <c r="C144" s="4"/>
    </row>
    <row r="145" spans="1:3" ht="14.4">
      <c r="A145" s="4"/>
      <c r="B145" s="4"/>
      <c r="C145" s="4"/>
    </row>
    <row r="146" spans="1:3" ht="14.4">
      <c r="A146" s="4"/>
      <c r="B146" s="4"/>
      <c r="C146" s="4"/>
    </row>
    <row r="147" spans="1:3" ht="14.4">
      <c r="A147" s="4"/>
      <c r="B147" s="4"/>
      <c r="C147" s="4"/>
    </row>
    <row r="148" spans="1:3" ht="14.4">
      <c r="A148" s="4"/>
      <c r="B148" s="4"/>
      <c r="C148" s="4"/>
    </row>
    <row r="149" spans="1:3" ht="14.4">
      <c r="A149" s="4"/>
      <c r="B149" s="4"/>
      <c r="C149" s="4"/>
    </row>
    <row r="150" spans="1:3" ht="14.4">
      <c r="A150" s="4"/>
      <c r="B150" s="4"/>
      <c r="C150" s="4"/>
    </row>
    <row r="151" spans="1:3" ht="14.4">
      <c r="A151" s="4"/>
      <c r="B151" s="4"/>
      <c r="C151" s="4"/>
    </row>
    <row r="152" spans="1:3" ht="14.4">
      <c r="A152" s="4"/>
      <c r="B152" s="4"/>
      <c r="C152" s="4"/>
    </row>
    <row r="153" spans="1:3" ht="14.4">
      <c r="A153" s="4"/>
      <c r="B153" s="4"/>
      <c r="C153" s="4"/>
    </row>
    <row r="154" spans="1:3" ht="14.4">
      <c r="A154" s="4"/>
      <c r="B154" s="4"/>
      <c r="C154" s="4"/>
    </row>
    <row r="155" spans="1:3" ht="14.4">
      <c r="A155" s="4"/>
      <c r="B155" s="4"/>
      <c r="C155" s="4"/>
    </row>
    <row r="156" spans="1:3" ht="14.4">
      <c r="A156" s="4"/>
      <c r="B156" s="4"/>
      <c r="C156" s="4"/>
    </row>
    <row r="157" spans="1:3" ht="14.4">
      <c r="A157" s="4"/>
      <c r="B157" s="4"/>
      <c r="C157" s="4"/>
    </row>
    <row r="158" spans="1:3" ht="14.4">
      <c r="A158" s="4"/>
      <c r="B158" s="4"/>
      <c r="C158" s="4"/>
    </row>
    <row r="159" spans="1:3" ht="14.4">
      <c r="A159" s="4"/>
      <c r="B159" s="4"/>
      <c r="C159" s="4"/>
    </row>
    <row r="160" spans="1:3" ht="14.4">
      <c r="A160" s="4"/>
      <c r="B160" s="4"/>
      <c r="C160" s="4"/>
    </row>
    <row r="161" spans="1:3" ht="14.4">
      <c r="A161" s="4"/>
      <c r="B161" s="4"/>
      <c r="C161" s="4"/>
    </row>
    <row r="162" spans="1:3" ht="14.4">
      <c r="A162" s="4"/>
      <c r="B162" s="4"/>
      <c r="C162" s="4"/>
    </row>
    <row r="163" spans="1:3" ht="14.4">
      <c r="A163" s="4"/>
      <c r="B163" s="4"/>
      <c r="C163" s="4"/>
    </row>
    <row r="164" spans="1:3" ht="14.4">
      <c r="A164" s="4"/>
      <c r="B164" s="4"/>
      <c r="C164" s="4"/>
    </row>
    <row r="165" spans="1:3" ht="14.4">
      <c r="A165" s="4"/>
      <c r="B165" s="4"/>
      <c r="C165" s="4"/>
    </row>
    <row r="166" spans="1:3" ht="14.4">
      <c r="A166" s="4"/>
      <c r="B166" s="4"/>
      <c r="C166" s="4"/>
    </row>
    <row r="167" spans="1:3" ht="14.4">
      <c r="A167" s="4"/>
      <c r="B167" s="4"/>
      <c r="C167" s="4"/>
    </row>
    <row r="168" spans="1:3" ht="14.4">
      <c r="A168" s="4"/>
      <c r="B168" s="4"/>
      <c r="C168" s="4"/>
    </row>
    <row r="169" spans="1:3" ht="14.4">
      <c r="A169" s="4"/>
      <c r="B169" s="4"/>
      <c r="C169" s="4"/>
    </row>
    <row r="170" spans="1:3" ht="14.4">
      <c r="A170" s="4"/>
      <c r="B170" s="4"/>
      <c r="C170" s="4"/>
    </row>
    <row r="171" spans="1:3" ht="14.4">
      <c r="A171" s="4"/>
      <c r="B171" s="4"/>
      <c r="C171" s="4"/>
    </row>
    <row r="172" spans="1:3" ht="14.4">
      <c r="A172" s="4"/>
      <c r="B172" s="4"/>
      <c r="C172" s="4"/>
    </row>
    <row r="173" spans="1:3" ht="14.4">
      <c r="A173" s="4"/>
      <c r="B173" s="4"/>
      <c r="C173" s="4"/>
    </row>
    <row r="174" spans="1:3" ht="14.4">
      <c r="A174" s="4"/>
      <c r="B174" s="4"/>
      <c r="C174" s="4"/>
    </row>
    <row r="175" spans="1:3" ht="14.4">
      <c r="A175" s="4"/>
      <c r="B175" s="4"/>
      <c r="C175" s="4"/>
    </row>
    <row r="176" spans="1:3" ht="14.4">
      <c r="A176" s="4"/>
      <c r="B176" s="4"/>
      <c r="C176" s="4"/>
    </row>
    <row r="177" spans="1:3" ht="14.4">
      <c r="A177" s="4"/>
      <c r="B177" s="4"/>
      <c r="C177" s="4"/>
    </row>
    <row r="178" spans="1:3" ht="14.4">
      <c r="A178" s="4"/>
      <c r="B178" s="4"/>
      <c r="C178" s="4"/>
    </row>
    <row r="179" spans="1:3" ht="14.4">
      <c r="A179" s="4"/>
      <c r="B179" s="4"/>
      <c r="C179" s="4"/>
    </row>
    <row r="180" spans="1:3" ht="14.4">
      <c r="A180" s="4"/>
      <c r="B180" s="4"/>
      <c r="C180" s="4"/>
    </row>
    <row r="181" spans="1:3" ht="14.4">
      <c r="A181" s="4"/>
      <c r="B181" s="4"/>
      <c r="C181" s="4"/>
    </row>
    <row r="182" spans="1:3" ht="14.4">
      <c r="A182" s="4"/>
      <c r="B182" s="4"/>
      <c r="C182" s="4"/>
    </row>
    <row r="183" spans="1:3" ht="14.4">
      <c r="A183" s="4"/>
      <c r="B183" s="4"/>
      <c r="C183" s="4"/>
    </row>
    <row r="184" spans="1:3" ht="14.4">
      <c r="A184" s="4"/>
      <c r="B184" s="4"/>
      <c r="C184" s="4"/>
    </row>
    <row r="185" spans="1:3" ht="14.4">
      <c r="A185" s="4"/>
      <c r="B185" s="4"/>
      <c r="C185" s="4"/>
    </row>
    <row r="186" spans="1:3" ht="14.4">
      <c r="A186" s="4"/>
      <c r="B186" s="4"/>
      <c r="C186" s="4"/>
    </row>
    <row r="187" spans="1:3" ht="14.4">
      <c r="A187" s="4"/>
      <c r="B187" s="4"/>
      <c r="C187" s="4"/>
    </row>
    <row r="188" spans="1:3" ht="14.4">
      <c r="A188" s="4"/>
      <c r="B188" s="4"/>
      <c r="C188" s="4"/>
    </row>
    <row r="189" spans="1:3" ht="14.4">
      <c r="A189" s="4"/>
      <c r="B189" s="4"/>
      <c r="C189" s="4"/>
    </row>
    <row r="190" spans="1:3" ht="14.4">
      <c r="A190" s="4"/>
      <c r="B190" s="4"/>
      <c r="C190" s="4"/>
    </row>
    <row r="191" spans="1:3" ht="14.4">
      <c r="A191" s="4"/>
      <c r="B191" s="4"/>
      <c r="C191" s="4"/>
    </row>
    <row r="192" spans="1:3" ht="14.4">
      <c r="A192" s="4"/>
      <c r="B192" s="4"/>
      <c r="C192" s="4"/>
    </row>
    <row r="193" spans="1:3" ht="14.4">
      <c r="A193" s="4"/>
      <c r="B193" s="4"/>
      <c r="C193" s="4"/>
    </row>
    <row r="194" spans="1:3" ht="14.4">
      <c r="A194" s="4"/>
      <c r="B194" s="4"/>
      <c r="C194" s="4"/>
    </row>
    <row r="195" spans="1:3" ht="14.4">
      <c r="A195" s="4"/>
      <c r="B195" s="4"/>
      <c r="C195" s="4"/>
    </row>
    <row r="196" spans="1:3" ht="14.4">
      <c r="A196" s="4"/>
      <c r="B196" s="4"/>
      <c r="C196" s="4"/>
    </row>
    <row r="197" spans="1:3" ht="14.4">
      <c r="A197" s="4"/>
      <c r="B197" s="4"/>
      <c r="C197" s="4"/>
    </row>
    <row r="198" spans="1:3" ht="14.4">
      <c r="A198" s="4"/>
      <c r="B198" s="4"/>
      <c r="C198" s="4"/>
    </row>
    <row r="199" spans="1:3" ht="14.4">
      <c r="A199" s="4"/>
      <c r="B199" s="4"/>
      <c r="C199" s="4"/>
    </row>
    <row r="200" spans="1:3" ht="14.4">
      <c r="A200" s="4"/>
      <c r="B200" s="4"/>
      <c r="C200" s="4"/>
    </row>
    <row r="201" spans="1:3" ht="14.4">
      <c r="A201" s="4"/>
      <c r="B201" s="4"/>
      <c r="C201" s="4"/>
    </row>
    <row r="202" spans="1:3" ht="14.4">
      <c r="A202" s="4"/>
      <c r="B202" s="4"/>
      <c r="C202" s="4"/>
    </row>
    <row r="203" spans="1:3" ht="14.4">
      <c r="A203" s="4"/>
      <c r="B203" s="4"/>
      <c r="C203" s="4"/>
    </row>
    <row r="204" spans="1:3" ht="14.4">
      <c r="A204" s="4"/>
      <c r="B204" s="4"/>
      <c r="C204" s="4"/>
    </row>
    <row r="205" spans="1:3" ht="14.4">
      <c r="A205" s="4"/>
      <c r="B205" s="4"/>
      <c r="C205" s="4"/>
    </row>
    <row r="206" spans="1:3" ht="14.4">
      <c r="A206" s="4"/>
      <c r="B206" s="4"/>
      <c r="C206" s="4"/>
    </row>
    <row r="207" spans="1:3" ht="14.4">
      <c r="A207" s="4"/>
      <c r="B207" s="4"/>
      <c r="C207" s="4"/>
    </row>
    <row r="208" spans="1:3" ht="14.4">
      <c r="A208" s="4"/>
      <c r="B208" s="4"/>
      <c r="C208" s="4"/>
    </row>
    <row r="209" spans="1:3" ht="14.4">
      <c r="A209" s="4"/>
      <c r="B209" s="4"/>
      <c r="C209" s="4"/>
    </row>
    <row r="210" spans="1:3" ht="14.4">
      <c r="A210" s="4"/>
      <c r="B210" s="4"/>
      <c r="C210" s="4"/>
    </row>
    <row r="211" spans="1:3" ht="14.4">
      <c r="A211" s="4"/>
      <c r="B211" s="4"/>
      <c r="C211" s="4"/>
    </row>
    <row r="212" spans="1:3" ht="14.4">
      <c r="A212" s="4"/>
      <c r="B212" s="4"/>
      <c r="C212" s="4"/>
    </row>
    <row r="213" spans="1:3" ht="14.4">
      <c r="A213" s="4"/>
      <c r="B213" s="4"/>
      <c r="C213" s="4"/>
    </row>
    <row r="214" spans="1:3" ht="14.4">
      <c r="A214" s="4"/>
      <c r="B214" s="4"/>
      <c r="C214" s="4"/>
    </row>
    <row r="215" spans="1:3" ht="14.4">
      <c r="A215" s="4"/>
      <c r="B215" s="4"/>
      <c r="C215" s="4"/>
    </row>
    <row r="216" spans="1:3" ht="14.4">
      <c r="A216" s="4"/>
      <c r="B216" s="4"/>
      <c r="C216" s="4"/>
    </row>
    <row r="217" spans="1:3" ht="14.4">
      <c r="A217" s="4"/>
      <c r="B217" s="4"/>
      <c r="C217" s="4"/>
    </row>
    <row r="218" spans="1:3" ht="14.4">
      <c r="A218" s="4"/>
      <c r="B218" s="4"/>
      <c r="C218" s="4"/>
    </row>
    <row r="219" spans="1:3" ht="14.4">
      <c r="A219" s="4"/>
      <c r="B219" s="4"/>
      <c r="C219" s="4"/>
    </row>
    <row r="220" spans="1:3" ht="14.4">
      <c r="A220" s="4"/>
      <c r="B220" s="4"/>
      <c r="C220" s="4"/>
    </row>
    <row r="221" spans="1:3" ht="14.4">
      <c r="A221" s="4"/>
      <c r="B221" s="4"/>
      <c r="C221" s="4"/>
    </row>
    <row r="222" spans="1:3" ht="14.4">
      <c r="A222" s="4"/>
      <c r="B222" s="4"/>
      <c r="C222" s="4"/>
    </row>
    <row r="223" spans="1:3" ht="14.4">
      <c r="A223" s="4"/>
      <c r="B223" s="4"/>
      <c r="C223" s="4"/>
    </row>
    <row r="224" spans="1:3" ht="14.4">
      <c r="A224" s="4"/>
      <c r="B224" s="4"/>
      <c r="C224" s="4"/>
    </row>
    <row r="225" spans="1:3" ht="14.4">
      <c r="A225" s="4"/>
      <c r="B225" s="4"/>
      <c r="C225" s="4"/>
    </row>
    <row r="226" spans="1:3" ht="14.4">
      <c r="A226" s="4"/>
      <c r="B226" s="4"/>
      <c r="C226" s="4"/>
    </row>
    <row r="227" spans="1:3" ht="14.4">
      <c r="A227" s="4"/>
      <c r="B227" s="4"/>
      <c r="C227" s="4"/>
    </row>
    <row r="228" spans="1:3" ht="14.4">
      <c r="A228" s="4"/>
      <c r="B228" s="4"/>
      <c r="C228" s="4"/>
    </row>
    <row r="229" spans="1:3" ht="14.4">
      <c r="A229" s="4"/>
      <c r="B229" s="4"/>
      <c r="C229" s="4"/>
    </row>
    <row r="230" spans="1:3" ht="14.4">
      <c r="A230" s="4"/>
      <c r="B230" s="4"/>
      <c r="C230" s="4"/>
    </row>
    <row r="231" spans="1:3" ht="14.4">
      <c r="A231" s="4"/>
      <c r="B231" s="4"/>
      <c r="C231" s="4"/>
    </row>
    <row r="232" spans="1:3" ht="14.4">
      <c r="A232" s="4"/>
      <c r="B232" s="4"/>
      <c r="C232" s="4"/>
    </row>
    <row r="233" spans="1:3" ht="14.4">
      <c r="A233" s="4"/>
      <c r="B233" s="4"/>
      <c r="C233" s="4"/>
    </row>
    <row r="234" spans="1:3" ht="14.4">
      <c r="A234" s="4"/>
      <c r="B234" s="4"/>
      <c r="C234" s="4"/>
    </row>
    <row r="235" spans="1:3" ht="14.4">
      <c r="A235" s="4"/>
      <c r="B235" s="4"/>
      <c r="C235" s="4"/>
    </row>
    <row r="236" spans="1:3" ht="14.4">
      <c r="A236" s="4"/>
      <c r="B236" s="4"/>
      <c r="C236" s="4"/>
    </row>
    <row r="237" spans="1:3" ht="14.4">
      <c r="A237" s="4"/>
      <c r="B237" s="4"/>
      <c r="C237" s="4"/>
    </row>
    <row r="238" spans="1:3" ht="14.4">
      <c r="A238" s="4"/>
      <c r="B238" s="4"/>
      <c r="C238" s="4"/>
    </row>
    <row r="239" spans="1:3" ht="14.4">
      <c r="A239" s="4"/>
      <c r="B239" s="4"/>
      <c r="C239" s="4"/>
    </row>
    <row r="240" spans="1:3" ht="14.4">
      <c r="A240" s="4"/>
      <c r="B240" s="4"/>
      <c r="C240" s="4"/>
    </row>
    <row r="241" spans="1:3" ht="14.4">
      <c r="A241" s="4"/>
      <c r="B241" s="4"/>
      <c r="C241" s="4"/>
    </row>
    <row r="242" spans="1:3" ht="14.4">
      <c r="A242" s="4"/>
      <c r="B242" s="4"/>
      <c r="C242" s="4"/>
    </row>
    <row r="243" spans="1:3" ht="14.4">
      <c r="A243" s="4"/>
      <c r="B243" s="4"/>
      <c r="C243" s="4"/>
    </row>
    <row r="244" spans="1:3" ht="14.4">
      <c r="A244" s="4"/>
      <c r="B244" s="4"/>
      <c r="C244" s="4"/>
    </row>
    <row r="245" spans="1:3" ht="14.4">
      <c r="A245" s="4"/>
      <c r="B245" s="4"/>
      <c r="C245" s="4"/>
    </row>
    <row r="246" spans="1:3" ht="14.4">
      <c r="A246" s="4"/>
      <c r="B246" s="4"/>
      <c r="C246" s="4"/>
    </row>
    <row r="247" spans="1:3" ht="14.4">
      <c r="A247" s="4"/>
      <c r="B247" s="4"/>
      <c r="C247" s="4"/>
    </row>
    <row r="248" spans="1:3" ht="14.4">
      <c r="A248" s="4"/>
      <c r="B248" s="4"/>
      <c r="C248" s="4"/>
    </row>
    <row r="249" spans="1:3" ht="14.4">
      <c r="A249" s="4"/>
      <c r="B249" s="4"/>
      <c r="C249" s="4"/>
    </row>
    <row r="250" spans="1:3" ht="14.4">
      <c r="A250" s="4"/>
      <c r="B250" s="4"/>
      <c r="C250" s="4"/>
    </row>
    <row r="251" spans="1:3" ht="14.4">
      <c r="A251" s="4"/>
      <c r="B251" s="4"/>
      <c r="C251" s="4"/>
    </row>
    <row r="252" spans="1:3" ht="14.4">
      <c r="A252" s="4"/>
      <c r="B252" s="4"/>
      <c r="C252" s="4"/>
    </row>
    <row r="253" spans="1:3" ht="14.4">
      <c r="A253" s="4"/>
      <c r="B253" s="4"/>
      <c r="C253" s="4"/>
    </row>
    <row r="254" spans="1:3" ht="14.4">
      <c r="A254" s="4"/>
      <c r="B254" s="4"/>
      <c r="C254" s="4"/>
    </row>
    <row r="255" spans="1:3" ht="14.4">
      <c r="A255" s="4"/>
      <c r="B255" s="4"/>
      <c r="C255" s="4"/>
    </row>
    <row r="256" spans="1:3" ht="14.4">
      <c r="A256" s="4"/>
      <c r="B256" s="4"/>
      <c r="C256" s="4"/>
    </row>
    <row r="257" spans="1:3" ht="14.4">
      <c r="A257" s="4"/>
      <c r="B257" s="4"/>
      <c r="C257" s="4"/>
    </row>
    <row r="258" spans="1:3" ht="14.4">
      <c r="A258" s="4"/>
      <c r="B258" s="4"/>
      <c r="C258" s="4"/>
    </row>
    <row r="259" spans="1:3" ht="14.4">
      <c r="A259" s="4"/>
      <c r="B259" s="4"/>
      <c r="C259" s="4"/>
    </row>
    <row r="260" spans="1:3" ht="14.4">
      <c r="A260" s="4"/>
      <c r="B260" s="4"/>
      <c r="C260" s="4"/>
    </row>
    <row r="261" spans="1:3" ht="14.4">
      <c r="A261" s="4"/>
      <c r="B261" s="4"/>
      <c r="C261" s="4"/>
    </row>
    <row r="262" spans="1:3" ht="14.4">
      <c r="A262" s="4"/>
      <c r="B262" s="4"/>
      <c r="C262" s="4"/>
    </row>
    <row r="263" spans="1:3" ht="14.4">
      <c r="A263" s="4"/>
      <c r="B263" s="4"/>
      <c r="C263" s="4"/>
    </row>
    <row r="264" spans="1:3" ht="14.4">
      <c r="A264" s="4"/>
      <c r="B264" s="4"/>
      <c r="C264" s="4"/>
    </row>
    <row r="265" spans="1:3" ht="14.4">
      <c r="A265" s="4"/>
      <c r="B265" s="4"/>
      <c r="C265" s="4"/>
    </row>
    <row r="266" spans="1:3" ht="14.4">
      <c r="A266" s="4"/>
      <c r="B266" s="4"/>
      <c r="C266" s="4"/>
    </row>
    <row r="267" spans="1:3" ht="14.4">
      <c r="A267" s="4"/>
      <c r="B267" s="4"/>
      <c r="C267" s="4"/>
    </row>
    <row r="268" spans="1:3" ht="14.4">
      <c r="A268" s="4"/>
      <c r="B268" s="4"/>
      <c r="C268" s="4"/>
    </row>
    <row r="269" spans="1:3" ht="14.4">
      <c r="A269" s="4"/>
      <c r="B269" s="4"/>
      <c r="C269" s="4"/>
    </row>
    <row r="270" spans="1:3" ht="14.4">
      <c r="A270" s="4"/>
      <c r="B270" s="4"/>
      <c r="C270" s="4"/>
    </row>
    <row r="271" spans="1:3" ht="14.4">
      <c r="A271" s="4"/>
      <c r="B271" s="4"/>
      <c r="C271" s="4"/>
    </row>
    <row r="272" spans="1:3" ht="14.4">
      <c r="A272" s="4"/>
      <c r="B272" s="4"/>
      <c r="C272" s="4"/>
    </row>
    <row r="273" spans="1:3" ht="14.4">
      <c r="A273" s="4"/>
      <c r="B273" s="4"/>
      <c r="C273" s="4"/>
    </row>
    <row r="274" spans="1:3" ht="14.4">
      <c r="A274" s="4"/>
      <c r="B274" s="4"/>
      <c r="C274" s="4"/>
    </row>
    <row r="275" spans="1:3" ht="14.4">
      <c r="A275" s="4"/>
      <c r="B275" s="4"/>
      <c r="C275" s="4"/>
    </row>
    <row r="276" spans="1:3" ht="14.4">
      <c r="A276" s="4"/>
      <c r="B276" s="4"/>
      <c r="C276" s="4"/>
    </row>
    <row r="277" spans="1:3" ht="14.4">
      <c r="A277" s="4"/>
      <c r="B277" s="4"/>
      <c r="C277" s="4"/>
    </row>
    <row r="278" spans="1:3" ht="14.4">
      <c r="A278" s="4"/>
      <c r="B278" s="4"/>
      <c r="C278" s="4"/>
    </row>
    <row r="279" spans="1:3" ht="14.4">
      <c r="A279" s="4"/>
      <c r="B279" s="4"/>
      <c r="C279" s="4"/>
    </row>
    <row r="280" spans="1:3" ht="14.4">
      <c r="A280" s="4"/>
      <c r="B280" s="4"/>
      <c r="C280" s="4"/>
    </row>
    <row r="281" spans="1:3" ht="14.4">
      <c r="A281" s="4"/>
      <c r="B281" s="4"/>
      <c r="C281" s="4"/>
    </row>
    <row r="282" spans="1:3" ht="14.4">
      <c r="A282" s="4"/>
      <c r="B282" s="4"/>
      <c r="C282" s="4"/>
    </row>
    <row r="283" spans="1:3" ht="14.4">
      <c r="A283" s="4"/>
      <c r="B283" s="4"/>
      <c r="C283" s="4"/>
    </row>
    <row r="284" spans="1:3" ht="14.4">
      <c r="A284" s="4"/>
      <c r="B284" s="4"/>
      <c r="C284" s="4"/>
    </row>
    <row r="285" spans="1:3" ht="14.4">
      <c r="A285" s="4"/>
      <c r="B285" s="4"/>
      <c r="C285" s="4"/>
    </row>
    <row r="286" spans="1:3" ht="14.4">
      <c r="A286" s="4"/>
      <c r="B286" s="4"/>
      <c r="C286" s="4"/>
    </row>
    <row r="287" spans="1:3" ht="14.4">
      <c r="A287" s="4"/>
      <c r="B287" s="4"/>
      <c r="C287" s="4"/>
    </row>
    <row r="288" spans="1:3" ht="14.4">
      <c r="A288" s="4"/>
      <c r="B288" s="4"/>
      <c r="C288" s="4"/>
    </row>
    <row r="289" spans="1:3" ht="14.4">
      <c r="A289" s="4"/>
      <c r="B289" s="4"/>
      <c r="C289" s="4"/>
    </row>
    <row r="290" spans="1:3" ht="14.4">
      <c r="A290" s="4"/>
      <c r="B290" s="4"/>
      <c r="C290" s="4"/>
    </row>
    <row r="291" spans="1:3" ht="14.4">
      <c r="A291" s="4"/>
      <c r="B291" s="4"/>
      <c r="C291" s="4"/>
    </row>
    <row r="292" spans="1:3" ht="14.4">
      <c r="A292" s="4"/>
      <c r="B292" s="4"/>
      <c r="C292" s="4"/>
    </row>
    <row r="293" spans="1:3" ht="14.4">
      <c r="A293" s="4"/>
      <c r="B293" s="4"/>
      <c r="C293" s="4"/>
    </row>
    <row r="294" spans="1:3" ht="14.4">
      <c r="A294" s="4"/>
      <c r="B294" s="4"/>
      <c r="C294" s="4"/>
    </row>
    <row r="295" spans="1:3" ht="14.4">
      <c r="A295" s="4"/>
      <c r="B295" s="4"/>
      <c r="C295" s="4"/>
    </row>
    <row r="296" spans="1:3" ht="14.4">
      <c r="A296" s="4"/>
      <c r="B296" s="4"/>
      <c r="C296" s="4"/>
    </row>
    <row r="297" spans="1:3" ht="14.4">
      <c r="A297" s="4"/>
      <c r="B297" s="4"/>
      <c r="C297" s="4"/>
    </row>
    <row r="298" spans="1:3" ht="14.4">
      <c r="A298" s="4"/>
      <c r="B298" s="4"/>
      <c r="C298" s="4"/>
    </row>
    <row r="299" spans="1:3" ht="14.4">
      <c r="A299" s="4"/>
      <c r="B299" s="4"/>
      <c r="C299" s="4"/>
    </row>
    <row r="300" spans="1:3" ht="14.4">
      <c r="A300" s="4"/>
      <c r="B300" s="4"/>
      <c r="C300" s="4"/>
    </row>
    <row r="301" spans="1:3" ht="14.4">
      <c r="A301" s="4"/>
      <c r="B301" s="4"/>
      <c r="C301" s="4"/>
    </row>
    <row r="302" spans="1:3" ht="14.4">
      <c r="A302" s="4"/>
      <c r="B302" s="4"/>
      <c r="C302" s="4"/>
    </row>
    <row r="303" spans="1:3" ht="14.4">
      <c r="A303" s="4"/>
      <c r="B303" s="4"/>
      <c r="C303" s="4"/>
    </row>
    <row r="304" spans="1:3" ht="14.4">
      <c r="A304" s="4"/>
      <c r="B304" s="4"/>
      <c r="C304" s="4"/>
    </row>
    <row r="305" spans="1:3" ht="14.4">
      <c r="A305" s="4"/>
      <c r="B305" s="4"/>
      <c r="C305" s="4"/>
    </row>
    <row r="306" spans="1:3" ht="14.4">
      <c r="A306" s="4"/>
      <c r="B306" s="4"/>
      <c r="C306" s="4"/>
    </row>
    <row r="307" spans="1:3" ht="14.4">
      <c r="A307" s="4"/>
      <c r="B307" s="4"/>
      <c r="C307" s="4"/>
    </row>
    <row r="308" spans="1:3" ht="14.4">
      <c r="A308" s="4"/>
      <c r="B308" s="4"/>
      <c r="C308" s="4"/>
    </row>
    <row r="309" spans="1:3" ht="14.4">
      <c r="A309" s="4"/>
      <c r="B309" s="4"/>
      <c r="C309" s="4"/>
    </row>
    <row r="310" spans="1:3" ht="14.4">
      <c r="A310" s="4"/>
      <c r="B310" s="4"/>
      <c r="C310" s="4"/>
    </row>
    <row r="311" spans="1:3" ht="14.4">
      <c r="A311" s="4"/>
      <c r="B311" s="4"/>
      <c r="C311" s="4"/>
    </row>
    <row r="312" spans="1:3" ht="14.4">
      <c r="A312" s="4"/>
      <c r="B312" s="4"/>
      <c r="C312" s="4"/>
    </row>
    <row r="313" spans="1:3" ht="14.4">
      <c r="A313" s="4"/>
      <c r="B313" s="4"/>
      <c r="C313" s="4"/>
    </row>
    <row r="314" spans="1:3" ht="14.4">
      <c r="A314" s="4"/>
      <c r="B314" s="4"/>
      <c r="C314" s="4"/>
    </row>
    <row r="315" spans="1:3" ht="14.4">
      <c r="A315" s="4"/>
      <c r="B315" s="4"/>
      <c r="C315" s="4"/>
    </row>
    <row r="316" spans="1:3" ht="14.4">
      <c r="A316" s="4"/>
      <c r="B316" s="4"/>
      <c r="C316" s="4"/>
    </row>
    <row r="317" spans="1:3" ht="14.4">
      <c r="A317" s="4"/>
      <c r="B317" s="4"/>
      <c r="C317" s="4"/>
    </row>
    <row r="318" spans="1:3" ht="14.4">
      <c r="A318" s="4"/>
      <c r="B318" s="4"/>
      <c r="C318" s="4"/>
    </row>
    <row r="319" spans="1:3" ht="14.4">
      <c r="A319" s="4"/>
      <c r="B319" s="4"/>
      <c r="C319" s="4"/>
    </row>
    <row r="320" spans="1:3" ht="14.4">
      <c r="A320" s="4"/>
      <c r="B320" s="4"/>
      <c r="C320" s="4"/>
    </row>
    <row r="321" spans="1:3" ht="14.4">
      <c r="A321" s="4"/>
      <c r="B321" s="4"/>
      <c r="C321" s="4"/>
    </row>
    <row r="322" spans="1:3" ht="14.4">
      <c r="A322" s="4"/>
      <c r="B322" s="4"/>
      <c r="C322" s="4"/>
    </row>
    <row r="323" spans="1:3" ht="14.4">
      <c r="A323" s="4"/>
      <c r="B323" s="4"/>
      <c r="C323" s="4"/>
    </row>
    <row r="324" spans="1:3" ht="14.4">
      <c r="A324" s="4"/>
      <c r="B324" s="4"/>
      <c r="C324" s="4"/>
    </row>
    <row r="325" spans="1:3" ht="14.4">
      <c r="A325" s="4"/>
      <c r="B325" s="4"/>
      <c r="C325" s="4"/>
    </row>
    <row r="326" spans="1:3" ht="14.4">
      <c r="A326" s="4"/>
      <c r="B326" s="4"/>
      <c r="C326" s="4"/>
    </row>
    <row r="327" spans="1:3" ht="14.4">
      <c r="A327" s="4"/>
      <c r="B327" s="4"/>
      <c r="C327" s="4"/>
    </row>
    <row r="328" spans="1:3" ht="14.4">
      <c r="A328" s="4"/>
      <c r="B328" s="4"/>
      <c r="C328" s="4"/>
    </row>
    <row r="329" spans="1:3" ht="14.4">
      <c r="A329" s="4"/>
      <c r="B329" s="4"/>
      <c r="C329" s="4"/>
    </row>
    <row r="330" spans="1:3" ht="14.4">
      <c r="A330" s="4"/>
      <c r="B330" s="4"/>
      <c r="C330" s="4"/>
    </row>
    <row r="331" spans="1:3" ht="14.4">
      <c r="A331" s="4"/>
      <c r="B331" s="4"/>
      <c r="C331" s="4"/>
    </row>
    <row r="332" spans="1:3" ht="14.4">
      <c r="A332" s="4"/>
      <c r="B332" s="4"/>
      <c r="C332" s="4"/>
    </row>
    <row r="333" spans="1:3" ht="14.4">
      <c r="A333" s="4"/>
      <c r="B333" s="4"/>
      <c r="C333" s="4"/>
    </row>
    <row r="334" spans="1:3" ht="14.4">
      <c r="A334" s="4"/>
      <c r="B334" s="4"/>
      <c r="C334" s="4"/>
    </row>
    <row r="335" spans="1:3" ht="14.4">
      <c r="A335" s="4"/>
      <c r="B335" s="4"/>
      <c r="C335" s="4"/>
    </row>
    <row r="336" spans="1:3" ht="14.4">
      <c r="A336" s="4"/>
      <c r="B336" s="4"/>
      <c r="C336" s="4"/>
    </row>
    <row r="337" spans="1:3" ht="14.4">
      <c r="A337" s="4"/>
      <c r="B337" s="4"/>
      <c r="C337" s="4"/>
    </row>
    <row r="338" spans="1:3" ht="14.4">
      <c r="A338" s="4"/>
      <c r="B338" s="4"/>
      <c r="C338" s="4"/>
    </row>
    <row r="339" spans="1:3" ht="14.4">
      <c r="A339" s="4"/>
      <c r="B339" s="4"/>
      <c r="C339" s="4"/>
    </row>
    <row r="340" spans="1:3" ht="14.4">
      <c r="A340" s="4"/>
      <c r="B340" s="4"/>
      <c r="C340" s="4"/>
    </row>
    <row r="341" spans="1:3" ht="14.4">
      <c r="A341" s="4"/>
      <c r="B341" s="4"/>
      <c r="C341" s="4"/>
    </row>
    <row r="342" spans="1:3" ht="14.4">
      <c r="A342" s="4"/>
      <c r="B342" s="4"/>
      <c r="C342" s="4"/>
    </row>
    <row r="343" spans="1:3" ht="14.4">
      <c r="A343" s="4"/>
      <c r="B343" s="4"/>
      <c r="C343" s="4"/>
    </row>
    <row r="344" spans="1:3" ht="14.4">
      <c r="A344" s="4"/>
      <c r="B344" s="4"/>
      <c r="C344" s="4"/>
    </row>
    <row r="345" spans="1:3" ht="14.4">
      <c r="A345" s="4"/>
      <c r="B345" s="4"/>
      <c r="C345" s="4"/>
    </row>
    <row r="346" spans="1:3" ht="14.4">
      <c r="A346" s="4"/>
      <c r="B346" s="4"/>
      <c r="C346" s="4"/>
    </row>
    <row r="347" spans="1:3" ht="14.4">
      <c r="A347" s="4"/>
      <c r="B347" s="4"/>
      <c r="C347" s="4"/>
    </row>
    <row r="348" spans="1:3" ht="14.4">
      <c r="A348" s="4"/>
      <c r="B348" s="4"/>
      <c r="C348" s="4"/>
    </row>
    <row r="349" spans="1:3" ht="14.4">
      <c r="A349" s="4"/>
      <c r="B349" s="4"/>
      <c r="C349" s="4"/>
    </row>
    <row r="350" spans="1:3" ht="14.4">
      <c r="A350" s="4"/>
      <c r="B350" s="4"/>
      <c r="C350" s="4"/>
    </row>
    <row r="351" spans="1:3" ht="14.4">
      <c r="A351" s="4"/>
      <c r="B351" s="4"/>
      <c r="C351" s="4"/>
    </row>
    <row r="352" spans="1:3" ht="14.4">
      <c r="A352" s="4"/>
      <c r="B352" s="4"/>
      <c r="C352" s="4"/>
    </row>
    <row r="353" spans="1:3" ht="14.4">
      <c r="A353" s="4"/>
      <c r="B353" s="4"/>
      <c r="C353" s="4"/>
    </row>
    <row r="354" spans="1:3" ht="14.4">
      <c r="A354" s="4"/>
      <c r="B354" s="4"/>
      <c r="C354" s="4"/>
    </row>
    <row r="355" spans="1:3" ht="14.4">
      <c r="A355" s="4"/>
      <c r="B355" s="4"/>
      <c r="C355" s="4"/>
    </row>
    <row r="356" spans="1:3" ht="14.4">
      <c r="A356" s="4"/>
      <c r="B356" s="4"/>
      <c r="C356" s="4"/>
    </row>
    <row r="357" spans="1:3" ht="14.4">
      <c r="A357" s="4"/>
      <c r="B357" s="4"/>
      <c r="C357" s="4"/>
    </row>
    <row r="358" spans="1:3" ht="14.4">
      <c r="A358" s="4"/>
      <c r="B358" s="4"/>
      <c r="C358" s="4"/>
    </row>
    <row r="359" spans="1:3" ht="14.4">
      <c r="A359" s="4"/>
      <c r="B359" s="4"/>
      <c r="C359" s="4"/>
    </row>
    <row r="360" spans="1:3" ht="14.4">
      <c r="A360" s="4"/>
      <c r="B360" s="4"/>
      <c r="C360" s="4"/>
    </row>
    <row r="361" spans="1:3" ht="14.4">
      <c r="A361" s="4"/>
      <c r="B361" s="4"/>
      <c r="C361" s="4"/>
    </row>
    <row r="362" spans="1:3" ht="14.4">
      <c r="A362" s="4"/>
      <c r="B362" s="4"/>
      <c r="C362" s="4"/>
    </row>
    <row r="363" spans="1:3" ht="14.4">
      <c r="A363" s="4"/>
      <c r="B363" s="4"/>
      <c r="C363" s="4"/>
    </row>
    <row r="364" spans="1:3" ht="14.4">
      <c r="A364" s="4"/>
      <c r="B364" s="4"/>
      <c r="C364" s="4"/>
    </row>
    <row r="365" spans="1:3" ht="14.4">
      <c r="A365" s="4"/>
      <c r="B365" s="4"/>
      <c r="C365" s="4"/>
    </row>
    <row r="366" spans="1:3" ht="14.4">
      <c r="A366" s="4"/>
      <c r="B366" s="4"/>
      <c r="C366" s="4"/>
    </row>
    <row r="367" spans="1:3" ht="14.4">
      <c r="A367" s="4"/>
      <c r="B367" s="4"/>
      <c r="C367" s="4"/>
    </row>
    <row r="368" spans="1:3" ht="14.4">
      <c r="A368" s="4"/>
      <c r="B368" s="4"/>
      <c r="C368" s="4"/>
    </row>
    <row r="369" spans="1:3" ht="14.4">
      <c r="A369" s="4"/>
      <c r="B369" s="4"/>
      <c r="C369" s="4"/>
    </row>
    <row r="370" spans="1:3" ht="14.4">
      <c r="A370" s="4"/>
      <c r="B370" s="4"/>
      <c r="C370" s="4"/>
    </row>
    <row r="371" spans="1:3" ht="14.4">
      <c r="A371" s="4"/>
      <c r="B371" s="4"/>
      <c r="C371" s="4"/>
    </row>
    <row r="372" spans="1:3" ht="14.4">
      <c r="A372" s="4"/>
      <c r="B372" s="4"/>
      <c r="C372" s="4"/>
    </row>
    <row r="373" spans="1:3" ht="14.4">
      <c r="A373" s="4"/>
      <c r="B373" s="4"/>
      <c r="C373" s="4"/>
    </row>
    <row r="374" spans="1:3" ht="14.4">
      <c r="A374" s="4"/>
      <c r="B374" s="4"/>
      <c r="C374" s="4"/>
    </row>
    <row r="375" spans="1:3" ht="14.4">
      <c r="A375" s="4"/>
      <c r="B375" s="4"/>
      <c r="C375" s="4"/>
    </row>
    <row r="376" spans="1:3" ht="14.4">
      <c r="A376" s="4"/>
      <c r="B376" s="4"/>
      <c r="C376" s="4"/>
    </row>
    <row r="377" spans="1:3" ht="14.4">
      <c r="A377" s="4"/>
      <c r="B377" s="4"/>
      <c r="C377" s="4"/>
    </row>
    <row r="378" spans="1:3" ht="14.4">
      <c r="A378" s="4"/>
      <c r="B378" s="4"/>
      <c r="C378" s="4"/>
    </row>
    <row r="379" spans="1:3" ht="14.4">
      <c r="A379" s="4"/>
      <c r="B379" s="4"/>
      <c r="C379" s="4"/>
    </row>
    <row r="380" spans="1:3" ht="14.4">
      <c r="A380" s="4"/>
      <c r="B380" s="4"/>
      <c r="C380" s="4"/>
    </row>
    <row r="381" spans="1:3" ht="14.4">
      <c r="A381" s="4"/>
      <c r="B381" s="4"/>
      <c r="C381" s="4"/>
    </row>
    <row r="382" spans="1:3" ht="14.4">
      <c r="A382" s="4"/>
      <c r="B382" s="4"/>
      <c r="C382" s="4"/>
    </row>
    <row r="383" spans="1:3" ht="14.4">
      <c r="A383" s="4"/>
      <c r="B383" s="4"/>
      <c r="C383" s="4"/>
    </row>
    <row r="384" spans="1:3" ht="14.4">
      <c r="A384" s="4"/>
      <c r="B384" s="4"/>
      <c r="C384" s="4"/>
    </row>
    <row r="385" spans="1:3" ht="14.4">
      <c r="A385" s="4"/>
      <c r="B385" s="4"/>
      <c r="C385" s="4"/>
    </row>
    <row r="386" spans="1:3" ht="14.4">
      <c r="A386" s="4"/>
      <c r="B386" s="4"/>
      <c r="C386" s="4"/>
    </row>
    <row r="387" spans="1:3" ht="14.4">
      <c r="A387" s="4"/>
      <c r="B387" s="4"/>
      <c r="C387" s="4"/>
    </row>
    <row r="388" spans="1:3" ht="14.4">
      <c r="A388" s="4"/>
      <c r="B388" s="4"/>
      <c r="C388" s="4"/>
    </row>
    <row r="389" spans="1:3" ht="14.4">
      <c r="A389" s="4"/>
      <c r="B389" s="4"/>
      <c r="C389" s="4"/>
    </row>
    <row r="390" spans="1:3" ht="14.4">
      <c r="A390" s="4"/>
      <c r="B390" s="4"/>
      <c r="C390" s="4"/>
    </row>
    <row r="391" spans="1:3" ht="14.4">
      <c r="A391" s="4"/>
      <c r="B391" s="4"/>
      <c r="C391" s="4"/>
    </row>
    <row r="392" spans="1:3" ht="14.4">
      <c r="A392" s="4"/>
      <c r="B392" s="4"/>
      <c r="C392" s="4"/>
    </row>
    <row r="393" spans="1:3" ht="14.4">
      <c r="A393" s="4"/>
      <c r="B393" s="4"/>
      <c r="C393" s="4"/>
    </row>
    <row r="394" spans="1:3" ht="14.4">
      <c r="A394" s="4"/>
      <c r="B394" s="4"/>
      <c r="C394" s="4"/>
    </row>
    <row r="395" spans="1:3" ht="14.4">
      <c r="A395" s="4"/>
      <c r="B395" s="4"/>
      <c r="C395" s="4"/>
    </row>
    <row r="396" spans="1:3" ht="14.4">
      <c r="A396" s="4"/>
      <c r="B396" s="4"/>
      <c r="C396" s="4"/>
    </row>
    <row r="397" spans="1:3" ht="14.4">
      <c r="A397" s="4"/>
      <c r="B397" s="4"/>
      <c r="C397" s="4"/>
    </row>
    <row r="398" spans="1:3" ht="14.4">
      <c r="A398" s="4"/>
      <c r="B398" s="4"/>
      <c r="C398" s="4"/>
    </row>
    <row r="399" spans="1:3" ht="14.4">
      <c r="A399" s="4"/>
      <c r="B399" s="4"/>
      <c r="C399" s="4"/>
    </row>
    <row r="400" spans="1:3" ht="14.4">
      <c r="A400" s="4"/>
      <c r="B400" s="4"/>
      <c r="C400" s="4"/>
    </row>
    <row r="401" spans="1:3" ht="14.4">
      <c r="A401" s="4"/>
      <c r="B401" s="4"/>
      <c r="C401" s="4"/>
    </row>
    <row r="402" spans="1:3" ht="14.4">
      <c r="A402" s="4"/>
      <c r="B402" s="4"/>
      <c r="C402" s="4"/>
    </row>
    <row r="403" spans="1:3" ht="14.4">
      <c r="A403" s="4"/>
      <c r="B403" s="4"/>
      <c r="C403" s="4"/>
    </row>
    <row r="404" spans="1:3" ht="14.4">
      <c r="A404" s="4"/>
      <c r="B404" s="4"/>
      <c r="C404" s="4"/>
    </row>
    <row r="405" spans="1:3" ht="14.4">
      <c r="A405" s="4"/>
      <c r="B405" s="4"/>
      <c r="C405" s="4"/>
    </row>
    <row r="406" spans="1:3" ht="14.4">
      <c r="A406" s="4"/>
      <c r="B406" s="4"/>
      <c r="C406" s="4"/>
    </row>
    <row r="407" spans="1:3" ht="14.4">
      <c r="A407" s="4"/>
      <c r="B407" s="4"/>
      <c r="C407" s="4"/>
    </row>
    <row r="408" spans="1:3" ht="14.4">
      <c r="A408" s="4"/>
      <c r="B408" s="4"/>
      <c r="C408" s="4"/>
    </row>
    <row r="409" spans="1:3" ht="14.4">
      <c r="A409" s="4"/>
      <c r="B409" s="4"/>
      <c r="C409" s="4"/>
    </row>
    <row r="410" spans="1:3" ht="14.4">
      <c r="A410" s="4"/>
      <c r="B410" s="4"/>
      <c r="C410" s="4"/>
    </row>
    <row r="411" spans="1:3" ht="14.4">
      <c r="A411" s="4"/>
      <c r="B411" s="4"/>
      <c r="C411" s="4"/>
    </row>
    <row r="412" spans="1:3" ht="14.4">
      <c r="A412" s="4"/>
      <c r="B412" s="4"/>
      <c r="C412" s="4"/>
    </row>
    <row r="413" spans="1:3" ht="14.4">
      <c r="A413" s="4"/>
      <c r="B413" s="4"/>
      <c r="C413" s="4"/>
    </row>
    <row r="414" spans="1:3" ht="14.4">
      <c r="A414" s="4"/>
      <c r="B414" s="4"/>
      <c r="C414" s="4"/>
    </row>
    <row r="415" spans="1:3" ht="14.4">
      <c r="A415" s="4"/>
      <c r="B415" s="4"/>
      <c r="C415" s="4"/>
    </row>
    <row r="416" spans="1:3" ht="14.4">
      <c r="A416" s="4"/>
      <c r="B416" s="4"/>
      <c r="C416" s="4"/>
    </row>
    <row r="417" spans="1:3" ht="14.4">
      <c r="A417" s="4"/>
      <c r="B417" s="4"/>
      <c r="C417" s="4"/>
    </row>
    <row r="418" spans="1:3" ht="14.4">
      <c r="A418" s="4"/>
      <c r="B418" s="4"/>
      <c r="C418" s="4"/>
    </row>
    <row r="419" spans="1:3" ht="14.4">
      <c r="A419" s="4"/>
      <c r="B419" s="4"/>
      <c r="C419" s="4"/>
    </row>
    <row r="420" spans="1:3" ht="14.4">
      <c r="A420" s="4"/>
      <c r="B420" s="4"/>
      <c r="C420" s="4"/>
    </row>
    <row r="421" spans="1:3" ht="14.4">
      <c r="A421" s="4"/>
      <c r="B421" s="4"/>
      <c r="C421" s="4"/>
    </row>
    <row r="422" spans="1:3" ht="14.4">
      <c r="A422" s="4"/>
      <c r="B422" s="4"/>
      <c r="C422" s="4"/>
    </row>
    <row r="423" spans="1:3" ht="14.4">
      <c r="A423" s="4"/>
      <c r="B423" s="4"/>
      <c r="C423" s="4"/>
    </row>
    <row r="424" spans="1:3" ht="14.4">
      <c r="A424" s="4"/>
      <c r="B424" s="4"/>
      <c r="C424" s="4"/>
    </row>
    <row r="425" spans="1:3" ht="14.4">
      <c r="A425" s="4"/>
      <c r="B425" s="4"/>
      <c r="C425" s="4"/>
    </row>
    <row r="426" spans="1:3" ht="14.4">
      <c r="A426" s="4"/>
      <c r="B426" s="4"/>
      <c r="C426" s="4"/>
    </row>
    <row r="427" spans="1:3" ht="14.4">
      <c r="A427" s="4"/>
      <c r="B427" s="4"/>
      <c r="C427" s="4"/>
    </row>
    <row r="428" spans="1:3" ht="14.4">
      <c r="A428" s="4"/>
      <c r="B428" s="4"/>
      <c r="C428" s="4"/>
    </row>
    <row r="429" spans="1:3" ht="14.4">
      <c r="A429" s="4"/>
      <c r="B429" s="4"/>
      <c r="C429" s="4"/>
    </row>
    <row r="430" spans="1:3" ht="14.4">
      <c r="A430" s="4"/>
      <c r="B430" s="4"/>
      <c r="C430" s="4"/>
    </row>
    <row r="431" spans="1:3" ht="14.4">
      <c r="A431" s="4"/>
      <c r="B431" s="4"/>
      <c r="C431" s="4"/>
    </row>
    <row r="432" spans="1:3" ht="14.4">
      <c r="A432" s="4"/>
      <c r="B432" s="4"/>
      <c r="C432" s="4"/>
    </row>
    <row r="433" spans="1:3" ht="14.4">
      <c r="A433" s="4"/>
      <c r="B433" s="4"/>
      <c r="C433" s="4"/>
    </row>
    <row r="434" spans="1:3" ht="14.4">
      <c r="A434" s="4"/>
      <c r="B434" s="4"/>
      <c r="C434" s="4"/>
    </row>
    <row r="435" spans="1:3" ht="14.4">
      <c r="A435" s="4"/>
      <c r="B435" s="4"/>
      <c r="C435" s="4"/>
    </row>
    <row r="436" spans="1:3" ht="14.4">
      <c r="A436" s="4"/>
      <c r="B436" s="4"/>
      <c r="C436" s="4"/>
    </row>
    <row r="437" spans="1:3" ht="14.4">
      <c r="A437" s="4"/>
      <c r="B437" s="4"/>
      <c r="C437" s="4"/>
    </row>
    <row r="438" spans="1:3" ht="14.4">
      <c r="A438" s="4"/>
      <c r="B438" s="4"/>
      <c r="C438" s="4"/>
    </row>
    <row r="439" spans="1:3" ht="14.4">
      <c r="A439" s="4"/>
      <c r="B439" s="4"/>
      <c r="C439" s="4"/>
    </row>
    <row r="440" spans="1:3" ht="14.4">
      <c r="A440" s="4"/>
      <c r="B440" s="4"/>
      <c r="C440" s="4"/>
    </row>
    <row r="441" spans="1:3" ht="14.4">
      <c r="A441" s="4"/>
      <c r="B441" s="4"/>
      <c r="C441" s="4"/>
    </row>
    <row r="442" spans="1:3" ht="14.4">
      <c r="A442" s="4"/>
      <c r="B442" s="4"/>
      <c r="C442" s="4"/>
    </row>
    <row r="443" spans="1:3" ht="14.4">
      <c r="A443" s="4"/>
      <c r="B443" s="4"/>
      <c r="C443" s="4"/>
    </row>
    <row r="444" spans="1:3" ht="14.4">
      <c r="A444" s="4"/>
      <c r="B444" s="4"/>
      <c r="C444" s="4"/>
    </row>
    <row r="445" spans="1:3" ht="14.4">
      <c r="A445" s="4"/>
      <c r="B445" s="4"/>
      <c r="C445" s="4"/>
    </row>
    <row r="446" spans="1:3" ht="14.4">
      <c r="A446" s="4"/>
      <c r="B446" s="4"/>
      <c r="C446" s="4"/>
    </row>
    <row r="447" spans="1:3" ht="14.4">
      <c r="A447" s="4"/>
      <c r="B447" s="4"/>
      <c r="C447" s="4"/>
    </row>
    <row r="448" spans="1:3" ht="14.4">
      <c r="A448" s="4"/>
      <c r="B448" s="4"/>
      <c r="C448" s="4"/>
    </row>
    <row r="449" spans="1:3" ht="14.4">
      <c r="A449" s="4"/>
      <c r="B449" s="4"/>
      <c r="C449" s="4"/>
    </row>
    <row r="450" spans="1:3" ht="14.4">
      <c r="A450" s="4"/>
      <c r="B450" s="4"/>
      <c r="C450" s="4"/>
    </row>
    <row r="451" spans="1:3" ht="14.4">
      <c r="A451" s="4"/>
      <c r="B451" s="4"/>
      <c r="C451" s="4"/>
    </row>
    <row r="452" spans="1:3" ht="14.4">
      <c r="A452" s="4"/>
      <c r="B452" s="4"/>
      <c r="C452" s="4"/>
    </row>
    <row r="453" spans="1:3" ht="14.4">
      <c r="A453" s="4"/>
      <c r="B453" s="4"/>
      <c r="C453" s="4"/>
    </row>
    <row r="454" spans="1:3" ht="14.4">
      <c r="A454" s="4"/>
      <c r="B454" s="4"/>
      <c r="C454" s="4"/>
    </row>
    <row r="455" spans="1:3" ht="14.4">
      <c r="A455" s="4"/>
      <c r="B455" s="4"/>
      <c r="C455" s="4"/>
    </row>
    <row r="456" spans="1:3" ht="14.4">
      <c r="A456" s="4"/>
      <c r="B456" s="4"/>
      <c r="C456" s="4"/>
    </row>
    <row r="457" spans="1:3" ht="14.4">
      <c r="A457" s="4"/>
      <c r="B457" s="4"/>
      <c r="C457" s="4"/>
    </row>
    <row r="458" spans="1:3" ht="14.4">
      <c r="A458" s="4"/>
      <c r="B458" s="4"/>
      <c r="C458" s="4"/>
    </row>
    <row r="459" spans="1:3" ht="14.4">
      <c r="A459" s="4"/>
      <c r="B459" s="4"/>
      <c r="C459" s="4"/>
    </row>
    <row r="460" spans="1:3" ht="14.4">
      <c r="A460" s="4"/>
      <c r="B460" s="4"/>
      <c r="C460" s="4"/>
    </row>
    <row r="461" spans="1:3" ht="14.4">
      <c r="A461" s="4"/>
      <c r="B461" s="4"/>
      <c r="C461" s="4"/>
    </row>
    <row r="462" spans="1:3" ht="14.4">
      <c r="A462" s="4"/>
      <c r="B462" s="4"/>
      <c r="C462" s="4"/>
    </row>
    <row r="463" spans="1:3" ht="14.4">
      <c r="A463" s="4"/>
      <c r="B463" s="4"/>
      <c r="C463" s="4"/>
    </row>
    <row r="464" spans="1:3" ht="14.4">
      <c r="A464" s="4"/>
      <c r="B464" s="4"/>
      <c r="C464" s="4"/>
    </row>
    <row r="465" spans="1:3" ht="14.4">
      <c r="A465" s="4"/>
      <c r="B465" s="4"/>
      <c r="C465" s="4"/>
    </row>
    <row r="466" spans="1:3" ht="14.4">
      <c r="A466" s="4"/>
      <c r="B466" s="4"/>
      <c r="C466" s="4"/>
    </row>
    <row r="467" spans="1:3" ht="14.4">
      <c r="A467" s="4"/>
      <c r="B467" s="4"/>
      <c r="C467" s="4"/>
    </row>
    <row r="468" spans="1:3" ht="14.4">
      <c r="A468" s="4"/>
      <c r="B468" s="4"/>
      <c r="C468" s="4"/>
    </row>
    <row r="469" spans="1:3" ht="14.4">
      <c r="A469" s="4"/>
      <c r="B469" s="4"/>
      <c r="C469" s="4"/>
    </row>
    <row r="470" spans="1:3" ht="14.4">
      <c r="A470" s="4"/>
      <c r="B470" s="4"/>
      <c r="C470" s="4"/>
    </row>
    <row r="471" spans="1:3" ht="14.4">
      <c r="A471" s="4"/>
      <c r="B471" s="4"/>
      <c r="C471" s="4"/>
    </row>
    <row r="472" spans="1:3" ht="14.4">
      <c r="A472" s="4"/>
      <c r="B472" s="4"/>
      <c r="C472" s="4"/>
    </row>
    <row r="473" spans="1:3" ht="14.4">
      <c r="A473" s="4"/>
      <c r="B473" s="4"/>
      <c r="C473" s="4"/>
    </row>
    <row r="474" spans="1:3" ht="14.4">
      <c r="A474" s="4"/>
      <c r="B474" s="4"/>
      <c r="C474" s="4"/>
    </row>
    <row r="475" spans="1:3" ht="14.4">
      <c r="A475" s="4"/>
      <c r="B475" s="4"/>
      <c r="C475" s="4"/>
    </row>
    <row r="476" spans="1:3" ht="14.4">
      <c r="A476" s="4"/>
      <c r="B476" s="4"/>
      <c r="C476" s="4"/>
    </row>
    <row r="477" spans="1:3" ht="14.4">
      <c r="A477" s="4"/>
      <c r="B477" s="4"/>
      <c r="C477" s="4"/>
    </row>
    <row r="478" spans="1:3" ht="14.4">
      <c r="A478" s="4"/>
      <c r="B478" s="4"/>
      <c r="C478" s="4"/>
    </row>
    <row r="479" spans="1:3" ht="14.4">
      <c r="A479" s="4"/>
      <c r="B479" s="4"/>
      <c r="C479" s="4"/>
    </row>
    <row r="480" spans="1:3" ht="14.4">
      <c r="A480" s="4"/>
      <c r="B480" s="4"/>
      <c r="C480" s="4"/>
    </row>
    <row r="481" spans="1:3" ht="14.4">
      <c r="A481" s="4"/>
      <c r="B481" s="4"/>
      <c r="C481" s="4"/>
    </row>
    <row r="482" spans="1:3" ht="14.4">
      <c r="A482" s="4"/>
      <c r="B482" s="4"/>
      <c r="C482" s="4"/>
    </row>
    <row r="483" spans="1:3" ht="14.4">
      <c r="A483" s="4"/>
      <c r="B483" s="4"/>
      <c r="C483" s="4"/>
    </row>
    <row r="484" spans="1:3" ht="14.4">
      <c r="A484" s="4"/>
      <c r="B484" s="4"/>
      <c r="C484" s="4"/>
    </row>
    <row r="485" spans="1:3" ht="14.4">
      <c r="A485" s="4"/>
      <c r="B485" s="4"/>
      <c r="C485" s="4"/>
    </row>
    <row r="486" spans="1:3" ht="14.4">
      <c r="A486" s="4"/>
      <c r="B486" s="4"/>
      <c r="C486" s="4"/>
    </row>
    <row r="487" spans="1:3" ht="14.4">
      <c r="A487" s="4"/>
      <c r="B487" s="4"/>
      <c r="C487" s="4"/>
    </row>
    <row r="488" spans="1:3" ht="14.4">
      <c r="A488" s="4"/>
      <c r="B488" s="4"/>
      <c r="C488" s="4"/>
    </row>
    <row r="489" spans="1:3" ht="14.4">
      <c r="A489" s="4"/>
      <c r="B489" s="4"/>
      <c r="C489" s="4"/>
    </row>
    <row r="490" spans="1:3" ht="14.4">
      <c r="A490" s="4"/>
      <c r="B490" s="4"/>
      <c r="C490" s="4"/>
    </row>
    <row r="491" spans="1:3" ht="14.4">
      <c r="A491" s="4"/>
      <c r="B491" s="4"/>
      <c r="C491" s="4"/>
    </row>
    <row r="492" spans="1:3" ht="14.4">
      <c r="A492" s="4"/>
      <c r="B492" s="4"/>
      <c r="C492" s="4"/>
    </row>
    <row r="493" spans="1:3" ht="14.4">
      <c r="A493" s="4"/>
      <c r="B493" s="4"/>
      <c r="C493" s="4"/>
    </row>
    <row r="494" spans="1:3" ht="14.4">
      <c r="A494" s="4"/>
      <c r="B494" s="4"/>
      <c r="C494" s="4"/>
    </row>
    <row r="495" spans="1:3" ht="14.4">
      <c r="A495" s="4"/>
      <c r="B495" s="4"/>
      <c r="C495" s="4"/>
    </row>
    <row r="496" spans="1:3" ht="14.4">
      <c r="A496" s="4"/>
      <c r="B496" s="4"/>
      <c r="C496" s="4"/>
    </row>
    <row r="497" spans="1:3" ht="14.4">
      <c r="A497" s="4"/>
      <c r="B497" s="4"/>
      <c r="C497" s="4"/>
    </row>
    <row r="498" spans="1:3" ht="14.4">
      <c r="A498" s="4"/>
      <c r="B498" s="4"/>
      <c r="C498" s="4"/>
    </row>
    <row r="499" spans="1:3" ht="14.4">
      <c r="A499" s="4"/>
      <c r="B499" s="4"/>
      <c r="C499" s="4"/>
    </row>
    <row r="500" spans="1:3" ht="14.4">
      <c r="A500" s="4"/>
      <c r="B500" s="4"/>
      <c r="C500" s="4"/>
    </row>
    <row r="501" spans="1:3" ht="14.4">
      <c r="A501" s="4"/>
      <c r="B501" s="4"/>
      <c r="C501" s="4"/>
    </row>
    <row r="502" spans="1:3" ht="14.4">
      <c r="A502" s="4"/>
      <c r="B502" s="4"/>
      <c r="C502" s="4"/>
    </row>
    <row r="503" spans="1:3" ht="14.4">
      <c r="A503" s="4"/>
      <c r="B503" s="4"/>
      <c r="C503" s="4"/>
    </row>
    <row r="504" spans="1:3" ht="14.4">
      <c r="A504" s="4"/>
      <c r="B504" s="4"/>
      <c r="C504" s="4"/>
    </row>
    <row r="505" spans="1:3" ht="14.4">
      <c r="A505" s="4"/>
      <c r="B505" s="4"/>
      <c r="C505" s="4"/>
    </row>
    <row r="506" spans="1:3" ht="14.4">
      <c r="A506" s="4"/>
      <c r="B506" s="4"/>
      <c r="C506" s="4"/>
    </row>
    <row r="507" spans="1:3" ht="14.4">
      <c r="A507" s="4"/>
      <c r="B507" s="4"/>
      <c r="C507" s="4"/>
    </row>
    <row r="508" spans="1:3" ht="14.4">
      <c r="A508" s="4"/>
      <c r="B508" s="4"/>
      <c r="C508" s="4"/>
    </row>
    <row r="509" spans="1:3" ht="14.4">
      <c r="A509" s="4"/>
      <c r="B509" s="4"/>
      <c r="C509" s="4"/>
    </row>
    <row r="510" spans="1:3" ht="14.4">
      <c r="A510" s="4"/>
      <c r="B510" s="4"/>
      <c r="C510" s="4"/>
    </row>
    <row r="511" spans="1:3" ht="14.4">
      <c r="A511" s="4"/>
      <c r="B511" s="4"/>
      <c r="C511" s="4"/>
    </row>
    <row r="512" spans="1:3" ht="14.4">
      <c r="A512" s="4"/>
      <c r="B512" s="4"/>
      <c r="C512" s="4"/>
    </row>
    <row r="513" spans="1:3" ht="14.4">
      <c r="A513" s="4"/>
      <c r="B513" s="4"/>
      <c r="C513" s="4"/>
    </row>
    <row r="514" spans="1:3" ht="14.4">
      <c r="A514" s="4"/>
      <c r="B514" s="4"/>
      <c r="C514" s="4"/>
    </row>
    <row r="515" spans="1:3" ht="14.4">
      <c r="A515" s="4"/>
      <c r="B515" s="4"/>
      <c r="C515" s="4"/>
    </row>
    <row r="516" spans="1:3" ht="14.4">
      <c r="A516" s="4"/>
      <c r="B516" s="4"/>
      <c r="C516" s="4"/>
    </row>
    <row r="517" spans="1:3" ht="14.4">
      <c r="A517" s="4"/>
      <c r="B517" s="4"/>
      <c r="C517" s="4"/>
    </row>
    <row r="518" spans="1:3" ht="14.4">
      <c r="A518" s="4"/>
      <c r="B518" s="4"/>
      <c r="C518" s="4"/>
    </row>
    <row r="519" spans="1:3" ht="14.4">
      <c r="A519" s="4"/>
      <c r="B519" s="4"/>
      <c r="C519" s="4"/>
    </row>
    <row r="520" spans="1:3" ht="14.4">
      <c r="A520" s="4"/>
      <c r="B520" s="4"/>
      <c r="C520" s="4"/>
    </row>
    <row r="521" spans="1:3" ht="14.4">
      <c r="A521" s="4"/>
      <c r="B521" s="4"/>
      <c r="C521" s="4"/>
    </row>
    <row r="522" spans="1:3" ht="14.4">
      <c r="A522" s="4"/>
      <c r="B522" s="4"/>
      <c r="C522" s="4"/>
    </row>
    <row r="523" spans="1:3" ht="14.4">
      <c r="A523" s="4"/>
      <c r="B523" s="4"/>
      <c r="C523" s="4"/>
    </row>
    <row r="524" spans="1:3" ht="14.4">
      <c r="A524" s="4"/>
      <c r="B524" s="4"/>
      <c r="C524" s="4"/>
    </row>
    <row r="525" spans="1:3" ht="14.4">
      <c r="A525" s="4"/>
      <c r="B525" s="4"/>
      <c r="C525" s="4"/>
    </row>
    <row r="526" spans="1:3" ht="14.4">
      <c r="A526" s="4"/>
      <c r="B526" s="4"/>
      <c r="C526" s="4"/>
    </row>
    <row r="527" spans="1:3" ht="14.4">
      <c r="A527" s="4"/>
      <c r="B527" s="4"/>
      <c r="C527" s="4"/>
    </row>
    <row r="528" spans="1:3" ht="14.4">
      <c r="A528" s="4"/>
      <c r="B528" s="4"/>
      <c r="C528" s="4"/>
    </row>
    <row r="529" spans="1:3" ht="14.4">
      <c r="A529" s="4"/>
      <c r="B529" s="4"/>
      <c r="C529" s="4"/>
    </row>
    <row r="530" spans="1:3" ht="14.4">
      <c r="A530" s="4"/>
      <c r="B530" s="4"/>
      <c r="C530" s="4"/>
    </row>
    <row r="531" spans="1:3" ht="14.4">
      <c r="A531" s="4"/>
      <c r="B531" s="4"/>
      <c r="C531" s="4"/>
    </row>
    <row r="532" spans="1:3" ht="14.4">
      <c r="A532" s="4"/>
      <c r="B532" s="4"/>
      <c r="C532" s="4"/>
    </row>
    <row r="533" spans="1:3" ht="14.4">
      <c r="A533" s="4"/>
      <c r="B533" s="4"/>
      <c r="C533" s="4"/>
    </row>
    <row r="534" spans="1:3" ht="14.4">
      <c r="A534" s="4"/>
      <c r="B534" s="4"/>
      <c r="C534" s="4"/>
    </row>
    <row r="535" spans="1:3" ht="14.4">
      <c r="A535" s="4"/>
      <c r="B535" s="4"/>
      <c r="C535" s="4"/>
    </row>
    <row r="536" spans="1:3" ht="14.4">
      <c r="A536" s="4"/>
      <c r="B536" s="4"/>
      <c r="C536" s="4"/>
    </row>
    <row r="537" spans="1:3" ht="14.4">
      <c r="A537" s="4"/>
      <c r="B537" s="4"/>
      <c r="C537" s="4"/>
    </row>
    <row r="538" spans="1:3" ht="14.4">
      <c r="A538" s="4"/>
      <c r="B538" s="4"/>
      <c r="C538" s="4"/>
    </row>
    <row r="539" spans="1:3" ht="14.4">
      <c r="A539" s="4"/>
      <c r="B539" s="4"/>
      <c r="C539" s="4"/>
    </row>
    <row r="540" spans="1:3" ht="14.4">
      <c r="A540" s="4"/>
      <c r="B540" s="4"/>
      <c r="C540" s="4"/>
    </row>
    <row r="541" spans="1:3" ht="14.4">
      <c r="A541" s="4"/>
      <c r="B541" s="4"/>
      <c r="C541" s="4"/>
    </row>
    <row r="542" spans="1:3" ht="14.4">
      <c r="A542" s="4"/>
      <c r="B542" s="4"/>
      <c r="C542" s="4"/>
    </row>
    <row r="543" spans="1:3" ht="14.4">
      <c r="A543" s="4"/>
      <c r="B543" s="4"/>
      <c r="C543" s="4"/>
    </row>
    <row r="544" spans="1:3" ht="14.4">
      <c r="A544" s="4"/>
      <c r="B544" s="4"/>
      <c r="C544" s="4"/>
    </row>
    <row r="545" spans="1:3" ht="14.4">
      <c r="A545" s="4"/>
      <c r="B545" s="4"/>
      <c r="C545" s="4"/>
    </row>
    <row r="546" spans="1:3" ht="14.4">
      <c r="A546" s="4"/>
      <c r="B546" s="4"/>
      <c r="C546" s="4"/>
    </row>
    <row r="547" spans="1:3" ht="14.4">
      <c r="A547" s="4"/>
      <c r="B547" s="4"/>
      <c r="C547" s="4"/>
    </row>
    <row r="548" spans="1:3" ht="14.4">
      <c r="A548" s="4"/>
      <c r="B548" s="4"/>
      <c r="C548" s="4"/>
    </row>
    <row r="549" spans="1:3" ht="14.4">
      <c r="A549" s="4"/>
      <c r="B549" s="4"/>
      <c r="C549" s="4"/>
    </row>
    <row r="550" spans="1:3" ht="14.4">
      <c r="A550" s="4"/>
      <c r="B550" s="4"/>
      <c r="C550" s="4"/>
    </row>
    <row r="551" spans="1:3" ht="14.4">
      <c r="A551" s="4"/>
      <c r="B551" s="4"/>
      <c r="C551" s="4"/>
    </row>
    <row r="552" spans="1:3" ht="14.4">
      <c r="A552" s="4"/>
      <c r="B552" s="4"/>
      <c r="C552" s="4"/>
    </row>
    <row r="553" spans="1:3" ht="14.4">
      <c r="A553" s="4"/>
      <c r="B553" s="4"/>
      <c r="C553" s="4"/>
    </row>
    <row r="554" spans="1:3" ht="14.4">
      <c r="A554" s="4"/>
      <c r="B554" s="4"/>
      <c r="C554" s="4"/>
    </row>
    <row r="555" spans="1:3" ht="14.4">
      <c r="A555" s="4"/>
      <c r="B555" s="4"/>
      <c r="C555" s="4"/>
    </row>
    <row r="556" spans="1:3" ht="14.4">
      <c r="A556" s="4"/>
      <c r="B556" s="4"/>
      <c r="C556" s="4"/>
    </row>
    <row r="557" spans="1:3" ht="14.4">
      <c r="A557" s="4"/>
      <c r="B557" s="4"/>
      <c r="C557" s="4"/>
    </row>
    <row r="558" spans="1:3" ht="14.4">
      <c r="A558" s="4"/>
      <c r="B558" s="4"/>
      <c r="C558" s="4"/>
    </row>
    <row r="559" spans="1:3" ht="14.4">
      <c r="A559" s="4"/>
      <c r="B559" s="4"/>
      <c r="C559" s="4"/>
    </row>
    <row r="560" spans="1:3" ht="14.4">
      <c r="A560" s="4"/>
      <c r="B560" s="4"/>
      <c r="C560" s="4"/>
    </row>
    <row r="561" spans="1:3" ht="14.4">
      <c r="A561" s="4"/>
      <c r="B561" s="4"/>
      <c r="C561" s="4"/>
    </row>
    <row r="562" spans="1:3" ht="14.4">
      <c r="A562" s="4"/>
      <c r="B562" s="4"/>
      <c r="C562" s="4"/>
    </row>
    <row r="563" spans="1:3" ht="14.4">
      <c r="A563" s="4"/>
      <c r="B563" s="4"/>
      <c r="C563" s="4"/>
    </row>
    <row r="564" spans="1:3" ht="14.4">
      <c r="A564" s="4"/>
      <c r="B564" s="4"/>
      <c r="C564" s="4"/>
    </row>
    <row r="565" spans="1:3" ht="14.4">
      <c r="A565" s="4"/>
      <c r="B565" s="4"/>
      <c r="C565" s="4"/>
    </row>
    <row r="566" spans="1:3" ht="14.4">
      <c r="A566" s="4"/>
      <c r="B566" s="4"/>
      <c r="C566" s="4"/>
    </row>
    <row r="567" spans="1:3" ht="14.4">
      <c r="A567" s="4"/>
      <c r="B567" s="4"/>
      <c r="C567" s="4"/>
    </row>
    <row r="568" spans="1:3" ht="14.4">
      <c r="A568" s="4"/>
      <c r="B568" s="4"/>
      <c r="C568" s="4"/>
    </row>
    <row r="569" spans="1:3" ht="14.4">
      <c r="A569" s="4"/>
      <c r="B569" s="4"/>
      <c r="C569" s="4"/>
    </row>
    <row r="570" spans="1:3" ht="14.4">
      <c r="A570" s="4"/>
      <c r="B570" s="4"/>
      <c r="C570" s="4"/>
    </row>
    <row r="571" spans="1:3" ht="14.4">
      <c r="A571" s="4"/>
      <c r="B571" s="4"/>
      <c r="C571" s="4"/>
    </row>
    <row r="572" spans="1:3" ht="14.4">
      <c r="A572" s="4"/>
      <c r="B572" s="4"/>
      <c r="C572" s="4"/>
    </row>
    <row r="573" spans="1:3" ht="14.4">
      <c r="A573" s="4"/>
      <c r="B573" s="4"/>
      <c r="C573" s="4"/>
    </row>
    <row r="574" spans="1:3" ht="14.4">
      <c r="A574" s="4"/>
      <c r="B574" s="4"/>
      <c r="C574" s="4"/>
    </row>
    <row r="575" spans="1:3" ht="14.4">
      <c r="A575" s="4"/>
      <c r="B575" s="4"/>
      <c r="C575" s="4"/>
    </row>
    <row r="576" spans="1:3" ht="14.4">
      <c r="A576" s="4"/>
      <c r="B576" s="4"/>
      <c r="C576" s="4"/>
    </row>
    <row r="577" spans="1:3" ht="14.4">
      <c r="A577" s="4"/>
      <c r="B577" s="4"/>
      <c r="C577" s="4"/>
    </row>
    <row r="578" spans="1:3" ht="14.4">
      <c r="A578" s="4"/>
      <c r="B578" s="4"/>
      <c r="C578" s="4"/>
    </row>
    <row r="579" spans="1:3" ht="14.4">
      <c r="A579" s="4"/>
      <c r="B579" s="4"/>
      <c r="C579" s="4"/>
    </row>
    <row r="580" spans="1:3" ht="14.4">
      <c r="A580" s="4"/>
      <c r="B580" s="4"/>
      <c r="C580" s="4"/>
    </row>
    <row r="581" spans="1:3" ht="14.4">
      <c r="A581" s="4"/>
      <c r="B581" s="4"/>
      <c r="C581" s="4"/>
    </row>
    <row r="582" spans="1:3" ht="14.4">
      <c r="A582" s="4"/>
      <c r="B582" s="4"/>
      <c r="C582" s="4"/>
    </row>
    <row r="583" spans="1:3" ht="14.4">
      <c r="A583" s="4"/>
      <c r="B583" s="4"/>
      <c r="C583" s="4"/>
    </row>
    <row r="584" spans="1:3" ht="14.4">
      <c r="A584" s="4"/>
      <c r="B584" s="4"/>
      <c r="C584" s="4"/>
    </row>
    <row r="585" spans="1:3" ht="14.4">
      <c r="A585" s="4"/>
      <c r="B585" s="4"/>
      <c r="C585" s="4"/>
    </row>
    <row r="586" spans="1:3" ht="14.4">
      <c r="A586" s="4"/>
      <c r="B586" s="4"/>
      <c r="C586" s="4"/>
    </row>
    <row r="587" spans="1:3" ht="14.4">
      <c r="A587" s="4"/>
      <c r="B587" s="4"/>
      <c r="C587" s="4"/>
    </row>
    <row r="588" spans="1:3" ht="14.4">
      <c r="A588" s="4"/>
      <c r="B588" s="4"/>
      <c r="C588" s="4"/>
    </row>
    <row r="589" spans="1:3" ht="14.4">
      <c r="A589" s="4"/>
      <c r="B589" s="4"/>
      <c r="C589" s="4"/>
    </row>
    <row r="590" spans="1:3" ht="14.4">
      <c r="A590" s="4"/>
      <c r="B590" s="4"/>
      <c r="C590" s="4"/>
    </row>
    <row r="591" spans="1:3" ht="14.4">
      <c r="A591" s="4"/>
      <c r="B591" s="4"/>
      <c r="C591" s="4"/>
    </row>
    <row r="592" spans="1:3" ht="14.4">
      <c r="A592" s="4"/>
      <c r="B592" s="4"/>
      <c r="C592" s="4"/>
    </row>
    <row r="593" spans="1:3" ht="14.4">
      <c r="A593" s="4"/>
      <c r="B593" s="4"/>
      <c r="C593" s="4"/>
    </row>
    <row r="594" spans="1:3" ht="14.4">
      <c r="A594" s="4"/>
      <c r="B594" s="4"/>
      <c r="C594" s="4"/>
    </row>
    <row r="595" spans="1:3" ht="14.4">
      <c r="A595" s="4"/>
      <c r="B595" s="4"/>
      <c r="C595" s="4"/>
    </row>
    <row r="596" spans="1:3" ht="14.4">
      <c r="A596" s="4"/>
      <c r="B596" s="4"/>
      <c r="C596" s="4"/>
    </row>
    <row r="597" spans="1:3" ht="14.4">
      <c r="A597" s="4"/>
      <c r="B597" s="4"/>
      <c r="C597" s="4"/>
    </row>
    <row r="598" spans="1:3" ht="14.4">
      <c r="A598" s="4"/>
      <c r="B598" s="4"/>
      <c r="C598" s="4"/>
    </row>
    <row r="599" spans="1:3" ht="14.4">
      <c r="A599" s="4"/>
      <c r="B599" s="4"/>
      <c r="C599" s="4"/>
    </row>
    <row r="600" spans="1:3" ht="14.4">
      <c r="A600" s="4"/>
      <c r="B600" s="4"/>
      <c r="C600" s="4"/>
    </row>
    <row r="601" spans="1:3" ht="14.4">
      <c r="A601" s="4"/>
      <c r="B601" s="4"/>
      <c r="C601" s="4"/>
    </row>
    <row r="602" spans="1:3" ht="14.4">
      <c r="A602" s="4"/>
      <c r="B602" s="4"/>
      <c r="C602" s="4"/>
    </row>
    <row r="603" spans="1:3" ht="14.4">
      <c r="A603" s="4"/>
      <c r="B603" s="4"/>
      <c r="C603" s="4"/>
    </row>
    <row r="604" spans="1:3" ht="14.4">
      <c r="A604" s="4"/>
      <c r="B604" s="4"/>
      <c r="C604" s="4"/>
    </row>
    <row r="605" spans="1:3" ht="14.4">
      <c r="A605" s="4"/>
      <c r="B605" s="4"/>
      <c r="C605" s="4"/>
    </row>
    <row r="606" spans="1:3" ht="14.4">
      <c r="A606" s="4"/>
      <c r="B606" s="4"/>
      <c r="C606" s="4"/>
    </row>
    <row r="607" spans="1:3" ht="14.4">
      <c r="A607" s="4"/>
      <c r="B607" s="4"/>
      <c r="C607" s="4"/>
    </row>
    <row r="608" spans="1:3" ht="14.4">
      <c r="A608" s="4"/>
      <c r="B608" s="4"/>
      <c r="C608" s="4"/>
    </row>
    <row r="609" spans="1:3" ht="14.4">
      <c r="A609" s="4"/>
      <c r="B609" s="4"/>
      <c r="C609" s="4"/>
    </row>
    <row r="610" spans="1:3" ht="14.4">
      <c r="A610" s="4"/>
      <c r="B610" s="4"/>
      <c r="C610" s="4"/>
    </row>
    <row r="611" spans="1:3" ht="14.4">
      <c r="A611" s="4"/>
      <c r="B611" s="4"/>
      <c r="C611" s="4"/>
    </row>
    <row r="612" spans="1:3" ht="14.4">
      <c r="A612" s="4"/>
      <c r="B612" s="4"/>
      <c r="C612" s="4"/>
    </row>
    <row r="613" spans="1:3" ht="14.4">
      <c r="A613" s="4"/>
      <c r="B613" s="4"/>
      <c r="C613" s="4"/>
    </row>
    <row r="614" spans="1:3" ht="14.4">
      <c r="A614" s="4"/>
      <c r="B614" s="4"/>
      <c r="C614" s="4"/>
    </row>
    <row r="615" spans="1:3" ht="14.4">
      <c r="A615" s="4"/>
      <c r="B615" s="4"/>
      <c r="C615" s="4"/>
    </row>
    <row r="616" spans="1:3" ht="14.4">
      <c r="A616" s="4"/>
      <c r="B616" s="4"/>
      <c r="C616" s="4"/>
    </row>
    <row r="617" spans="1:3" ht="14.4">
      <c r="A617" s="4"/>
      <c r="B617" s="4"/>
      <c r="C617" s="4"/>
    </row>
    <row r="618" spans="1:3" ht="14.4">
      <c r="A618" s="4"/>
      <c r="B618" s="4"/>
      <c r="C618" s="4"/>
    </row>
    <row r="619" spans="1:3" ht="14.4">
      <c r="A619" s="4"/>
      <c r="B619" s="4"/>
      <c r="C619" s="4"/>
    </row>
    <row r="620" spans="1:3" ht="14.4">
      <c r="A620" s="4"/>
      <c r="B620" s="4"/>
      <c r="C620" s="4"/>
    </row>
    <row r="621" spans="1:3" ht="14.4">
      <c r="A621" s="4"/>
      <c r="B621" s="4"/>
      <c r="C621" s="4"/>
    </row>
    <row r="622" spans="1:3" ht="14.4">
      <c r="A622" s="4"/>
      <c r="B622" s="4"/>
      <c r="C622" s="4"/>
    </row>
    <row r="623" spans="1:3" ht="14.4">
      <c r="A623" s="4"/>
      <c r="B623" s="4"/>
      <c r="C623" s="4"/>
    </row>
    <row r="624" spans="1:3" ht="14.4">
      <c r="A624" s="4"/>
      <c r="B624" s="4"/>
      <c r="C624" s="4"/>
    </row>
    <row r="625" spans="1:3" ht="14.4">
      <c r="A625" s="4"/>
      <c r="B625" s="4"/>
      <c r="C625" s="4"/>
    </row>
    <row r="626" spans="1:3" ht="14.4">
      <c r="A626" s="4"/>
      <c r="B626" s="4"/>
      <c r="C626" s="4"/>
    </row>
    <row r="627" spans="1:3" ht="14.4">
      <c r="A627" s="4"/>
      <c r="B627" s="4"/>
      <c r="C627" s="4"/>
    </row>
    <row r="628" spans="1:3" ht="14.4">
      <c r="A628" s="4"/>
      <c r="B628" s="4"/>
      <c r="C628" s="4"/>
    </row>
    <row r="629" spans="1:3" ht="14.4">
      <c r="A629" s="4"/>
      <c r="B629" s="4"/>
      <c r="C629" s="4"/>
    </row>
    <row r="630" spans="1:3" ht="14.4">
      <c r="A630" s="4"/>
      <c r="B630" s="4"/>
      <c r="C630" s="4"/>
    </row>
    <row r="631" spans="1:3" ht="14.4">
      <c r="A631" s="4"/>
      <c r="B631" s="4"/>
      <c r="C631" s="4"/>
    </row>
    <row r="632" spans="1:3" ht="14.4">
      <c r="A632" s="4"/>
      <c r="B632" s="4"/>
      <c r="C632" s="4"/>
    </row>
    <row r="633" spans="1:3" ht="14.4">
      <c r="A633" s="4"/>
      <c r="B633" s="4"/>
      <c r="C633" s="4"/>
    </row>
    <row r="634" spans="1:3" ht="14.4">
      <c r="A634" s="4"/>
      <c r="B634" s="4"/>
      <c r="C634" s="4"/>
    </row>
    <row r="635" spans="1:3" ht="14.4">
      <c r="A635" s="4"/>
      <c r="B635" s="4"/>
      <c r="C635" s="4"/>
    </row>
    <row r="636" spans="1:3" ht="14.4">
      <c r="A636" s="4"/>
      <c r="B636" s="4"/>
      <c r="C636" s="4"/>
    </row>
    <row r="637" spans="1:3" ht="14.4">
      <c r="A637" s="4"/>
      <c r="B637" s="4"/>
      <c r="C637" s="4"/>
    </row>
    <row r="638" spans="1:3" ht="14.4">
      <c r="A638" s="4"/>
      <c r="B638" s="4"/>
      <c r="C638" s="4"/>
    </row>
    <row r="639" spans="1:3" ht="14.4">
      <c r="A639" s="4"/>
      <c r="B639" s="4"/>
      <c r="C639" s="4"/>
    </row>
    <row r="640" spans="1:3" ht="14.4">
      <c r="A640" s="4"/>
      <c r="B640" s="4"/>
      <c r="C640" s="4"/>
    </row>
    <row r="641" spans="1:3" ht="14.4">
      <c r="A641" s="4"/>
      <c r="B641" s="4"/>
      <c r="C641" s="4"/>
    </row>
    <row r="642" spans="1:3" ht="14.4">
      <c r="A642" s="4"/>
      <c r="B642" s="4"/>
      <c r="C642" s="4"/>
    </row>
    <row r="643" spans="1:3" ht="14.4">
      <c r="A643" s="4"/>
      <c r="B643" s="4"/>
      <c r="C643" s="4"/>
    </row>
    <row r="644" spans="1:3" ht="14.4">
      <c r="A644" s="4"/>
      <c r="B644" s="4"/>
      <c r="C644" s="4"/>
    </row>
    <row r="645" spans="1:3" ht="14.4">
      <c r="A645" s="4"/>
      <c r="B645" s="4"/>
      <c r="C645" s="4"/>
    </row>
    <row r="646" spans="1:3" ht="14.4">
      <c r="A646" s="4"/>
      <c r="B646" s="4"/>
      <c r="C646" s="4"/>
    </row>
    <row r="647" spans="1:3" ht="14.4">
      <c r="A647" s="4"/>
      <c r="B647" s="4"/>
      <c r="C647" s="4"/>
    </row>
    <row r="648" spans="1:3" ht="14.4">
      <c r="A648" s="4"/>
      <c r="B648" s="4"/>
      <c r="C648" s="4"/>
    </row>
    <row r="649" spans="1:3" ht="14.4">
      <c r="A649" s="4"/>
      <c r="B649" s="4"/>
      <c r="C649" s="4"/>
    </row>
    <row r="650" spans="1:3" ht="14.4">
      <c r="A650" s="4"/>
      <c r="B650" s="4"/>
      <c r="C650" s="4"/>
    </row>
    <row r="651" spans="1:3" ht="14.4">
      <c r="A651" s="4"/>
      <c r="B651" s="4"/>
      <c r="C651" s="4"/>
    </row>
    <row r="652" spans="1:3" ht="14.4">
      <c r="A652" s="4"/>
      <c r="B652" s="4"/>
      <c r="C652" s="4"/>
    </row>
    <row r="653" spans="1:3" ht="14.4">
      <c r="A653" s="4"/>
      <c r="B653" s="4"/>
      <c r="C653" s="4"/>
    </row>
    <row r="654" spans="1:3" ht="14.4">
      <c r="A654" s="4"/>
      <c r="B654" s="4"/>
      <c r="C654" s="4"/>
    </row>
    <row r="655" spans="1:3" ht="14.4">
      <c r="A655" s="4"/>
      <c r="B655" s="4"/>
      <c r="C655" s="4"/>
    </row>
    <row r="656" spans="1:3" ht="14.4">
      <c r="A656" s="4"/>
      <c r="B656" s="4"/>
      <c r="C656" s="4"/>
    </row>
    <row r="657" spans="1:3" ht="14.4">
      <c r="A657" s="4"/>
      <c r="B657" s="4"/>
      <c r="C657" s="4"/>
    </row>
    <row r="658" spans="1:3" ht="14.4">
      <c r="A658" s="4"/>
      <c r="B658" s="4"/>
      <c r="C658" s="4"/>
    </row>
    <row r="659" spans="1:3" ht="14.4">
      <c r="A659" s="4"/>
      <c r="B659" s="4"/>
      <c r="C659" s="4"/>
    </row>
    <row r="660" spans="1:3" ht="14.4">
      <c r="A660" s="4"/>
      <c r="B660" s="4"/>
      <c r="C660" s="4"/>
    </row>
    <row r="661" spans="1:3" ht="14.4">
      <c r="A661" s="4"/>
      <c r="B661" s="4"/>
      <c r="C661" s="4"/>
    </row>
    <row r="662" spans="1:3" ht="14.4">
      <c r="A662" s="4"/>
      <c r="B662" s="4"/>
      <c r="C662" s="4"/>
    </row>
    <row r="663" spans="1:3" ht="14.4">
      <c r="A663" s="4"/>
      <c r="B663" s="4"/>
      <c r="C663" s="4"/>
    </row>
    <row r="664" spans="1:3" ht="14.4">
      <c r="A664" s="4"/>
      <c r="B664" s="4"/>
      <c r="C664" s="4"/>
    </row>
    <row r="665" spans="1:3" ht="14.4">
      <c r="A665" s="4"/>
      <c r="B665" s="4"/>
      <c r="C665" s="4"/>
    </row>
    <row r="666" spans="1:3" ht="14.4">
      <c r="A666" s="4"/>
      <c r="B666" s="4"/>
      <c r="C666" s="4"/>
    </row>
    <row r="667" spans="1:3" ht="14.4">
      <c r="A667" s="4"/>
      <c r="B667" s="4"/>
      <c r="C667" s="4"/>
    </row>
    <row r="668" spans="1:3" ht="14.4">
      <c r="A668" s="4"/>
      <c r="B668" s="4"/>
      <c r="C668" s="4"/>
    </row>
    <row r="669" spans="1:3" ht="14.4">
      <c r="A669" s="4"/>
      <c r="B669" s="4"/>
      <c r="C669" s="4"/>
    </row>
    <row r="670" spans="1:3" ht="14.4">
      <c r="A670" s="4"/>
      <c r="B670" s="4"/>
      <c r="C670" s="4"/>
    </row>
    <row r="671" spans="1:3" ht="14.4">
      <c r="A671" s="4"/>
      <c r="B671" s="4"/>
      <c r="C671" s="4"/>
    </row>
    <row r="672" spans="1:3" ht="14.4">
      <c r="A672" s="4"/>
      <c r="B672" s="4"/>
      <c r="C672" s="4"/>
    </row>
    <row r="673" spans="1:3" ht="14.4">
      <c r="A673" s="4"/>
      <c r="B673" s="4"/>
      <c r="C673" s="4"/>
    </row>
    <row r="674" spans="1:3" ht="14.4">
      <c r="A674" s="4"/>
      <c r="B674" s="4"/>
      <c r="C674" s="4"/>
    </row>
    <row r="675" spans="1:3" ht="14.4">
      <c r="A675" s="4"/>
      <c r="B675" s="4"/>
      <c r="C675" s="4"/>
    </row>
    <row r="676" spans="1:3" ht="14.4">
      <c r="A676" s="4"/>
      <c r="B676" s="4"/>
      <c r="C676" s="4"/>
    </row>
    <row r="677" spans="1:3" ht="14.4">
      <c r="A677" s="4"/>
      <c r="B677" s="4"/>
      <c r="C677" s="4"/>
    </row>
    <row r="678" spans="1:3" ht="14.4">
      <c r="A678" s="4"/>
      <c r="B678" s="4"/>
      <c r="C678" s="4"/>
    </row>
    <row r="679" spans="1:3" ht="14.4">
      <c r="A679" s="4"/>
      <c r="B679" s="4"/>
      <c r="C679" s="4"/>
    </row>
    <row r="680" spans="1:3" ht="14.4">
      <c r="A680" s="4"/>
      <c r="B680" s="4"/>
      <c r="C680" s="4"/>
    </row>
    <row r="681" spans="1:3" ht="14.4">
      <c r="A681" s="4"/>
      <c r="B681" s="4"/>
      <c r="C681" s="4"/>
    </row>
    <row r="682" spans="1:3" ht="14.4">
      <c r="A682" s="4"/>
      <c r="B682" s="4"/>
      <c r="C682" s="4"/>
    </row>
    <row r="683" spans="1:3" ht="14.4">
      <c r="A683" s="4"/>
      <c r="B683" s="4"/>
      <c r="C683" s="4"/>
    </row>
    <row r="684" spans="1:3" ht="14.4">
      <c r="A684" s="4"/>
      <c r="B684" s="4"/>
      <c r="C684" s="4"/>
    </row>
    <row r="685" spans="1:3" ht="14.4">
      <c r="A685" s="4"/>
      <c r="B685" s="4"/>
      <c r="C685" s="4"/>
    </row>
    <row r="686" spans="1:3" ht="14.4">
      <c r="A686" s="4"/>
      <c r="B686" s="4"/>
      <c r="C686" s="4"/>
    </row>
    <row r="687" spans="1:3" ht="14.4">
      <c r="A687" s="4"/>
      <c r="B687" s="4"/>
      <c r="C687" s="4"/>
    </row>
    <row r="688" spans="1:3" ht="14.4">
      <c r="A688" s="4"/>
      <c r="B688" s="4"/>
      <c r="C688" s="4"/>
    </row>
    <row r="689" spans="1:3" ht="14.4">
      <c r="A689" s="4"/>
      <c r="B689" s="4"/>
      <c r="C689" s="4"/>
    </row>
    <row r="690" spans="1:3" ht="14.4">
      <c r="A690" s="4"/>
      <c r="B690" s="4"/>
      <c r="C690" s="4"/>
    </row>
    <row r="691" spans="1:3" ht="14.4">
      <c r="A691" s="4"/>
      <c r="B691" s="4"/>
      <c r="C691" s="4"/>
    </row>
    <row r="692" spans="1:3" ht="14.4">
      <c r="A692" s="4"/>
      <c r="B692" s="4"/>
      <c r="C692" s="4"/>
    </row>
    <row r="693" spans="1:3" ht="14.4">
      <c r="A693" s="4"/>
      <c r="B693" s="4"/>
      <c r="C693" s="4"/>
    </row>
    <row r="694" spans="1:3" ht="14.4">
      <c r="A694" s="4"/>
      <c r="B694" s="4"/>
      <c r="C694" s="4"/>
    </row>
    <row r="695" spans="1:3" ht="14.4">
      <c r="A695" s="4"/>
      <c r="B695" s="4"/>
      <c r="C695" s="4"/>
    </row>
    <row r="696" spans="1:3" ht="14.4">
      <c r="A696" s="4"/>
      <c r="B696" s="4"/>
      <c r="C696" s="4"/>
    </row>
    <row r="697" spans="1:3" ht="14.4">
      <c r="A697" s="4"/>
      <c r="B697" s="4"/>
      <c r="C697" s="4"/>
    </row>
    <row r="698" spans="1:3" ht="14.4">
      <c r="A698" s="4"/>
      <c r="B698" s="4"/>
      <c r="C698" s="4"/>
    </row>
    <row r="699" spans="1:3" ht="14.4">
      <c r="A699" s="4"/>
      <c r="B699" s="4"/>
      <c r="C699" s="4"/>
    </row>
    <row r="700" spans="1:3" ht="14.4">
      <c r="A700" s="4"/>
      <c r="B700" s="4"/>
      <c r="C700" s="4"/>
    </row>
    <row r="701" spans="1:3" ht="14.4">
      <c r="A701" s="4"/>
      <c r="B701" s="4"/>
      <c r="C701" s="4"/>
    </row>
    <row r="702" spans="1:3" ht="14.4">
      <c r="A702" s="4"/>
      <c r="B702" s="4"/>
      <c r="C702" s="4"/>
    </row>
    <row r="703" spans="1:3" ht="14.4">
      <c r="A703" s="4"/>
      <c r="B703" s="4"/>
      <c r="C703" s="4"/>
    </row>
    <row r="704" spans="1:3" ht="14.4">
      <c r="A704" s="4"/>
      <c r="B704" s="4"/>
      <c r="C704" s="4"/>
    </row>
    <row r="705" spans="1:3" ht="14.4">
      <c r="A705" s="4"/>
      <c r="B705" s="4"/>
      <c r="C705" s="4"/>
    </row>
    <row r="706" spans="1:3" ht="14.4">
      <c r="A706" s="4"/>
      <c r="B706" s="4"/>
      <c r="C706" s="4"/>
    </row>
    <row r="707" spans="1:3" ht="14.4">
      <c r="A707" s="4"/>
      <c r="B707" s="4"/>
      <c r="C707" s="4"/>
    </row>
    <row r="708" spans="1:3" ht="14.4">
      <c r="A708" s="4"/>
      <c r="B708" s="4"/>
      <c r="C708" s="4"/>
    </row>
    <row r="709" spans="1:3" ht="14.4">
      <c r="A709" s="4"/>
      <c r="B709" s="4"/>
      <c r="C709" s="4"/>
    </row>
    <row r="710" spans="1:3" ht="14.4">
      <c r="A710" s="4"/>
      <c r="B710" s="4"/>
      <c r="C710" s="4"/>
    </row>
    <row r="711" spans="1:3" ht="14.4">
      <c r="A711" s="4"/>
      <c r="B711" s="4"/>
      <c r="C711" s="4"/>
    </row>
    <row r="712" spans="1:3" ht="14.4">
      <c r="A712" s="4"/>
      <c r="B712" s="4"/>
      <c r="C712" s="4"/>
    </row>
    <row r="713" spans="1:3" ht="14.4">
      <c r="A713" s="4"/>
      <c r="B713" s="4"/>
      <c r="C713" s="4"/>
    </row>
    <row r="714" spans="1:3" ht="14.4">
      <c r="A714" s="4"/>
      <c r="B714" s="4"/>
      <c r="C714" s="4"/>
    </row>
    <row r="715" spans="1:3" ht="14.4">
      <c r="A715" s="4"/>
      <c r="B715" s="4"/>
      <c r="C715" s="4"/>
    </row>
    <row r="716" spans="1:3" ht="14.4">
      <c r="A716" s="4"/>
      <c r="B716" s="4"/>
      <c r="C716" s="4"/>
    </row>
    <row r="717" spans="1:3" ht="14.4">
      <c r="A717" s="4"/>
      <c r="B717" s="4"/>
      <c r="C717" s="4"/>
    </row>
    <row r="718" spans="1:3" ht="14.4">
      <c r="A718" s="4"/>
      <c r="B718" s="4"/>
      <c r="C718" s="4"/>
    </row>
    <row r="719" spans="1:3" ht="14.4">
      <c r="A719" s="4"/>
      <c r="B719" s="4"/>
      <c r="C719" s="4"/>
    </row>
    <row r="720" spans="1:3" ht="14.4">
      <c r="A720" s="4"/>
      <c r="B720" s="4"/>
      <c r="C720" s="4"/>
    </row>
    <row r="721" spans="1:3" ht="14.4">
      <c r="A721" s="4"/>
      <c r="B721" s="4"/>
      <c r="C721" s="4"/>
    </row>
    <row r="722" spans="1:3" ht="14.4">
      <c r="A722" s="4"/>
      <c r="B722" s="4"/>
      <c r="C722" s="4"/>
    </row>
    <row r="723" spans="1:3" ht="14.4">
      <c r="A723" s="4"/>
      <c r="B723" s="4"/>
      <c r="C723" s="4"/>
    </row>
    <row r="724" spans="1:3" ht="14.4">
      <c r="A724" s="4"/>
      <c r="B724" s="4"/>
      <c r="C724" s="4"/>
    </row>
    <row r="725" spans="1:3" ht="14.4">
      <c r="A725" s="4"/>
      <c r="B725" s="4"/>
      <c r="C725" s="4"/>
    </row>
    <row r="726" spans="1:3" ht="14.4">
      <c r="A726" s="4"/>
      <c r="B726" s="4"/>
      <c r="C726" s="4"/>
    </row>
    <row r="727" spans="1:3" ht="14.4">
      <c r="A727" s="4"/>
      <c r="B727" s="4"/>
      <c r="C727" s="4"/>
    </row>
    <row r="728" spans="1:3" ht="14.4">
      <c r="A728" s="4"/>
      <c r="B728" s="4"/>
      <c r="C728" s="4"/>
    </row>
    <row r="729" spans="1:3" ht="14.4">
      <c r="A729" s="4"/>
      <c r="B729" s="4"/>
      <c r="C729" s="4"/>
    </row>
    <row r="730" spans="1:3" ht="14.4">
      <c r="A730" s="4"/>
      <c r="B730" s="4"/>
      <c r="C730" s="4"/>
    </row>
    <row r="731" spans="1:3" ht="14.4">
      <c r="A731" s="4"/>
      <c r="B731" s="4"/>
      <c r="C731" s="4"/>
    </row>
    <row r="732" spans="1:3" ht="14.4">
      <c r="A732" s="4"/>
      <c r="B732" s="4"/>
      <c r="C732" s="4"/>
    </row>
    <row r="733" spans="1:3" ht="14.4">
      <c r="A733" s="4"/>
      <c r="B733" s="4"/>
      <c r="C733" s="4"/>
    </row>
    <row r="734" spans="1:3" ht="14.4">
      <c r="A734" s="4"/>
      <c r="B734" s="4"/>
      <c r="C734" s="4"/>
    </row>
    <row r="735" spans="1:3" ht="14.4">
      <c r="A735" s="4"/>
      <c r="B735" s="4"/>
      <c r="C735" s="4"/>
    </row>
    <row r="736" spans="1:3" ht="14.4">
      <c r="A736" s="4"/>
      <c r="B736" s="4"/>
      <c r="C736" s="4"/>
    </row>
    <row r="737" spans="1:3" ht="14.4">
      <c r="A737" s="4"/>
      <c r="B737" s="4"/>
      <c r="C737" s="4"/>
    </row>
    <row r="738" spans="1:3" ht="14.4">
      <c r="A738" s="4"/>
      <c r="B738" s="4"/>
      <c r="C738" s="4"/>
    </row>
    <row r="739" spans="1:3" ht="14.4">
      <c r="A739" s="4"/>
      <c r="B739" s="4"/>
      <c r="C739" s="4"/>
    </row>
    <row r="740" spans="1:3" ht="14.4">
      <c r="A740" s="4"/>
      <c r="B740" s="4"/>
      <c r="C740" s="4"/>
    </row>
    <row r="741" spans="1:3" ht="14.4">
      <c r="A741" s="4"/>
      <c r="B741" s="4"/>
      <c r="C741" s="4"/>
    </row>
    <row r="742" spans="1:3" ht="14.4">
      <c r="A742" s="4"/>
      <c r="B742" s="4"/>
      <c r="C742" s="4"/>
    </row>
    <row r="743" spans="1:3" ht="14.4">
      <c r="A743" s="4"/>
      <c r="B743" s="4"/>
      <c r="C743" s="4"/>
    </row>
    <row r="744" spans="1:3" ht="14.4">
      <c r="A744" s="4"/>
      <c r="B744" s="4"/>
      <c r="C744" s="4"/>
    </row>
    <row r="745" spans="1:3" ht="14.4">
      <c r="A745" s="4"/>
      <c r="B745" s="4"/>
      <c r="C745" s="4"/>
    </row>
    <row r="746" spans="1:3" ht="14.4">
      <c r="A746" s="4"/>
      <c r="B746" s="4"/>
      <c r="C746" s="4"/>
    </row>
    <row r="747" spans="1:3" ht="14.4">
      <c r="A747" s="4"/>
      <c r="B747" s="4"/>
      <c r="C747" s="4"/>
    </row>
    <row r="748" spans="1:3" ht="14.4">
      <c r="A748" s="4"/>
      <c r="B748" s="4"/>
      <c r="C748" s="4"/>
    </row>
    <row r="749" spans="1:3" ht="14.4">
      <c r="A749" s="4"/>
      <c r="B749" s="4"/>
      <c r="C749" s="4"/>
    </row>
    <row r="750" spans="1:3" ht="14.4">
      <c r="A750" s="4"/>
      <c r="B750" s="4"/>
      <c r="C750" s="4"/>
    </row>
    <row r="751" spans="1:3" ht="14.4">
      <c r="A751" s="4"/>
      <c r="B751" s="4"/>
      <c r="C751" s="4"/>
    </row>
    <row r="752" spans="1:3" ht="14.4">
      <c r="A752" s="4"/>
      <c r="B752" s="4"/>
      <c r="C752" s="4"/>
    </row>
    <row r="753" spans="1:3" ht="14.4">
      <c r="A753" s="4"/>
      <c r="B753" s="4"/>
      <c r="C753" s="4"/>
    </row>
    <row r="754" spans="1:3" ht="14.4">
      <c r="A754" s="4"/>
      <c r="B754" s="4"/>
      <c r="C754" s="4"/>
    </row>
    <row r="755" spans="1:3" ht="14.4">
      <c r="A755" s="4"/>
      <c r="B755" s="4"/>
      <c r="C755" s="4"/>
    </row>
    <row r="756" spans="1:3" ht="14.4">
      <c r="A756" s="4"/>
      <c r="B756" s="4"/>
      <c r="C756" s="4"/>
    </row>
    <row r="757" spans="1:3" ht="14.4">
      <c r="A757" s="4"/>
      <c r="B757" s="4"/>
      <c r="C757" s="4"/>
    </row>
    <row r="758" spans="1:3" ht="14.4">
      <c r="A758" s="4"/>
      <c r="B758" s="4"/>
      <c r="C758" s="4"/>
    </row>
    <row r="759" spans="1:3" ht="14.4">
      <c r="A759" s="4"/>
      <c r="B759" s="4"/>
      <c r="C759" s="4"/>
    </row>
    <row r="760" spans="1:3" ht="14.4">
      <c r="A760" s="4"/>
      <c r="B760" s="4"/>
      <c r="C760" s="4"/>
    </row>
    <row r="761" spans="1:3" ht="14.4">
      <c r="A761" s="4"/>
      <c r="B761" s="4"/>
      <c r="C761" s="4"/>
    </row>
    <row r="762" spans="1:3" ht="14.4">
      <c r="A762" s="4"/>
      <c r="B762" s="4"/>
      <c r="C762" s="4"/>
    </row>
    <row r="763" spans="1:3" ht="14.4">
      <c r="A763" s="4"/>
      <c r="B763" s="4"/>
      <c r="C763" s="4"/>
    </row>
    <row r="764" spans="1:3" ht="14.4">
      <c r="A764" s="4"/>
      <c r="B764" s="4"/>
      <c r="C764" s="4"/>
    </row>
    <row r="765" spans="1:3" ht="14.4">
      <c r="A765" s="4"/>
      <c r="B765" s="4"/>
      <c r="C765" s="4"/>
    </row>
    <row r="766" spans="1:3" ht="14.4">
      <c r="A766" s="4"/>
      <c r="B766" s="4"/>
      <c r="C766" s="4"/>
    </row>
    <row r="767" spans="1:3" ht="14.4">
      <c r="A767" s="4"/>
      <c r="B767" s="4"/>
      <c r="C767" s="4"/>
    </row>
    <row r="768" spans="1:3" ht="14.4">
      <c r="A768" s="4"/>
      <c r="B768" s="4"/>
      <c r="C768" s="4"/>
    </row>
    <row r="769" spans="1:3" ht="14.4">
      <c r="A769" s="4"/>
      <c r="B769" s="4"/>
      <c r="C769" s="4"/>
    </row>
    <row r="770" spans="1:3" ht="14.4">
      <c r="A770" s="4"/>
      <c r="B770" s="4"/>
      <c r="C770" s="4"/>
    </row>
    <row r="771" spans="1:3" ht="14.4">
      <c r="A771" s="4"/>
      <c r="B771" s="4"/>
      <c r="C771" s="4"/>
    </row>
    <row r="772" spans="1:3" ht="14.4">
      <c r="A772" s="4"/>
      <c r="B772" s="4"/>
      <c r="C772" s="4"/>
    </row>
    <row r="773" spans="1:3" ht="14.4">
      <c r="A773" s="4"/>
      <c r="B773" s="4"/>
      <c r="C773" s="4"/>
    </row>
    <row r="774" spans="1:3" ht="14.4">
      <c r="A774" s="4"/>
      <c r="B774" s="4"/>
      <c r="C774" s="4"/>
    </row>
    <row r="775" spans="1:3" ht="14.4">
      <c r="A775" s="4"/>
      <c r="B775" s="4"/>
      <c r="C775" s="4"/>
    </row>
    <row r="776" spans="1:3" ht="14.4">
      <c r="A776" s="4"/>
      <c r="B776" s="4"/>
      <c r="C776" s="4"/>
    </row>
    <row r="777" spans="1:3" ht="14.4">
      <c r="A777" s="4"/>
      <c r="B777" s="4"/>
      <c r="C777" s="4"/>
    </row>
    <row r="778" spans="1:3" ht="14.4">
      <c r="A778" s="4"/>
      <c r="B778" s="4"/>
      <c r="C778" s="4"/>
    </row>
    <row r="779" spans="1:3" ht="14.4">
      <c r="A779" s="4"/>
      <c r="B779" s="4"/>
      <c r="C779" s="4"/>
    </row>
    <row r="780" spans="1:3" ht="14.4">
      <c r="A780" s="4"/>
      <c r="B780" s="4"/>
      <c r="C780" s="4"/>
    </row>
    <row r="781" spans="1:3" ht="14.4">
      <c r="A781" s="4"/>
      <c r="B781" s="4"/>
      <c r="C781" s="4"/>
    </row>
    <row r="782" spans="1:3" ht="14.4">
      <c r="A782" s="4"/>
      <c r="B782" s="4"/>
      <c r="C782" s="4"/>
    </row>
    <row r="783" spans="1:3" ht="14.4">
      <c r="A783" s="4"/>
      <c r="B783" s="4"/>
      <c r="C783" s="4"/>
    </row>
    <row r="784" spans="1:3" ht="14.4">
      <c r="A784" s="4"/>
      <c r="B784" s="4"/>
      <c r="C784" s="4"/>
    </row>
    <row r="785" spans="1:3" ht="14.4">
      <c r="A785" s="4"/>
      <c r="B785" s="4"/>
      <c r="C785" s="4"/>
    </row>
    <row r="786" spans="1:3" ht="14.4">
      <c r="A786" s="4"/>
      <c r="B786" s="4"/>
      <c r="C786" s="4"/>
    </row>
    <row r="787" spans="1:3" ht="14.4">
      <c r="A787" s="4"/>
      <c r="B787" s="4"/>
      <c r="C787" s="4"/>
    </row>
    <row r="788" spans="1:3" ht="14.4">
      <c r="A788" s="4"/>
      <c r="B788" s="4"/>
      <c r="C788" s="4"/>
    </row>
    <row r="789" spans="1:3" ht="14.4">
      <c r="A789" s="4"/>
      <c r="B789" s="4"/>
      <c r="C789" s="4"/>
    </row>
    <row r="790" spans="1:3" ht="14.4">
      <c r="A790" s="4"/>
      <c r="B790" s="4"/>
      <c r="C790" s="4"/>
    </row>
    <row r="791" spans="1:3" ht="14.4">
      <c r="A791" s="4"/>
      <c r="B791" s="4"/>
      <c r="C791" s="4"/>
    </row>
    <row r="792" spans="1:3" ht="14.4">
      <c r="A792" s="4"/>
      <c r="B792" s="4"/>
      <c r="C792" s="4"/>
    </row>
    <row r="793" spans="1:3" ht="14.4">
      <c r="A793" s="4"/>
      <c r="B793" s="4"/>
      <c r="C793" s="4"/>
    </row>
    <row r="794" spans="1:3" ht="14.4">
      <c r="A794" s="4"/>
      <c r="B794" s="4"/>
      <c r="C794" s="4"/>
    </row>
    <row r="795" spans="1:3" ht="14.4">
      <c r="A795" s="4"/>
      <c r="B795" s="4"/>
      <c r="C795" s="4"/>
    </row>
    <row r="796" spans="1:3" ht="14.4">
      <c r="A796" s="4"/>
      <c r="B796" s="4"/>
      <c r="C796" s="4"/>
    </row>
    <row r="797" spans="1:3" ht="14.4">
      <c r="A797" s="4"/>
      <c r="B797" s="4"/>
      <c r="C797" s="4"/>
    </row>
    <row r="798" spans="1:3" ht="14.4">
      <c r="A798" s="4"/>
      <c r="B798" s="4"/>
      <c r="C798" s="4"/>
    </row>
    <row r="799" spans="1:3" ht="14.4">
      <c r="A799" s="4"/>
      <c r="B799" s="4"/>
      <c r="C799" s="4"/>
    </row>
    <row r="800" spans="1:3" ht="14.4">
      <c r="A800" s="4"/>
      <c r="B800" s="4"/>
      <c r="C800" s="4"/>
    </row>
    <row r="801" spans="1:3" ht="14.4">
      <c r="A801" s="4"/>
      <c r="B801" s="4"/>
      <c r="C801" s="4"/>
    </row>
    <row r="802" spans="1:3" ht="14.4">
      <c r="A802" s="4"/>
      <c r="B802" s="4"/>
      <c r="C802" s="4"/>
    </row>
    <row r="803" spans="1:3" ht="14.4">
      <c r="A803" s="4"/>
      <c r="B803" s="4"/>
      <c r="C803" s="4"/>
    </row>
    <row r="804" spans="1:3" ht="14.4">
      <c r="A804" s="4"/>
      <c r="B804" s="4"/>
      <c r="C804" s="4"/>
    </row>
    <row r="805" spans="1:3" ht="14.4">
      <c r="A805" s="4"/>
      <c r="B805" s="4"/>
      <c r="C805" s="4"/>
    </row>
    <row r="806" spans="1:3" ht="14.4">
      <c r="A806" s="4"/>
      <c r="B806" s="4"/>
      <c r="C806" s="4"/>
    </row>
    <row r="807" spans="1:3" ht="14.4">
      <c r="A807" s="4"/>
      <c r="B807" s="4"/>
      <c r="C807" s="4"/>
    </row>
    <row r="808" spans="1:3" ht="14.4">
      <c r="A808" s="4"/>
      <c r="B808" s="4"/>
      <c r="C808" s="4"/>
    </row>
    <row r="809" spans="1:3" ht="14.4">
      <c r="A809" s="4"/>
      <c r="B809" s="4"/>
      <c r="C809" s="4"/>
    </row>
    <row r="810" spans="1:3" ht="14.4">
      <c r="A810" s="4"/>
      <c r="B810" s="4"/>
      <c r="C810" s="4"/>
    </row>
    <row r="811" spans="1:3" ht="14.4">
      <c r="A811" s="4"/>
      <c r="B811" s="4"/>
      <c r="C811" s="4"/>
    </row>
    <row r="812" spans="1:3" ht="14.4">
      <c r="A812" s="4"/>
      <c r="B812" s="4"/>
      <c r="C812" s="4"/>
    </row>
    <row r="813" spans="1:3" ht="14.4">
      <c r="A813" s="4"/>
      <c r="B813" s="4"/>
      <c r="C813" s="4"/>
    </row>
    <row r="814" spans="1:3" ht="14.4">
      <c r="A814" s="4"/>
      <c r="B814" s="4"/>
      <c r="C814" s="4"/>
    </row>
    <row r="815" spans="1:3" ht="14.4">
      <c r="A815" s="4"/>
      <c r="B815" s="4"/>
      <c r="C815" s="4"/>
    </row>
    <row r="816" spans="1:3" ht="14.4">
      <c r="A816" s="4"/>
      <c r="B816" s="4"/>
      <c r="C816" s="4"/>
    </row>
    <row r="817" spans="1:3" ht="14.4">
      <c r="A817" s="4"/>
      <c r="B817" s="4"/>
      <c r="C817" s="4"/>
    </row>
    <row r="818" spans="1:3" ht="14.4">
      <c r="A818" s="4"/>
      <c r="B818" s="4"/>
      <c r="C818" s="4"/>
    </row>
    <row r="819" spans="1:3" ht="14.4">
      <c r="A819" s="4"/>
      <c r="B819" s="4"/>
      <c r="C819" s="4"/>
    </row>
    <row r="820" spans="1:3" ht="14.4">
      <c r="A820" s="4"/>
      <c r="B820" s="4"/>
      <c r="C820" s="4"/>
    </row>
    <row r="821" spans="1:3" ht="14.4">
      <c r="A821" s="4"/>
      <c r="B821" s="4"/>
      <c r="C821" s="4"/>
    </row>
    <row r="822" spans="1:3" ht="14.4">
      <c r="A822" s="4"/>
      <c r="B822" s="4"/>
      <c r="C822" s="4"/>
    </row>
    <row r="823" spans="1:3" ht="14.4">
      <c r="A823" s="4"/>
      <c r="B823" s="4"/>
      <c r="C823" s="4"/>
    </row>
    <row r="824" spans="1:3" ht="14.4">
      <c r="A824" s="4"/>
      <c r="B824" s="4"/>
      <c r="C824" s="4"/>
    </row>
    <row r="825" spans="1:3" ht="14.4">
      <c r="A825" s="4"/>
      <c r="B825" s="4"/>
      <c r="C825" s="4"/>
    </row>
    <row r="826" spans="1:3" ht="14.4">
      <c r="A826" s="4"/>
      <c r="B826" s="4"/>
      <c r="C826" s="4"/>
    </row>
    <row r="827" spans="1:3" ht="14.4">
      <c r="A827" s="4"/>
      <c r="B827" s="4"/>
      <c r="C827" s="4"/>
    </row>
    <row r="828" spans="1:3" ht="14.4">
      <c r="A828" s="4"/>
      <c r="B828" s="4"/>
      <c r="C828" s="4"/>
    </row>
    <row r="829" spans="1:3" ht="14.4">
      <c r="A829" s="4"/>
      <c r="B829" s="4"/>
      <c r="C829" s="4"/>
    </row>
    <row r="830" spans="1:3" ht="14.4">
      <c r="A830" s="4"/>
      <c r="B830" s="4"/>
      <c r="C830" s="4"/>
    </row>
    <row r="831" spans="1:3" ht="14.4">
      <c r="A831" s="4"/>
      <c r="B831" s="4"/>
      <c r="C831" s="4"/>
    </row>
    <row r="832" spans="1:3" ht="14.4">
      <c r="A832" s="4"/>
      <c r="B832" s="4"/>
      <c r="C832" s="4"/>
    </row>
    <row r="833" spans="1:3" ht="14.4">
      <c r="A833" s="4"/>
      <c r="B833" s="4"/>
      <c r="C833" s="4"/>
    </row>
    <row r="834" spans="1:3" ht="14.4">
      <c r="A834" s="4"/>
      <c r="B834" s="4"/>
      <c r="C834" s="4"/>
    </row>
    <row r="835" spans="1:3" ht="14.4">
      <c r="A835" s="4"/>
      <c r="B835" s="4"/>
      <c r="C835" s="4"/>
    </row>
    <row r="836" spans="1:3" ht="14.4">
      <c r="A836" s="4"/>
      <c r="B836" s="4"/>
      <c r="C836" s="4"/>
    </row>
    <row r="837" spans="1:3" ht="14.4">
      <c r="A837" s="4"/>
      <c r="B837" s="4"/>
      <c r="C837" s="4"/>
    </row>
    <row r="838" spans="1:3" ht="14.4">
      <c r="A838" s="4"/>
      <c r="B838" s="4"/>
      <c r="C838" s="4"/>
    </row>
    <row r="839" spans="1:3" ht="14.4">
      <c r="A839" s="4"/>
      <c r="B839" s="4"/>
      <c r="C839" s="4"/>
    </row>
    <row r="840" spans="1:3" ht="14.4">
      <c r="A840" s="4"/>
      <c r="B840" s="4"/>
      <c r="C840" s="4"/>
    </row>
    <row r="841" spans="1:3" ht="14.4">
      <c r="A841" s="4"/>
      <c r="B841" s="4"/>
      <c r="C841" s="4"/>
    </row>
    <row r="842" spans="1:3" ht="14.4">
      <c r="A842" s="4"/>
      <c r="B842" s="4"/>
      <c r="C842" s="4"/>
    </row>
    <row r="843" spans="1:3" ht="14.4">
      <c r="A843" s="4"/>
      <c r="B843" s="4"/>
      <c r="C843" s="4"/>
    </row>
    <row r="844" spans="1:3" ht="14.4">
      <c r="A844" s="4"/>
      <c r="B844" s="4"/>
      <c r="C844" s="4"/>
    </row>
    <row r="845" spans="1:3" ht="14.4">
      <c r="A845" s="4"/>
      <c r="B845" s="4"/>
      <c r="C845" s="4"/>
    </row>
    <row r="846" spans="1:3" ht="14.4">
      <c r="A846" s="4"/>
      <c r="B846" s="4"/>
      <c r="C846" s="4"/>
    </row>
    <row r="847" spans="1:3" ht="14.4">
      <c r="A847" s="4"/>
      <c r="B847" s="4"/>
      <c r="C847" s="4"/>
    </row>
    <row r="848" spans="1:3" ht="14.4">
      <c r="A848" s="4"/>
      <c r="B848" s="4"/>
      <c r="C848" s="4"/>
    </row>
    <row r="849" spans="1:3" ht="14.4">
      <c r="A849" s="4"/>
      <c r="B849" s="4"/>
      <c r="C849" s="4"/>
    </row>
    <row r="850" spans="1:3" ht="14.4">
      <c r="A850" s="4"/>
      <c r="B850" s="4"/>
      <c r="C850" s="4"/>
    </row>
    <row r="851" spans="1:3" ht="14.4">
      <c r="A851" s="4"/>
      <c r="B851" s="4"/>
      <c r="C851" s="4"/>
    </row>
    <row r="852" spans="1:3" ht="14.4">
      <c r="A852" s="4"/>
      <c r="B852" s="4"/>
      <c r="C852" s="4"/>
    </row>
    <row r="853" spans="1:3" ht="14.4">
      <c r="A853" s="4"/>
      <c r="B853" s="4"/>
      <c r="C853" s="4"/>
    </row>
    <row r="854" spans="1:3" ht="14.4">
      <c r="A854" s="4"/>
      <c r="B854" s="4"/>
      <c r="C854" s="4"/>
    </row>
    <row r="855" spans="1:3" ht="14.4">
      <c r="A855" s="4"/>
      <c r="B855" s="4"/>
      <c r="C855" s="4"/>
    </row>
    <row r="856" spans="1:3" ht="14.4">
      <c r="A856" s="4"/>
      <c r="B856" s="4"/>
      <c r="C856" s="4"/>
    </row>
    <row r="857" spans="1:3" ht="14.4">
      <c r="A857" s="4"/>
      <c r="B857" s="4"/>
      <c r="C857" s="4"/>
    </row>
    <row r="858" spans="1:3" ht="14.4">
      <c r="A858" s="4"/>
      <c r="B858" s="4"/>
      <c r="C858" s="4"/>
    </row>
    <row r="859" spans="1:3" ht="14.4">
      <c r="A859" s="4"/>
      <c r="B859" s="4"/>
      <c r="C859" s="4"/>
    </row>
    <row r="860" spans="1:3" ht="14.4">
      <c r="A860" s="4"/>
      <c r="B860" s="4"/>
      <c r="C860" s="4"/>
    </row>
    <row r="861" spans="1:3" ht="14.4">
      <c r="A861" s="4"/>
      <c r="B861" s="4"/>
      <c r="C861" s="4"/>
    </row>
    <row r="862" spans="1:3" ht="14.4">
      <c r="A862" s="4"/>
      <c r="B862" s="4"/>
      <c r="C862" s="4"/>
    </row>
    <row r="863" spans="1:3" ht="14.4">
      <c r="A863" s="4"/>
      <c r="B863" s="4"/>
      <c r="C863" s="4"/>
    </row>
    <row r="864" spans="1:3" ht="14.4">
      <c r="A864" s="4"/>
      <c r="B864" s="4"/>
      <c r="C864" s="4"/>
    </row>
    <row r="865" spans="1:3" ht="14.4">
      <c r="A865" s="4"/>
      <c r="B865" s="4"/>
      <c r="C865" s="4"/>
    </row>
    <row r="866" spans="1:3" ht="14.4">
      <c r="A866" s="4"/>
      <c r="B866" s="4"/>
      <c r="C866" s="4"/>
    </row>
    <row r="867" spans="1:3" ht="14.4">
      <c r="A867" s="4"/>
      <c r="B867" s="4"/>
      <c r="C867" s="4"/>
    </row>
    <row r="868" spans="1:3" ht="14.4">
      <c r="A868" s="4"/>
      <c r="B868" s="4"/>
      <c r="C868" s="4"/>
    </row>
    <row r="869" spans="1:3" ht="14.4">
      <c r="A869" s="4"/>
      <c r="B869" s="4"/>
      <c r="C869" s="4"/>
    </row>
    <row r="870" spans="1:3" ht="14.4">
      <c r="A870" s="4"/>
      <c r="B870" s="4"/>
      <c r="C870" s="4"/>
    </row>
    <row r="871" spans="1:3" ht="14.4">
      <c r="A871" s="4"/>
      <c r="B871" s="4"/>
      <c r="C871" s="4"/>
    </row>
    <row r="872" spans="1:3" ht="14.4">
      <c r="A872" s="4"/>
      <c r="B872" s="4"/>
      <c r="C872" s="4"/>
    </row>
    <row r="873" spans="1:3" ht="14.4">
      <c r="A873" s="4"/>
      <c r="B873" s="4"/>
      <c r="C873" s="4"/>
    </row>
    <row r="874" spans="1:3" ht="14.4">
      <c r="A874" s="4"/>
      <c r="B874" s="4"/>
      <c r="C874" s="4"/>
    </row>
    <row r="875" spans="1:3" ht="14.4">
      <c r="A875" s="4"/>
      <c r="B875" s="4"/>
      <c r="C875" s="4"/>
    </row>
    <row r="876" spans="1:3" ht="14.4">
      <c r="A876" s="4"/>
      <c r="B876" s="4"/>
      <c r="C876" s="4"/>
    </row>
    <row r="877" spans="1:3" ht="14.4">
      <c r="A877" s="4"/>
      <c r="B877" s="4"/>
      <c r="C877" s="4"/>
    </row>
    <row r="878" spans="1:3" ht="14.4">
      <c r="A878" s="4"/>
      <c r="B878" s="4"/>
      <c r="C878" s="4"/>
    </row>
    <row r="879" spans="1:3" ht="14.4">
      <c r="A879" s="4"/>
      <c r="B879" s="4"/>
      <c r="C879" s="4"/>
    </row>
    <row r="880" spans="1:3" ht="14.4">
      <c r="A880" s="4"/>
      <c r="B880" s="4"/>
      <c r="C880" s="4"/>
    </row>
    <row r="881" spans="1:3" ht="14.4">
      <c r="A881" s="4"/>
      <c r="B881" s="4"/>
      <c r="C881" s="4"/>
    </row>
    <row r="882" spans="1:3" ht="14.4">
      <c r="A882" s="4"/>
      <c r="B882" s="4"/>
      <c r="C882" s="4"/>
    </row>
    <row r="883" spans="1:3" ht="14.4">
      <c r="A883" s="4"/>
      <c r="B883" s="4"/>
      <c r="C883" s="4"/>
    </row>
    <row r="884" spans="1:3" ht="14.4">
      <c r="A884" s="4"/>
      <c r="B884" s="4"/>
      <c r="C884" s="4"/>
    </row>
    <row r="885" spans="1:3" ht="14.4">
      <c r="A885" s="4"/>
      <c r="B885" s="4"/>
      <c r="C885" s="4"/>
    </row>
    <row r="886" spans="1:3" ht="14.4">
      <c r="A886" s="4"/>
      <c r="B886" s="4"/>
      <c r="C886" s="4"/>
    </row>
    <row r="887" spans="1:3" ht="14.4">
      <c r="A887" s="4"/>
      <c r="B887" s="4"/>
      <c r="C887" s="4"/>
    </row>
    <row r="888" spans="1:3" ht="14.4">
      <c r="A888" s="4"/>
      <c r="B888" s="4"/>
      <c r="C888" s="4"/>
    </row>
    <row r="889" spans="1:3" ht="14.4">
      <c r="A889" s="4"/>
      <c r="B889" s="4"/>
      <c r="C889" s="4"/>
    </row>
    <row r="890" spans="1:3" ht="14.4">
      <c r="A890" s="4"/>
      <c r="B890" s="4"/>
      <c r="C890" s="4"/>
    </row>
    <row r="891" spans="1:3" ht="14.4">
      <c r="A891" s="4"/>
      <c r="B891" s="4"/>
      <c r="C891" s="4"/>
    </row>
    <row r="892" spans="1:3" ht="14.4">
      <c r="A892" s="4"/>
      <c r="B892" s="4"/>
      <c r="C892" s="4"/>
    </row>
    <row r="893" spans="1:3" ht="14.4">
      <c r="A893" s="4"/>
      <c r="B893" s="4"/>
      <c r="C893" s="4"/>
    </row>
    <row r="894" spans="1:3" ht="14.4">
      <c r="A894" s="4"/>
      <c r="B894" s="4"/>
      <c r="C894" s="4"/>
    </row>
    <row r="895" spans="1:3" ht="14.4">
      <c r="A895" s="4"/>
      <c r="B895" s="4"/>
      <c r="C895" s="4"/>
    </row>
    <row r="896" spans="1:3" ht="14.4">
      <c r="A896" s="4"/>
      <c r="B896" s="4"/>
      <c r="C896" s="4"/>
    </row>
    <row r="897" spans="1:3" ht="14.4">
      <c r="A897" s="4"/>
      <c r="B897" s="4"/>
      <c r="C897" s="4"/>
    </row>
    <row r="898" spans="1:3" ht="14.4">
      <c r="A898" s="4"/>
      <c r="B898" s="4"/>
      <c r="C898" s="4"/>
    </row>
    <row r="899" spans="1:3" ht="14.4">
      <c r="A899" s="4"/>
      <c r="B899" s="4"/>
      <c r="C899" s="4"/>
    </row>
    <row r="900" spans="1:3" ht="14.4">
      <c r="A900" s="4"/>
      <c r="B900" s="4"/>
      <c r="C900" s="4"/>
    </row>
    <row r="901" spans="1:3" ht="14.4">
      <c r="A901" s="4"/>
      <c r="B901" s="4"/>
      <c r="C901" s="4"/>
    </row>
    <row r="902" spans="1:3" ht="14.4">
      <c r="A902" s="4"/>
      <c r="B902" s="4"/>
      <c r="C902" s="4"/>
    </row>
    <row r="903" spans="1:3" ht="14.4">
      <c r="A903" s="4"/>
      <c r="B903" s="4"/>
      <c r="C903" s="4"/>
    </row>
    <row r="904" spans="1:3" ht="14.4">
      <c r="A904" s="4"/>
      <c r="B904" s="4"/>
      <c r="C904" s="4"/>
    </row>
    <row r="905" spans="1:3" ht="14.4">
      <c r="A905" s="4"/>
      <c r="B905" s="4"/>
      <c r="C905" s="4"/>
    </row>
    <row r="906" spans="1:3" ht="14.4">
      <c r="A906" s="4"/>
      <c r="B906" s="4"/>
      <c r="C906" s="4"/>
    </row>
    <row r="907" spans="1:3" ht="14.4">
      <c r="A907" s="4"/>
      <c r="B907" s="4"/>
      <c r="C907" s="4"/>
    </row>
    <row r="908" spans="1:3" ht="14.4">
      <c r="A908" s="4"/>
      <c r="B908" s="4"/>
      <c r="C908" s="4"/>
    </row>
    <row r="909" spans="1:3" ht="14.4">
      <c r="A909" s="4"/>
      <c r="B909" s="4"/>
      <c r="C909" s="4"/>
    </row>
    <row r="910" spans="1:3" ht="14.4">
      <c r="A910" s="4"/>
      <c r="B910" s="4"/>
      <c r="C910" s="4"/>
    </row>
    <row r="911" spans="1:3" ht="14.4">
      <c r="A911" s="4"/>
      <c r="B911" s="4"/>
      <c r="C911" s="4"/>
    </row>
    <row r="912" spans="1:3" ht="14.4">
      <c r="A912" s="4"/>
      <c r="B912" s="4"/>
      <c r="C912" s="4"/>
    </row>
    <row r="913" spans="1:3" ht="14.4">
      <c r="A913" s="4"/>
      <c r="B913" s="4"/>
      <c r="C913" s="4"/>
    </row>
    <row r="914" spans="1:3" ht="14.4">
      <c r="A914" s="4"/>
      <c r="B914" s="4"/>
      <c r="C914" s="4"/>
    </row>
    <row r="915" spans="1:3" ht="14.4">
      <c r="A915" s="4"/>
      <c r="B915" s="4"/>
      <c r="C915" s="4"/>
    </row>
    <row r="916" spans="1:3" ht="14.4">
      <c r="A916" s="4"/>
      <c r="B916" s="4"/>
      <c r="C916" s="4"/>
    </row>
    <row r="917" spans="1:3" ht="14.4">
      <c r="A917" s="4"/>
      <c r="B917" s="4"/>
      <c r="C917" s="4"/>
    </row>
    <row r="918" spans="1:3" ht="14.4">
      <c r="A918" s="4"/>
      <c r="B918" s="4"/>
      <c r="C918" s="4"/>
    </row>
    <row r="919" spans="1:3" ht="14.4">
      <c r="A919" s="4"/>
      <c r="B919" s="4"/>
      <c r="C919" s="4"/>
    </row>
    <row r="920" spans="1:3" ht="14.4">
      <c r="A920" s="4"/>
      <c r="B920" s="4"/>
      <c r="C920" s="4"/>
    </row>
    <row r="921" spans="1:3" ht="14.4">
      <c r="A921" s="4"/>
      <c r="B921" s="4"/>
      <c r="C921" s="4"/>
    </row>
    <row r="922" spans="1:3" ht="14.4">
      <c r="A922" s="4"/>
      <c r="B922" s="4"/>
      <c r="C922" s="4"/>
    </row>
    <row r="923" spans="1:3" ht="14.4">
      <c r="A923" s="4"/>
      <c r="B923" s="4"/>
      <c r="C923" s="4"/>
    </row>
    <row r="924" spans="1:3" ht="14.4">
      <c r="A924" s="4"/>
      <c r="B924" s="4"/>
      <c r="C924" s="4"/>
    </row>
    <row r="925" spans="1:3" ht="14.4">
      <c r="A925" s="4"/>
      <c r="B925" s="4"/>
      <c r="C925" s="4"/>
    </row>
    <row r="926" spans="1:3" ht="14.4">
      <c r="A926" s="4"/>
      <c r="B926" s="4"/>
      <c r="C926" s="4"/>
    </row>
    <row r="927" spans="1:3" ht="14.4">
      <c r="A927" s="4"/>
      <c r="B927" s="4"/>
      <c r="C927" s="4"/>
    </row>
    <row r="928" spans="1:3" ht="14.4">
      <c r="A928" s="4"/>
      <c r="B928" s="4"/>
      <c r="C928" s="4"/>
    </row>
    <row r="929" spans="1:3" ht="14.4">
      <c r="A929" s="4"/>
      <c r="B929" s="4"/>
      <c r="C929" s="4"/>
    </row>
    <row r="930" spans="1:3" ht="14.4">
      <c r="A930" s="4"/>
      <c r="B930" s="4"/>
      <c r="C930" s="4"/>
    </row>
    <row r="931" spans="1:3" ht="14.4">
      <c r="A931" s="4"/>
      <c r="B931" s="4"/>
      <c r="C931" s="4"/>
    </row>
    <row r="932" spans="1:3" ht="14.4">
      <c r="A932" s="4"/>
      <c r="B932" s="4"/>
      <c r="C932" s="4"/>
    </row>
    <row r="933" spans="1:3" ht="14.4">
      <c r="A933" s="4"/>
      <c r="B933" s="4"/>
      <c r="C933" s="4"/>
    </row>
    <row r="934" spans="1:3" ht="14.4">
      <c r="A934" s="4"/>
      <c r="B934" s="4"/>
      <c r="C934" s="4"/>
    </row>
    <row r="935" spans="1:3" ht="14.4">
      <c r="A935" s="4"/>
      <c r="B935" s="4"/>
      <c r="C935" s="4"/>
    </row>
    <row r="936" spans="1:3" ht="14.4">
      <c r="A936" s="4"/>
      <c r="B936" s="4"/>
      <c r="C936" s="4"/>
    </row>
    <row r="937" spans="1:3" ht="14.4">
      <c r="A937" s="4"/>
      <c r="B937" s="4"/>
      <c r="C937" s="4"/>
    </row>
    <row r="938" spans="1:3" ht="14.4">
      <c r="A938" s="4"/>
      <c r="B938" s="4"/>
      <c r="C938" s="4"/>
    </row>
    <row r="939" spans="1:3" ht="14.4">
      <c r="A939" s="4"/>
      <c r="B939" s="4"/>
      <c r="C939" s="4"/>
    </row>
    <row r="940" spans="1:3" ht="14.4">
      <c r="A940" s="4"/>
      <c r="B940" s="4"/>
      <c r="C940" s="4"/>
    </row>
    <row r="941" spans="1:3" ht="14.4">
      <c r="A941" s="4"/>
      <c r="B941" s="4"/>
      <c r="C941" s="4"/>
    </row>
    <row r="942" spans="1:3" ht="14.4">
      <c r="A942" s="4"/>
      <c r="B942" s="4"/>
      <c r="C942" s="4"/>
    </row>
    <row r="943" spans="1:3" ht="14.4">
      <c r="A943" s="4"/>
      <c r="B943" s="4"/>
      <c r="C943" s="4"/>
    </row>
    <row r="944" spans="1:3" ht="14.4">
      <c r="A944" s="4"/>
      <c r="B944" s="4"/>
      <c r="C944" s="4"/>
    </row>
    <row r="945" spans="1:3" ht="14.4">
      <c r="A945" s="4"/>
      <c r="B945" s="4"/>
      <c r="C945" s="4"/>
    </row>
    <row r="946" spans="1:3" ht="14.4">
      <c r="A946" s="4"/>
      <c r="B946" s="4"/>
      <c r="C946" s="4"/>
    </row>
    <row r="947" spans="1:3" ht="14.4">
      <c r="A947" s="4"/>
      <c r="B947" s="4"/>
      <c r="C947" s="4"/>
    </row>
    <row r="948" spans="1:3" ht="14.4">
      <c r="A948" s="4"/>
      <c r="B948" s="4"/>
      <c r="C948" s="4"/>
    </row>
    <row r="949" spans="1:3" ht="14.4">
      <c r="A949" s="4"/>
      <c r="B949" s="4"/>
      <c r="C949" s="4"/>
    </row>
    <row r="950" spans="1:3" ht="14.4">
      <c r="A950" s="4"/>
      <c r="B950" s="4"/>
      <c r="C950" s="4"/>
    </row>
    <row r="951" spans="1:3" ht="14.4">
      <c r="A951" s="4"/>
      <c r="B951" s="4"/>
      <c r="C951" s="4"/>
    </row>
    <row r="952" spans="1:3" ht="14.4">
      <c r="A952" s="4"/>
      <c r="B952" s="4"/>
      <c r="C952" s="4"/>
    </row>
    <row r="953" spans="1:3" ht="14.4">
      <c r="A953" s="4"/>
      <c r="B953" s="4"/>
      <c r="C953" s="4"/>
    </row>
    <row r="954" spans="1:3" ht="14.4">
      <c r="A954" s="4"/>
      <c r="B954" s="4"/>
      <c r="C954" s="4"/>
    </row>
    <row r="955" spans="1:3" ht="14.4">
      <c r="A955" s="4"/>
      <c r="B955" s="4"/>
      <c r="C955" s="4"/>
    </row>
    <row r="956" spans="1:3" ht="14.4">
      <c r="A956" s="4"/>
      <c r="B956" s="4"/>
      <c r="C956" s="4"/>
    </row>
    <row r="957" spans="1:3" ht="14.4">
      <c r="A957" s="4"/>
      <c r="B957" s="4"/>
      <c r="C957" s="4"/>
    </row>
    <row r="958" spans="1:3" ht="14.4">
      <c r="A958" s="4"/>
      <c r="B958" s="4"/>
      <c r="C958" s="4"/>
    </row>
    <row r="959" spans="1:3" ht="14.4">
      <c r="A959" s="4"/>
      <c r="B959" s="4"/>
      <c r="C959" s="4"/>
    </row>
    <row r="960" spans="1:3" ht="14.4">
      <c r="A960" s="4"/>
      <c r="B960" s="4"/>
      <c r="C960" s="4"/>
    </row>
    <row r="961" spans="1:3" ht="14.4">
      <c r="A961" s="4"/>
      <c r="B961" s="4"/>
      <c r="C961" s="4"/>
    </row>
    <row r="962" spans="1:3" ht="14.4">
      <c r="A962" s="4"/>
      <c r="B962" s="4"/>
      <c r="C962" s="4"/>
    </row>
    <row r="963" spans="1:3" ht="14.4">
      <c r="A963" s="4"/>
      <c r="B963" s="4"/>
      <c r="C963" s="4"/>
    </row>
    <row r="964" spans="1:3" ht="14.4">
      <c r="A964" s="4"/>
      <c r="B964" s="4"/>
      <c r="C964" s="4"/>
    </row>
    <row r="965" spans="1:3" ht="14.4">
      <c r="A965" s="4"/>
      <c r="B965" s="4"/>
      <c r="C965" s="4"/>
    </row>
    <row r="966" spans="1:3" ht="14.4">
      <c r="A966" s="4"/>
      <c r="B966" s="4"/>
      <c r="C966" s="4"/>
    </row>
    <row r="967" spans="1:3" ht="14.4">
      <c r="A967" s="4"/>
      <c r="B967" s="4"/>
      <c r="C967" s="4"/>
    </row>
    <row r="968" spans="1:3" ht="14.4">
      <c r="A968" s="4"/>
      <c r="B968" s="4"/>
      <c r="C968" s="4"/>
    </row>
    <row r="969" spans="1:3" ht="14.4">
      <c r="A969" s="4"/>
      <c r="B969" s="4"/>
      <c r="C969" s="4"/>
    </row>
    <row r="970" spans="1:3" ht="14.4">
      <c r="A970" s="4"/>
      <c r="B970" s="4"/>
      <c r="C970" s="4"/>
    </row>
    <row r="971" spans="1:3" ht="14.4">
      <c r="A971" s="4"/>
      <c r="B971" s="4"/>
      <c r="C971" s="4"/>
    </row>
    <row r="972" spans="1:3" ht="14.4">
      <c r="A972" s="4"/>
      <c r="B972" s="4"/>
      <c r="C972" s="4"/>
    </row>
    <row r="973" spans="1:3" ht="14.4">
      <c r="A973" s="4"/>
      <c r="B973" s="4"/>
      <c r="C973" s="4"/>
    </row>
    <row r="974" spans="1:3" ht="14.4">
      <c r="A974" s="4"/>
      <c r="B974" s="4"/>
      <c r="C974" s="4"/>
    </row>
    <row r="975" spans="1:3" ht="14.4">
      <c r="A975" s="4"/>
      <c r="B975" s="4"/>
      <c r="C975" s="4"/>
    </row>
    <row r="976" spans="1:3" ht="14.4">
      <c r="A976" s="4"/>
      <c r="B976" s="4"/>
      <c r="C976" s="4"/>
    </row>
    <row r="977" spans="1:3" ht="14.4">
      <c r="A977" s="4"/>
      <c r="B977" s="4"/>
      <c r="C977" s="4"/>
    </row>
    <row r="978" spans="1:3" ht="14.4">
      <c r="A978" s="4"/>
      <c r="B978" s="4"/>
      <c r="C978" s="4"/>
    </row>
    <row r="979" spans="1:3" ht="14.4">
      <c r="A979" s="4"/>
      <c r="B979" s="4"/>
      <c r="C979" s="4"/>
    </row>
    <row r="980" spans="1:3" ht="14.4">
      <c r="A980" s="4"/>
      <c r="B980" s="4"/>
      <c r="C980" s="4"/>
    </row>
    <row r="981" spans="1:3" ht="14.4">
      <c r="A981" s="4"/>
      <c r="B981" s="4"/>
      <c r="C981" s="4"/>
    </row>
    <row r="982" spans="1:3" ht="14.4">
      <c r="A982" s="4"/>
      <c r="B982" s="4"/>
      <c r="C982" s="4"/>
    </row>
    <row r="983" spans="1:3" ht="14.4">
      <c r="A983" s="4"/>
      <c r="B983" s="4"/>
      <c r="C983" s="4"/>
    </row>
    <row r="984" spans="1:3" ht="14.4">
      <c r="A984" s="4"/>
      <c r="B984" s="4"/>
      <c r="C984" s="4"/>
    </row>
    <row r="985" spans="1:3" ht="14.4">
      <c r="A985" s="4"/>
      <c r="B985" s="4"/>
      <c r="C985" s="4"/>
    </row>
    <row r="986" spans="1:3" ht="14.4">
      <c r="A986" s="4"/>
      <c r="B986" s="4"/>
      <c r="C986" s="4"/>
    </row>
    <row r="987" spans="1:3" ht="14.4">
      <c r="A987" s="4"/>
      <c r="B987" s="4"/>
      <c r="C987" s="4"/>
    </row>
    <row r="988" spans="1:3" ht="14.4">
      <c r="A988" s="4"/>
      <c r="B988" s="4"/>
      <c r="C988" s="4"/>
    </row>
    <row r="989" spans="1:3" ht="14.4">
      <c r="A989" s="4"/>
      <c r="B989" s="4"/>
      <c r="C989" s="4"/>
    </row>
    <row r="990" spans="1:3" ht="14.4">
      <c r="A990" s="4"/>
      <c r="B990" s="4"/>
      <c r="C990" s="4"/>
    </row>
    <row r="991" spans="1:3" ht="14.4">
      <c r="A991" s="4"/>
      <c r="B991" s="4"/>
      <c r="C991" s="4"/>
    </row>
    <row r="992" spans="1:3" ht="14.4">
      <c r="A992" s="4"/>
      <c r="B992" s="4"/>
      <c r="C992" s="4"/>
    </row>
    <row r="993" spans="1:3" ht="14.4">
      <c r="A993" s="4"/>
      <c r="B993" s="4"/>
      <c r="C993" s="4"/>
    </row>
    <row r="994" spans="1:3" ht="14.4">
      <c r="A994" s="4"/>
      <c r="B994" s="4"/>
      <c r="C994" s="4"/>
    </row>
    <row r="995" spans="1:3" ht="14.4">
      <c r="A995" s="4"/>
      <c r="B995" s="4"/>
      <c r="C995" s="4"/>
    </row>
    <row r="996" spans="1:3" ht="14.4">
      <c r="A996" s="4"/>
      <c r="B996" s="4"/>
      <c r="C996" s="4"/>
    </row>
    <row r="997" spans="1:3" ht="14.4">
      <c r="A997" s="4"/>
      <c r="B997" s="4"/>
      <c r="C997" s="4"/>
    </row>
    <row r="998" spans="1:3" ht="14.4">
      <c r="A998" s="4"/>
      <c r="B998" s="4"/>
      <c r="C998" s="4"/>
    </row>
    <row r="999" spans="1:3" ht="14.4">
      <c r="A999" s="4"/>
      <c r="B999" s="4"/>
      <c r="C999" s="4"/>
    </row>
    <row r="1000" spans="1:3" ht="14.4">
      <c r="A1000" s="4"/>
      <c r="B1000" s="4"/>
      <c r="C1000" s="4"/>
    </row>
    <row r="1001" spans="1:3" ht="14.4">
      <c r="A1001" s="4"/>
      <c r="B1001" s="4"/>
      <c r="C1001" s="4"/>
    </row>
    <row r="1002" spans="1:3" ht="14.4">
      <c r="A1002" s="4"/>
      <c r="B1002" s="4"/>
      <c r="C1002" s="4"/>
    </row>
    <row r="1003" spans="1:3" ht="14.4">
      <c r="A1003" s="4"/>
      <c r="B1003" s="4"/>
      <c r="C1003" s="4"/>
    </row>
    <row r="1004" spans="1:3" ht="14.4">
      <c r="A1004" s="4"/>
      <c r="B1004" s="4"/>
      <c r="C1004" s="4"/>
    </row>
    <row r="1005" spans="1:3" ht="14.4">
      <c r="A1005" s="4"/>
      <c r="B1005" s="4"/>
      <c r="C1005" s="4"/>
    </row>
    <row r="1006" spans="1:3" ht="14.4">
      <c r="A1006" s="4"/>
      <c r="B1006" s="4"/>
      <c r="C1006" s="4"/>
    </row>
    <row r="1007" spans="1:3" ht="14.4">
      <c r="A1007" s="4"/>
      <c r="B1007" s="4"/>
      <c r="C1007" s="4"/>
    </row>
    <row r="1008" spans="1:3" ht="14.4">
      <c r="A1008" s="4"/>
      <c r="B1008" s="4"/>
      <c r="C1008" s="4"/>
    </row>
    <row r="1009" spans="1:3" ht="14.4">
      <c r="A1009" s="4"/>
      <c r="B1009" s="4"/>
      <c r="C1009" s="4"/>
    </row>
    <row r="1010" spans="1:3" ht="14.4">
      <c r="A1010" s="4"/>
      <c r="B1010" s="4"/>
      <c r="C1010" s="4"/>
    </row>
    <row r="1011" spans="1:3" ht="14.4">
      <c r="A1011" s="4"/>
      <c r="B1011" s="4"/>
      <c r="C1011" s="4"/>
    </row>
    <row r="1012" spans="1:3" ht="14.4">
      <c r="A1012" s="4"/>
      <c r="B1012" s="4"/>
      <c r="C1012" s="4"/>
    </row>
    <row r="1013" spans="1:3" ht="14.4">
      <c r="A1013" s="4"/>
      <c r="B1013" s="4"/>
      <c r="C1013" s="4"/>
    </row>
    <row r="1014" spans="1:3" ht="14.4">
      <c r="A1014" s="4"/>
      <c r="B1014" s="4"/>
      <c r="C1014" s="4"/>
    </row>
    <row r="1015" spans="1:3" ht="14.4">
      <c r="A1015" s="4"/>
      <c r="B1015" s="4"/>
      <c r="C1015" s="4"/>
    </row>
    <row r="1016" spans="1:3" ht="14.4">
      <c r="A1016" s="4"/>
      <c r="B1016" s="4"/>
      <c r="C1016" s="4"/>
    </row>
    <row r="1017" spans="1:3" ht="14.4">
      <c r="A1017" s="4"/>
      <c r="B1017" s="4"/>
      <c r="C1017" s="4"/>
    </row>
    <row r="1018" spans="1:3" ht="14.4">
      <c r="A1018" s="4"/>
      <c r="B1018" s="4"/>
      <c r="C1018" s="4"/>
    </row>
    <row r="1019" spans="1:3" ht="14.4">
      <c r="A1019" s="4"/>
      <c r="B1019" s="4"/>
      <c r="C1019" s="4"/>
    </row>
  </sheetData>
  <mergeCells count="26">
    <mergeCell ref="A29:A32"/>
    <mergeCell ref="C15:C17"/>
    <mergeCell ref="C29:C32"/>
    <mergeCell ref="A18:A20"/>
    <mergeCell ref="A15:A17"/>
    <mergeCell ref="A2:A14"/>
    <mergeCell ref="C2:C14"/>
    <mergeCell ref="C18:C20"/>
    <mergeCell ref="A25:A28"/>
    <mergeCell ref="A21:A22"/>
    <mergeCell ref="A23:A24"/>
    <mergeCell ref="C21:C22"/>
    <mergeCell ref="C23:C24"/>
    <mergeCell ref="C25:C28"/>
    <mergeCell ref="A48:A50"/>
    <mergeCell ref="C54:C55"/>
    <mergeCell ref="C51:C53"/>
    <mergeCell ref="C56:C59"/>
    <mergeCell ref="A33:A36"/>
    <mergeCell ref="C33:C36"/>
    <mergeCell ref="A37:A47"/>
    <mergeCell ref="C37:C47"/>
    <mergeCell ref="A54:A55"/>
    <mergeCell ref="C48:C50"/>
    <mergeCell ref="A51:A53"/>
    <mergeCell ref="A56:A59"/>
  </mergeCells>
  <hyperlinks>
    <hyperlink ref="C2" r:id="rId1" xr:uid="{00000000-0004-0000-0700-000000000000}"/>
    <hyperlink ref="C15" r:id="rId2" xr:uid="{00000000-0004-0000-07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TN</vt:lpstr>
      <vt:lpstr>Dontu</vt:lpstr>
      <vt:lpstr>Infor</vt:lpstr>
      <vt:lpstr>HP</vt:lpstr>
      <vt:lpstr>RenLuyen</vt:lpstr>
      <vt:lpstr>TC_MH</vt:lpstr>
      <vt:lpstr>Khác</vt:lpstr>
      <vt:lpstr>LT_VL</vt:lpstr>
      <vt:lpstr>LỌC</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Huu Thuat (Data and Analytics Center - HO)</dc:creator>
  <cp:lastModifiedBy>Nguyen Huu Thuat (Data and Analytics Center - HO)</cp:lastModifiedBy>
  <dcterms:created xsi:type="dcterms:W3CDTF">2024-03-27T14:14:42Z</dcterms:created>
  <dcterms:modified xsi:type="dcterms:W3CDTF">2024-04-04T16:44:41Z</dcterms:modified>
</cp:coreProperties>
</file>