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nguyenducnhat/Desktop/"/>
    </mc:Choice>
  </mc:AlternateContent>
  <bookViews>
    <workbookView xWindow="0" yWindow="460" windowWidth="28800" windowHeight="16080" firstSheet="3" activeTab="11"/>
  </bookViews>
  <sheets>
    <sheet name="1" sheetId="1" r:id="rId1"/>
    <sheet name="Trich Loc1" sheetId="16" r:id="rId2"/>
    <sheet name="2" sheetId="2" r:id="rId3"/>
    <sheet name="3" sheetId="3" r:id="rId4"/>
    <sheet name="GiaoKhoa" sheetId="17" r:id="rId5"/>
    <sheet name="4" sheetId="4" r:id="rId6"/>
    <sheet name="5" sheetId="5" r:id="rId7"/>
    <sheet name="TrichLoc&gt;100KW" sheetId="18" r:id="rId8"/>
    <sheet name="6" sheetId="6" r:id="rId9"/>
    <sheet name="7" sheetId="7" r:id="rId10"/>
    <sheet name="NV" sheetId="23" r:id="rId11"/>
    <sheet name="8" sheetId="8" r:id="rId12"/>
    <sheet name="9" sheetId="9" r:id="rId13"/>
    <sheet name="B1" sheetId="22" r:id="rId14"/>
    <sheet name="10" sheetId="10" r:id="rId15"/>
    <sheet name="GM" sheetId="21" r:id="rId16"/>
    <sheet name="11" sheetId="11" r:id="rId17"/>
    <sheet name="12" sheetId="12" r:id="rId18"/>
    <sheet name="13" sheetId="13" r:id="rId19"/>
    <sheet name="KT" sheetId="20" r:id="rId20"/>
    <sheet name="14" sheetId="14" r:id="rId21"/>
    <sheet name="S12" sheetId="19" r:id="rId22"/>
    <sheet name="15" sheetId="15" r:id="rId23"/>
  </sheets>
  <definedNames>
    <definedName name="_xlnm._FilterDatabase" localSheetId="0" hidden="1">'1'!$A$2:$H$8</definedName>
    <definedName name="_xlnm._FilterDatabase" localSheetId="3" hidden="1">'3'!$A$2:$J$9</definedName>
    <definedName name="_xlnm._FilterDatabase" localSheetId="5" hidden="1">'4'!$A$3:$J$16</definedName>
    <definedName name="_xlnm._FilterDatabase" localSheetId="6" hidden="1">'5'!$A$2:$K$8</definedName>
    <definedName name="_xlnm._FilterDatabase" localSheetId="11" hidden="1">'8'!$A$2:$L$11</definedName>
    <definedName name="_xlnm._FilterDatabase" localSheetId="12" hidden="1">'9'!$A$2:$H$12</definedName>
    <definedName name="_xlnm._FilterDatabase" localSheetId="13" hidden="1">'B1'!$B$3:$C$8</definedName>
    <definedName name="_xlnm._FilterDatabase" localSheetId="21" hidden="1">'S12'!$A$2:$I$11</definedName>
    <definedName name="_xlnm.Criteria" localSheetId="0">'1'!$J$5:$K$6</definedName>
    <definedName name="_xlnm.Criteria" localSheetId="13">'B1'!$G$3:$H$4</definedName>
    <definedName name="_xlnm.Criteria" localSheetId="15">GM!$G$2:$G$3</definedName>
    <definedName name="_xlnm.Criteria" localSheetId="19">KT!$I$2:$I$3</definedName>
    <definedName name="_xlnm.Criteria" localSheetId="10">NV!$G$4:$H$5</definedName>
    <definedName name="_xlnm.Criteria" localSheetId="21">'S12'!$L$2:$M$3</definedName>
    <definedName name="_xlnm.Criteria" localSheetId="7">'TrichLoc&gt;100KW'!$N$3:$N$4</definedName>
    <definedName name="_xlnm.Extract" localSheetId="0">'1'!$J$14:$Q$14</definedName>
    <definedName name="_xlnm.Extract" localSheetId="13">'B1'!$B$3:$C$3</definedName>
    <definedName name="_xlnm.Extract" localSheetId="15">GM!$B$3:$D$3</definedName>
    <definedName name="_xlnm.Extract" localSheetId="19">KT!$B$2:$D$2</definedName>
    <definedName name="_xlnm.Extract" localSheetId="10">NV!$B$4:$E$4</definedName>
    <definedName name="_xlnm.Extract" localSheetId="21">'S12'!$B$2:$J$2</definedName>
    <definedName name="_xlnm.Extract" localSheetId="7">'TrichLoc&gt;100KW'!$B$3:$L$3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3" i="7"/>
  <c r="I4" i="7"/>
  <c r="I5" i="7"/>
  <c r="I6" i="7"/>
  <c r="I7" i="7"/>
  <c r="I8" i="7"/>
  <c r="I9" i="7"/>
  <c r="I3" i="7"/>
  <c r="H4" i="7"/>
  <c r="H5" i="7"/>
  <c r="H6" i="7"/>
  <c r="H7" i="7"/>
  <c r="H8" i="7"/>
  <c r="H9" i="7"/>
  <c r="H3" i="7"/>
  <c r="G4" i="7"/>
  <c r="G5" i="7"/>
  <c r="G6" i="7"/>
  <c r="G7" i="7"/>
  <c r="G8" i="7"/>
  <c r="G9" i="7"/>
  <c r="G3" i="7"/>
  <c r="F4" i="7"/>
  <c r="F5" i="7"/>
  <c r="F6" i="7"/>
  <c r="F7" i="7"/>
  <c r="F8" i="7"/>
  <c r="F9" i="7"/>
  <c r="F3" i="7"/>
  <c r="G4" i="22"/>
  <c r="H4" i="9"/>
  <c r="H5" i="9"/>
  <c r="H6" i="9"/>
  <c r="H7" i="9"/>
  <c r="H8" i="9"/>
  <c r="H9" i="9"/>
  <c r="H10" i="9"/>
  <c r="H11" i="9"/>
  <c r="H12" i="9"/>
  <c r="H3" i="9"/>
  <c r="G4" i="9"/>
  <c r="G5" i="9"/>
  <c r="G6" i="9"/>
  <c r="G7" i="9"/>
  <c r="G8" i="9"/>
  <c r="G9" i="9"/>
  <c r="G10" i="9"/>
  <c r="G11" i="9"/>
  <c r="G12" i="9"/>
  <c r="G3" i="9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C4" i="9"/>
  <c r="C5" i="9"/>
  <c r="C6" i="9"/>
  <c r="C7" i="9"/>
  <c r="C8" i="9"/>
  <c r="C9" i="9"/>
  <c r="C10" i="9"/>
  <c r="C11" i="9"/>
  <c r="C12" i="9"/>
  <c r="C3" i="9"/>
  <c r="B4" i="9"/>
  <c r="B5" i="9"/>
  <c r="B6" i="9"/>
  <c r="B7" i="9"/>
  <c r="B8" i="9"/>
  <c r="B9" i="9"/>
  <c r="B10" i="9"/>
  <c r="B11" i="9"/>
  <c r="B12" i="9"/>
  <c r="B3" i="9"/>
  <c r="B4" i="10"/>
  <c r="D4" i="10"/>
  <c r="F4" i="10"/>
  <c r="G4" i="10"/>
  <c r="H4" i="10"/>
  <c r="B5" i="10"/>
  <c r="D5" i="10"/>
  <c r="F5" i="10"/>
  <c r="G5" i="10"/>
  <c r="H5" i="10"/>
  <c r="B6" i="10"/>
  <c r="D6" i="10"/>
  <c r="F6" i="10"/>
  <c r="G6" i="10"/>
  <c r="H6" i="10"/>
  <c r="B7" i="10"/>
  <c r="D7" i="10"/>
  <c r="F7" i="10"/>
  <c r="G7" i="10"/>
  <c r="H7" i="10"/>
  <c r="B8" i="10"/>
  <c r="D8" i="10"/>
  <c r="F8" i="10"/>
  <c r="G8" i="10"/>
  <c r="H8" i="10"/>
  <c r="B9" i="10"/>
  <c r="D9" i="10"/>
  <c r="F9" i="10"/>
  <c r="G9" i="10"/>
  <c r="H9" i="10"/>
  <c r="B10" i="10"/>
  <c r="D10" i="10"/>
  <c r="F10" i="10"/>
  <c r="G10" i="10"/>
  <c r="H10" i="10"/>
  <c r="B11" i="10"/>
  <c r="D11" i="10"/>
  <c r="F11" i="10"/>
  <c r="G11" i="10"/>
  <c r="H11" i="10"/>
  <c r="B12" i="10"/>
  <c r="D12" i="10"/>
  <c r="F12" i="10"/>
  <c r="G12" i="10"/>
  <c r="H12" i="10"/>
  <c r="B3" i="10"/>
  <c r="D3" i="10"/>
  <c r="F3" i="10"/>
  <c r="G3" i="10"/>
  <c r="H3" i="10"/>
  <c r="B9" i="12"/>
  <c r="C9" i="12"/>
  <c r="D9" i="12"/>
  <c r="B7" i="12"/>
  <c r="C7" i="12"/>
  <c r="D7" i="12"/>
  <c r="C12" i="10"/>
  <c r="C4" i="10"/>
  <c r="C5" i="10"/>
  <c r="C6" i="10"/>
  <c r="C7" i="10"/>
  <c r="C8" i="10"/>
  <c r="C9" i="10"/>
  <c r="C10" i="10"/>
  <c r="C11" i="10"/>
  <c r="C3" i="10"/>
  <c r="C7" i="11"/>
  <c r="F7" i="11"/>
  <c r="E7" i="11"/>
  <c r="H7" i="11"/>
  <c r="I7" i="11"/>
  <c r="C5" i="11"/>
  <c r="F5" i="11"/>
  <c r="E5" i="11"/>
  <c r="H5" i="11"/>
  <c r="I5" i="11"/>
  <c r="C6" i="11"/>
  <c r="F6" i="11"/>
  <c r="E6" i="11"/>
  <c r="H6" i="11"/>
  <c r="I6" i="11"/>
  <c r="C8" i="11"/>
  <c r="F8" i="11"/>
  <c r="E8" i="11"/>
  <c r="H8" i="11"/>
  <c r="I8" i="11"/>
  <c r="C9" i="11"/>
  <c r="F9" i="11"/>
  <c r="E9" i="11"/>
  <c r="H9" i="11"/>
  <c r="I9" i="11"/>
  <c r="C10" i="11"/>
  <c r="F10" i="11"/>
  <c r="E10" i="11"/>
  <c r="H10" i="11"/>
  <c r="I10" i="11"/>
  <c r="C11" i="11"/>
  <c r="F11" i="11"/>
  <c r="E11" i="11"/>
  <c r="H11" i="11"/>
  <c r="I11" i="11"/>
  <c r="C4" i="11"/>
  <c r="F4" i="11"/>
  <c r="E4" i="11"/>
  <c r="H4" i="11"/>
  <c r="I4" i="11"/>
  <c r="D5" i="11"/>
  <c r="D6" i="11"/>
  <c r="D7" i="11"/>
  <c r="D8" i="11"/>
  <c r="D9" i="11"/>
  <c r="D10" i="11"/>
  <c r="D11" i="11"/>
  <c r="D4" i="11"/>
  <c r="B3" i="12"/>
  <c r="B4" i="12"/>
  <c r="B5" i="12"/>
  <c r="B6" i="12"/>
  <c r="B8" i="12"/>
  <c r="B10" i="12"/>
  <c r="B11" i="12"/>
  <c r="B12" i="12"/>
  <c r="C3" i="12"/>
  <c r="D3" i="12"/>
  <c r="F3" i="12"/>
  <c r="H3" i="12"/>
  <c r="I3" i="12"/>
  <c r="C4" i="12"/>
  <c r="D4" i="12"/>
  <c r="F4" i="12"/>
  <c r="H4" i="12"/>
  <c r="I4" i="12"/>
  <c r="C5" i="12"/>
  <c r="D5" i="12"/>
  <c r="F5" i="12"/>
  <c r="H5" i="12"/>
  <c r="I5" i="12"/>
  <c r="C6" i="12"/>
  <c r="D6" i="12"/>
  <c r="F6" i="12"/>
  <c r="H6" i="12"/>
  <c r="I6" i="12"/>
  <c r="F7" i="12"/>
  <c r="H7" i="12"/>
  <c r="I7" i="12"/>
  <c r="C8" i="12"/>
  <c r="D8" i="12"/>
  <c r="F8" i="12"/>
  <c r="H8" i="12"/>
  <c r="I8" i="12"/>
  <c r="F9" i="12"/>
  <c r="H9" i="12"/>
  <c r="I9" i="12"/>
  <c r="C10" i="12"/>
  <c r="D10" i="12"/>
  <c r="F10" i="12"/>
  <c r="H10" i="12"/>
  <c r="I10" i="12"/>
  <c r="C11" i="12"/>
  <c r="D11" i="12"/>
  <c r="F11" i="12"/>
  <c r="H11" i="12"/>
  <c r="I11" i="12"/>
  <c r="C12" i="12"/>
  <c r="D12" i="12"/>
  <c r="F12" i="12"/>
  <c r="H12" i="12"/>
  <c r="I12" i="12"/>
  <c r="C24" i="12"/>
  <c r="D24" i="12"/>
  <c r="B24" i="12"/>
  <c r="C5" i="6"/>
  <c r="C4" i="6"/>
  <c r="C6" i="6"/>
  <c r="C7" i="6"/>
  <c r="C8" i="6"/>
  <c r="C9" i="6"/>
  <c r="C10" i="6"/>
  <c r="C11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H18" i="6"/>
  <c r="H19" i="6"/>
  <c r="H20" i="6"/>
  <c r="H21" i="6"/>
  <c r="E7" i="13"/>
  <c r="G7" i="13"/>
  <c r="H7" i="13"/>
  <c r="I7" i="13"/>
  <c r="E3" i="13"/>
  <c r="G3" i="13"/>
  <c r="H3" i="13"/>
  <c r="I3" i="13"/>
  <c r="E9" i="13"/>
  <c r="G9" i="13"/>
  <c r="H9" i="13"/>
  <c r="I9" i="13"/>
  <c r="E4" i="13"/>
  <c r="G4" i="13"/>
  <c r="H4" i="13"/>
  <c r="I4" i="13"/>
  <c r="E5" i="13"/>
  <c r="G5" i="13"/>
  <c r="H5" i="13"/>
  <c r="I5" i="13"/>
  <c r="E8" i="13"/>
  <c r="G8" i="13"/>
  <c r="H8" i="13"/>
  <c r="I8" i="13"/>
  <c r="E10" i="13"/>
  <c r="G10" i="13"/>
  <c r="H10" i="13"/>
  <c r="I10" i="13"/>
  <c r="E6" i="13"/>
  <c r="G6" i="13"/>
  <c r="H6" i="13"/>
  <c r="I6" i="13"/>
  <c r="C6" i="14"/>
  <c r="G6" i="14"/>
  <c r="H6" i="14"/>
  <c r="I6" i="14"/>
  <c r="C3" i="14"/>
  <c r="G3" i="14"/>
  <c r="H3" i="14"/>
  <c r="I3" i="14"/>
  <c r="C9" i="14"/>
  <c r="G9" i="14"/>
  <c r="H9" i="14"/>
  <c r="I9" i="14"/>
  <c r="C11" i="14"/>
  <c r="G11" i="14"/>
  <c r="H11" i="14"/>
  <c r="I11" i="14"/>
  <c r="C7" i="14"/>
  <c r="G7" i="14"/>
  <c r="H7" i="14"/>
  <c r="I7" i="14"/>
  <c r="C10" i="14"/>
  <c r="G10" i="14"/>
  <c r="H10" i="14"/>
  <c r="I10" i="14"/>
  <c r="C5" i="14"/>
  <c r="G5" i="14"/>
  <c r="H5" i="14"/>
  <c r="I5" i="14"/>
  <c r="C8" i="14"/>
  <c r="G8" i="14"/>
  <c r="H8" i="14"/>
  <c r="I8" i="14"/>
  <c r="C4" i="14"/>
  <c r="G4" i="14"/>
  <c r="H4" i="14"/>
  <c r="I4" i="14"/>
  <c r="E6" i="14"/>
  <c r="E3" i="14"/>
  <c r="E9" i="14"/>
  <c r="E11" i="14"/>
  <c r="E7" i="14"/>
  <c r="E10" i="14"/>
  <c r="E5" i="14"/>
  <c r="E8" i="14"/>
  <c r="E4" i="14"/>
  <c r="D6" i="14"/>
  <c r="D3" i="14"/>
  <c r="D9" i="14"/>
  <c r="D11" i="14"/>
  <c r="D7" i="14"/>
  <c r="D10" i="14"/>
  <c r="D5" i="14"/>
  <c r="D8" i="14"/>
  <c r="D4" i="14"/>
  <c r="I8" i="15"/>
  <c r="K8" i="15"/>
  <c r="I10" i="15"/>
  <c r="K10" i="15"/>
  <c r="D11" i="15"/>
  <c r="I11" i="15"/>
  <c r="K11" i="15"/>
  <c r="I7" i="15"/>
  <c r="K7" i="15"/>
  <c r="D12" i="15"/>
  <c r="I12" i="15"/>
  <c r="K12" i="15"/>
  <c r="I5" i="15"/>
  <c r="K5" i="15"/>
  <c r="I6" i="15"/>
  <c r="K6" i="15"/>
  <c r="I4" i="15"/>
  <c r="K4" i="15"/>
  <c r="D9" i="15"/>
  <c r="I9" i="15"/>
  <c r="K9" i="15"/>
  <c r="J8" i="15"/>
  <c r="J10" i="15"/>
  <c r="J11" i="15"/>
  <c r="J7" i="15"/>
  <c r="J12" i="15"/>
  <c r="J5" i="15"/>
  <c r="J6" i="15"/>
  <c r="J4" i="15"/>
  <c r="J9" i="15"/>
  <c r="D8" i="15"/>
  <c r="D10" i="15"/>
  <c r="D7" i="15"/>
  <c r="D5" i="15"/>
  <c r="D6" i="15"/>
  <c r="D4" i="15"/>
  <c r="F4" i="5"/>
  <c r="C4" i="5"/>
  <c r="G4" i="5"/>
  <c r="I4" i="5"/>
  <c r="H4" i="5"/>
  <c r="K4" i="5"/>
  <c r="F5" i="5"/>
  <c r="C5" i="5"/>
  <c r="G5" i="5"/>
  <c r="I5" i="5"/>
  <c r="H5" i="5"/>
  <c r="K5" i="5"/>
  <c r="F6" i="5"/>
  <c r="C6" i="5"/>
  <c r="G6" i="5"/>
  <c r="I6" i="5"/>
  <c r="H6" i="5"/>
  <c r="K6" i="5"/>
  <c r="F7" i="5"/>
  <c r="C7" i="5"/>
  <c r="G7" i="5"/>
  <c r="I7" i="5"/>
  <c r="H7" i="5"/>
  <c r="K7" i="5"/>
  <c r="F8" i="5"/>
  <c r="C8" i="5"/>
  <c r="G8" i="5"/>
  <c r="I8" i="5"/>
  <c r="H8" i="5"/>
  <c r="K8" i="5"/>
  <c r="D3" i="8"/>
  <c r="G3" i="8"/>
  <c r="C4" i="4"/>
  <c r="G4" i="4"/>
  <c r="C4" i="8"/>
  <c r="C5" i="8"/>
  <c r="C6" i="8"/>
  <c r="C7" i="8"/>
  <c r="C8" i="8"/>
  <c r="C9" i="8"/>
  <c r="C10" i="8"/>
  <c r="C11" i="8"/>
  <c r="C3" i="8"/>
  <c r="D11" i="8"/>
  <c r="D4" i="8"/>
  <c r="D5" i="8"/>
  <c r="D6" i="8"/>
  <c r="D7" i="8"/>
  <c r="D8" i="8"/>
  <c r="D9" i="8"/>
  <c r="D10" i="8"/>
  <c r="I12" i="6"/>
  <c r="I13" i="6"/>
  <c r="I14" i="6"/>
  <c r="F3" i="5"/>
  <c r="C3" i="5"/>
  <c r="G3" i="5"/>
  <c r="I3" i="5"/>
  <c r="H3" i="5"/>
  <c r="K3" i="5"/>
  <c r="J4" i="5"/>
  <c r="J5" i="5"/>
  <c r="J6" i="5"/>
  <c r="J7" i="5"/>
  <c r="J8" i="5"/>
  <c r="J3" i="5"/>
  <c r="D7" i="13"/>
  <c r="D3" i="13"/>
  <c r="D9" i="13"/>
  <c r="D4" i="13"/>
  <c r="D5" i="13"/>
  <c r="D8" i="13"/>
  <c r="D10" i="13"/>
  <c r="D6" i="13"/>
  <c r="C7" i="13"/>
  <c r="C3" i="13"/>
  <c r="C9" i="13"/>
  <c r="C4" i="13"/>
  <c r="C5" i="13"/>
  <c r="C8" i="13"/>
  <c r="C10" i="13"/>
  <c r="C6" i="13"/>
  <c r="E4" i="7"/>
  <c r="E5" i="7"/>
  <c r="E6" i="7"/>
  <c r="E7" i="7"/>
  <c r="E8" i="7"/>
  <c r="E9" i="7"/>
  <c r="E3" i="7"/>
  <c r="D4" i="7"/>
  <c r="D5" i="7"/>
  <c r="D6" i="7"/>
  <c r="D7" i="7"/>
  <c r="D8" i="7"/>
  <c r="D9" i="7"/>
  <c r="D3" i="7"/>
  <c r="E8" i="15"/>
  <c r="E10" i="15"/>
  <c r="E11" i="15"/>
  <c r="E7" i="15"/>
  <c r="E12" i="15"/>
  <c r="E5" i="15"/>
  <c r="E6" i="15"/>
  <c r="E4" i="15"/>
  <c r="E9" i="15"/>
  <c r="J20" i="4"/>
  <c r="C3" i="4"/>
  <c r="C5" i="4"/>
  <c r="C6" i="4"/>
  <c r="C7" i="4"/>
  <c r="C8" i="4"/>
  <c r="C9" i="4"/>
  <c r="C10" i="4"/>
  <c r="C11" i="4"/>
  <c r="C12" i="4"/>
  <c r="I20" i="4"/>
  <c r="H20" i="4"/>
  <c r="D5" i="6"/>
  <c r="D6" i="6"/>
  <c r="D7" i="6"/>
  <c r="D8" i="6"/>
  <c r="D9" i="6"/>
  <c r="D10" i="6"/>
  <c r="D11" i="6"/>
  <c r="D4" i="6"/>
  <c r="I9" i="4"/>
  <c r="I10" i="4"/>
  <c r="I3" i="4"/>
  <c r="I6" i="4"/>
  <c r="I11" i="4"/>
  <c r="I8" i="4"/>
  <c r="I12" i="4"/>
  <c r="I5" i="4"/>
  <c r="E9" i="4"/>
  <c r="E10" i="4"/>
  <c r="E3" i="4"/>
  <c r="E6" i="4"/>
  <c r="E4" i="4"/>
  <c r="E11" i="4"/>
  <c r="E8" i="4"/>
  <c r="E7" i="4"/>
  <c r="E12" i="4"/>
  <c r="E5" i="4"/>
  <c r="G9" i="4"/>
  <c r="H9" i="4"/>
  <c r="J9" i="4"/>
  <c r="G10" i="4"/>
  <c r="H10" i="4"/>
  <c r="J10" i="4"/>
  <c r="G3" i="4"/>
  <c r="H3" i="4"/>
  <c r="G6" i="4"/>
  <c r="H6" i="4"/>
  <c r="J6" i="4"/>
  <c r="H4" i="4"/>
  <c r="G11" i="4"/>
  <c r="H11" i="4"/>
  <c r="J11" i="4"/>
  <c r="G8" i="4"/>
  <c r="H8" i="4"/>
  <c r="J8" i="4"/>
  <c r="G7" i="4"/>
  <c r="H7" i="4"/>
  <c r="G12" i="4"/>
  <c r="H12" i="4"/>
  <c r="J12" i="4"/>
  <c r="G5" i="4"/>
  <c r="H5" i="4"/>
  <c r="J5" i="4"/>
  <c r="I7" i="4"/>
  <c r="J7" i="4"/>
  <c r="I4" i="4"/>
  <c r="J4" i="4"/>
  <c r="F13" i="4"/>
  <c r="F15" i="4"/>
  <c r="J3" i="4"/>
  <c r="F14" i="4"/>
  <c r="F16" i="4"/>
  <c r="D12" i="4"/>
  <c r="D8" i="4"/>
  <c r="D4" i="4"/>
  <c r="D3" i="4"/>
  <c r="D9" i="4"/>
  <c r="D5" i="4"/>
  <c r="D7" i="4"/>
  <c r="D11" i="4"/>
  <c r="D6" i="4"/>
  <c r="D10" i="4"/>
  <c r="I5" i="3"/>
  <c r="I3" i="3"/>
  <c r="I7" i="3"/>
  <c r="H9" i="3"/>
  <c r="H5" i="3"/>
  <c r="H4" i="3"/>
  <c r="H8" i="3"/>
  <c r="H3" i="3"/>
  <c r="H7" i="3"/>
  <c r="H6" i="3"/>
  <c r="C9" i="3"/>
  <c r="D9" i="3"/>
  <c r="C5" i="3"/>
  <c r="F5" i="3"/>
  <c r="G5" i="3"/>
  <c r="J5" i="3"/>
  <c r="C4" i="3"/>
  <c r="D4" i="3"/>
  <c r="C8" i="3"/>
  <c r="F8" i="3"/>
  <c r="G8" i="3"/>
  <c r="I8" i="3"/>
  <c r="C3" i="3"/>
  <c r="D3" i="3"/>
  <c r="C7" i="3"/>
  <c r="F7" i="3"/>
  <c r="G7" i="3"/>
  <c r="J7" i="3"/>
  <c r="C6" i="3"/>
  <c r="D6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4" i="2"/>
  <c r="H4" i="2"/>
  <c r="C5" i="2"/>
  <c r="D5" i="2"/>
  <c r="I5" i="2"/>
  <c r="J5" i="2"/>
  <c r="C6" i="2"/>
  <c r="D6" i="2"/>
  <c r="I6" i="2"/>
  <c r="J6" i="2"/>
  <c r="C7" i="2"/>
  <c r="D7" i="2"/>
  <c r="I7" i="2"/>
  <c r="J7" i="2"/>
  <c r="C8" i="2"/>
  <c r="D8" i="2"/>
  <c r="I8" i="2"/>
  <c r="J8" i="2"/>
  <c r="C9" i="2"/>
  <c r="D9" i="2"/>
  <c r="I9" i="2"/>
  <c r="J9" i="2"/>
  <c r="C10" i="2"/>
  <c r="D10" i="2"/>
  <c r="I10" i="2"/>
  <c r="J10" i="2"/>
  <c r="C11" i="2"/>
  <c r="D11" i="2"/>
  <c r="I11" i="2"/>
  <c r="J11" i="2"/>
  <c r="C12" i="2"/>
  <c r="D12" i="2"/>
  <c r="I12" i="2"/>
  <c r="J12" i="2"/>
  <c r="C13" i="2"/>
  <c r="D13" i="2"/>
  <c r="I13" i="2"/>
  <c r="J13" i="2"/>
  <c r="C14" i="2"/>
  <c r="D14" i="2"/>
  <c r="I14" i="2"/>
  <c r="J14" i="2"/>
  <c r="C15" i="2"/>
  <c r="D15" i="2"/>
  <c r="I15" i="2"/>
  <c r="J15" i="2"/>
  <c r="C16" i="2"/>
  <c r="D16" i="2"/>
  <c r="I16" i="2"/>
  <c r="J16" i="2"/>
  <c r="C17" i="2"/>
  <c r="D17" i="2"/>
  <c r="I17" i="2"/>
  <c r="J17" i="2"/>
  <c r="C4" i="2"/>
  <c r="D4" i="2"/>
  <c r="I4" i="2"/>
  <c r="J4" i="2"/>
  <c r="E4" i="1"/>
  <c r="F4" i="1"/>
  <c r="E5" i="1"/>
  <c r="F5" i="1"/>
  <c r="E6" i="1"/>
  <c r="F6" i="1"/>
  <c r="E7" i="1"/>
  <c r="F7" i="1"/>
  <c r="E8" i="1"/>
  <c r="F8" i="1"/>
  <c r="E3" i="1"/>
  <c r="F3" i="1"/>
  <c r="C4" i="1"/>
  <c r="C5" i="1"/>
  <c r="C6" i="1"/>
  <c r="C7" i="1"/>
  <c r="C8" i="1"/>
  <c r="C3" i="1"/>
  <c r="D4" i="1"/>
  <c r="G4" i="1"/>
  <c r="H4" i="1"/>
  <c r="D5" i="1"/>
  <c r="G5" i="1"/>
  <c r="H5" i="1"/>
  <c r="D6" i="1"/>
  <c r="G6" i="1"/>
  <c r="H6" i="1"/>
  <c r="D7" i="1"/>
  <c r="G7" i="1"/>
  <c r="H7" i="1"/>
  <c r="D8" i="1"/>
  <c r="G8" i="1"/>
  <c r="H8" i="1"/>
  <c r="D3" i="1"/>
  <c r="G3" i="1"/>
  <c r="H3" i="1"/>
  <c r="J8" i="3"/>
  <c r="D7" i="3"/>
  <c r="D8" i="3"/>
  <c r="D5" i="3"/>
  <c r="F6" i="3"/>
  <c r="G6" i="3"/>
  <c r="F3" i="3"/>
  <c r="G3" i="3"/>
  <c r="J3" i="3"/>
  <c r="F4" i="3"/>
  <c r="G4" i="3"/>
  <c r="F9" i="3"/>
  <c r="G9" i="3"/>
  <c r="I9" i="3"/>
  <c r="J9" i="3"/>
  <c r="I4" i="3"/>
  <c r="J4" i="3"/>
  <c r="I6" i="3"/>
  <c r="J6" i="3"/>
</calcChain>
</file>

<file path=xl/sharedStrings.xml><?xml version="1.0" encoding="utf-8"?>
<sst xmlns="http://schemas.openxmlformats.org/spreadsheetml/2006/main" count="918" uniqueCount="648">
  <si>
    <t>MÃ NV</t>
  </si>
  <si>
    <t>Họ Tên</t>
  </si>
  <si>
    <t>Mã ngạch</t>
  </si>
  <si>
    <t>LCB</t>
  </si>
  <si>
    <t>Bậc</t>
  </si>
  <si>
    <t>Hệ số</t>
  </si>
  <si>
    <t>Lương</t>
  </si>
  <si>
    <t>Thuế</t>
  </si>
  <si>
    <t>NV101</t>
  </si>
  <si>
    <t>NV102</t>
  </si>
  <si>
    <t>NV203</t>
  </si>
  <si>
    <t>CV205</t>
  </si>
  <si>
    <t>CV410</t>
  </si>
  <si>
    <t>KT315</t>
  </si>
  <si>
    <t>Trần Minh</t>
  </si>
  <si>
    <t>Hoàng Dung</t>
  </si>
  <si>
    <t>Phan Dũng</t>
  </si>
  <si>
    <t>Tú Anh</t>
  </si>
  <si>
    <t>Lâm Dũng</t>
  </si>
  <si>
    <t>Vũ Hoàng</t>
  </si>
  <si>
    <t>NV</t>
  </si>
  <si>
    <t>Bảng 1</t>
  </si>
  <si>
    <t>Mã Ngạch</t>
  </si>
  <si>
    <t>KT</t>
  </si>
  <si>
    <t>CV</t>
  </si>
  <si>
    <t>Bảng 2</t>
  </si>
  <si>
    <t>BẬC</t>
  </si>
  <si>
    <t>Mã khách</t>
  </si>
  <si>
    <t>Tên</t>
  </si>
  <si>
    <t>Loại KS</t>
  </si>
  <si>
    <t>Đơn giá</t>
  </si>
  <si>
    <t>Nơi đến</t>
  </si>
  <si>
    <t>Tiền ăn</t>
  </si>
  <si>
    <t>NHA-1SAO-01</t>
  </si>
  <si>
    <t>NHA-MINI-03</t>
  </si>
  <si>
    <t>NHA-2SAO-11</t>
  </si>
  <si>
    <t>NHA-MINI-15</t>
  </si>
  <si>
    <t>DAL-MINI-14</t>
  </si>
  <si>
    <t>DAL-MINI-12</t>
  </si>
  <si>
    <t>DAL-2SAO-34</t>
  </si>
  <si>
    <t>DAL-2SAO-23</t>
  </si>
  <si>
    <t>DAL-3SAO-16</t>
  </si>
  <si>
    <t>HUE-1SAO-15</t>
  </si>
  <si>
    <t>HUE-3SAO-36</t>
  </si>
  <si>
    <t>HUE-3SAO-10</t>
  </si>
  <si>
    <t>HUE-2SAO-19</t>
  </si>
  <si>
    <t>Minh Thư</t>
  </si>
  <si>
    <t>Lan An</t>
  </si>
  <si>
    <t>Bảo Long</t>
  </si>
  <si>
    <t>Yến Linh</t>
  </si>
  <si>
    <t>Hoàng An</t>
  </si>
  <si>
    <t>Yến Trang</t>
  </si>
  <si>
    <t>Phương Phú</t>
  </si>
  <si>
    <t>Anh Thư</t>
  </si>
  <si>
    <t>Văn Minh</t>
  </si>
  <si>
    <t>An Bình</t>
  </si>
  <si>
    <t>Tấn Hùng</t>
  </si>
  <si>
    <t>Quốc Trung</t>
  </si>
  <si>
    <t>Hùng Lân</t>
  </si>
  <si>
    <t>Phí
 bảo hiểm</t>
  </si>
  <si>
    <t>Thành tiền
 USD</t>
  </si>
  <si>
    <t>Thành tiền
VND</t>
  </si>
  <si>
    <t>MINI</t>
  </si>
  <si>
    <t>1SAO</t>
  </si>
  <si>
    <t>2SAO</t>
  </si>
  <si>
    <t>3SAO</t>
  </si>
  <si>
    <t>Mã
nơi đến</t>
  </si>
  <si>
    <t>Số
ngày ở</t>
  </si>
  <si>
    <t>Tiền ăn
(USD)</t>
  </si>
  <si>
    <t>DAL</t>
  </si>
  <si>
    <t>Đà Lạt</t>
  </si>
  <si>
    <t>NHA</t>
  </si>
  <si>
    <t>Nha Trang</t>
  </si>
  <si>
    <t>HUE</t>
  </si>
  <si>
    <t>Huế</t>
  </si>
  <si>
    <t>Yêu cầu:</t>
  </si>
  <si>
    <t>Tỷ giá</t>
  </si>
  <si>
    <t>MSHH</t>
  </si>
  <si>
    <t>TÊN SÁCH</t>
  </si>
  <si>
    <t>MÃ SÁCH</t>
  </si>
  <si>
    <t>LOẠI SÁCH</t>
  </si>
  <si>
    <t>ĐƠN GIÁ</t>
  </si>
  <si>
    <t>THÀNH TIỀN</t>
  </si>
  <si>
    <t>A0G2</t>
  </si>
  <si>
    <t>A1G2</t>
  </si>
  <si>
    <t>C0T1</t>
  </si>
  <si>
    <t>B0K1</t>
  </si>
  <si>
    <t>A2G2</t>
  </si>
  <si>
    <t>D1K1</t>
  </si>
  <si>
    <t>C1T2</t>
  </si>
  <si>
    <t>Đại số 11</t>
  </si>
  <si>
    <t>Quang học 11</t>
  </si>
  <si>
    <t>Giàn Thiên Lý</t>
  </si>
  <si>
    <t>Dạy Toán 6</t>
  </si>
  <si>
    <t>Văn Học 12</t>
  </si>
  <si>
    <t>Tâm lý HS</t>
  </si>
  <si>
    <t>Thủy Hữ</t>
  </si>
  <si>
    <t>MÃ
SÁCH</t>
  </si>
  <si>
    <t>LOẠI
SÁCH</t>
  </si>
  <si>
    <t>SỐ 
LƯỢNG</t>
  </si>
  <si>
    <t>THÀNH
TIỀN</t>
  </si>
  <si>
    <t>PHÍ VẬN
CHUYỂN</t>
  </si>
  <si>
    <t>Bảng Loại Sách</t>
  </si>
  <si>
    <t>Đ.GIÁ</t>
  </si>
  <si>
    <t>G</t>
  </si>
  <si>
    <t>T</t>
  </si>
  <si>
    <t>K</t>
  </si>
  <si>
    <t>Giáo khoa</t>
  </si>
  <si>
    <t>Truyện</t>
  </si>
  <si>
    <t>Tham khảo</t>
  </si>
  <si>
    <t>Số lượng</t>
  </si>
  <si>
    <t>Phí</t>
  </si>
  <si>
    <t>- Các trường hợp còn lại thì không giảm</t>
  </si>
  <si>
    <t>HÓA ĐƠN HÀNG HÓA</t>
  </si>
  <si>
    <t>STT</t>
  </si>
  <si>
    <t>MÃ
C.TỪ</t>
  </si>
  <si>
    <t>MÃ
HÀNG</t>
  </si>
  <si>
    <t>TÊN
HÀNG</t>
  </si>
  <si>
    <t>SỐ
C.TỪ</t>
  </si>
  <si>
    <t>SL</t>
  </si>
  <si>
    <t>ĐƠN
GIÁ</t>
  </si>
  <si>
    <t>THUẾ</t>
  </si>
  <si>
    <t>PHẢI
TRẢ</t>
  </si>
  <si>
    <t>SB205</t>
  </si>
  <si>
    <t>TL402</t>
  </si>
  <si>
    <t>SB401</t>
  </si>
  <si>
    <t>DG1C3</t>
  </si>
  <si>
    <t>DG2C2</t>
  </si>
  <si>
    <t>RU104</t>
  </si>
  <si>
    <t>BN503</t>
  </si>
  <si>
    <t>SB303</t>
  </si>
  <si>
    <t>RU201</t>
  </si>
  <si>
    <t>SB507</t>
  </si>
  <si>
    <t>Tổng cộng</t>
  </si>
  <si>
    <t>Trung bình</t>
  </si>
  <si>
    <t>Nhỏ nhất</t>
  </si>
  <si>
    <t>Lớn nhất</t>
  </si>
  <si>
    <t>Sữa bột</t>
  </si>
  <si>
    <t>Đường</t>
  </si>
  <si>
    <t>Bột ngọt</t>
  </si>
  <si>
    <t>Số 
lần nhập</t>
  </si>
  <si>
    <t>SB</t>
  </si>
  <si>
    <t>TL</t>
  </si>
  <si>
    <t>DG</t>
  </si>
  <si>
    <t>RU</t>
  </si>
  <si>
    <t>BN</t>
  </si>
  <si>
    <t>Thuốc lá</t>
  </si>
  <si>
    <t>Rượu</t>
  </si>
  <si>
    <t>BẢNG THỐNG KÊ PHỤ</t>
  </si>
  <si>
    <t>BẢNG KẾT TOÁN HÀNG NHẬP KHẨU</t>
  </si>
  <si>
    <t>MÃ KH</t>
  </si>
  <si>
    <t>LOẠI
HỘ</t>
  </si>
  <si>
    <t>TIÊU
THỤ</t>
  </si>
  <si>
    <t>ĐỊNH
MỨC</t>
  </si>
  <si>
    <t>SỐ KW
VƯỢT ĐM</t>
  </si>
  <si>
    <t>TIỀN
TRONG
ĐM</t>
  </si>
  <si>
    <t>ND001</t>
  </si>
  <si>
    <t>ND002</t>
  </si>
  <si>
    <t>SX003</t>
  </si>
  <si>
    <t>SX004</t>
  </si>
  <si>
    <t>KD005</t>
  </si>
  <si>
    <t>KD006</t>
  </si>
  <si>
    <t>Lê Anh</t>
  </si>
  <si>
    <t>Lý Bảo</t>
  </si>
  <si>
    <t>Hà Cúc</t>
  </si>
  <si>
    <t>Tôn Vũ</t>
  </si>
  <si>
    <t>Lý Nhân</t>
  </si>
  <si>
    <t>Lê Cam</t>
  </si>
  <si>
    <t>Bảng 1: Định mức và Đơn giá</t>
  </si>
  <si>
    <t>LOẠI HỘ</t>
  </si>
  <si>
    <t>ĐỊNH MỨC</t>
  </si>
  <si>
    <t>ND</t>
  </si>
  <si>
    <t>SX</t>
  </si>
  <si>
    <t>KD</t>
  </si>
  <si>
    <t>Số KW vượt ĐM</t>
  </si>
  <si>
    <t>Hệ số vượt</t>
  </si>
  <si>
    <t>Bảng 2: Hệ số vượt</t>
  </si>
  <si>
    <t>BẢNG THANH TOÁN TIỀN ĐIỆN</t>
  </si>
  <si>
    <t>Mặt hàng</t>
  </si>
  <si>
    <t>Mã HĐ</t>
  </si>
  <si>
    <t>Mã hàng</t>
  </si>
  <si>
    <t>Tên hàng</t>
  </si>
  <si>
    <t>Tiền xuất</t>
  </si>
  <si>
    <t>Thuế VAT</t>
  </si>
  <si>
    <t>Lợi nhuận</t>
  </si>
  <si>
    <t>Số lượng - Giá cả</t>
  </si>
  <si>
    <t>Tiền nhập</t>
  </si>
  <si>
    <t>KB001</t>
  </si>
  <si>
    <t>KB002</t>
  </si>
  <si>
    <t>MO001</t>
  </si>
  <si>
    <t>FD001</t>
  </si>
  <si>
    <t>HD002</t>
  </si>
  <si>
    <t>MO002</t>
  </si>
  <si>
    <t>FD003</t>
  </si>
  <si>
    <t>HD003</t>
  </si>
  <si>
    <t>Thấp nhất</t>
  </si>
  <si>
    <t>Cao nhất</t>
  </si>
  <si>
    <t>Bảng giá nhập</t>
  </si>
  <si>
    <t>Giá nhập</t>
  </si>
  <si>
    <t>KB</t>
  </si>
  <si>
    <t>HD</t>
  </si>
  <si>
    <t>MO</t>
  </si>
  <si>
    <t>FD</t>
  </si>
  <si>
    <t>Keyboard</t>
  </si>
  <si>
    <t>HardDisk</t>
  </si>
  <si>
    <t>Monitor</t>
  </si>
  <si>
    <t>FloppyDisk</t>
  </si>
  <si>
    <t>HÓA ĐƠN BÁN HÀNG</t>
  </si>
  <si>
    <t>1.Trình bày và định dạng bảng tính như trên</t>
  </si>
  <si>
    <t>-Tiền xuất=105%*Tiền nhập nếu mặt hàng có lượng trên 150</t>
  </si>
  <si>
    <t>-Tiền xuất=112%*Tiền nhập nếu mặt hàng có số lượng từ 100 đến 150</t>
  </si>
  <si>
    <t>-Tiền xuất=120%*Tiền nhập nếu mặt hàng có số lượng nhỏ hơn 100</t>
  </si>
  <si>
    <t>Bảng thống kê</t>
  </si>
  <si>
    <t>HỌ &amp; TÊN</t>
  </si>
  <si>
    <t>Xếp loại</t>
  </si>
  <si>
    <t>Thưởng</t>
  </si>
  <si>
    <t>Còn Lại</t>
  </si>
  <si>
    <t>LD3-001</t>
  </si>
  <si>
    <t>LD2-002</t>
  </si>
  <si>
    <t>CV3-005</t>
  </si>
  <si>
    <t>CV1-007</t>
  </si>
  <si>
    <t>NV1-008</t>
  </si>
  <si>
    <t>NV2-013</t>
  </si>
  <si>
    <t>NV3-014</t>
  </si>
  <si>
    <t>Lê Phương Nam</t>
  </si>
  <si>
    <t>Tôn Vũ Bắc</t>
  </si>
  <si>
    <t>Tố Vân Long</t>
  </si>
  <si>
    <t>Dương Tô Phong</t>
  </si>
  <si>
    <t>Hàn Việt Vân</t>
  </si>
  <si>
    <t>Huỳnh Lê Nhật</t>
  </si>
  <si>
    <t>Lê Hải Nguyệt</t>
  </si>
  <si>
    <t>A</t>
  </si>
  <si>
    <t>C</t>
  </si>
  <si>
    <t>B</t>
  </si>
  <si>
    <t>Bảng tiền thưởng</t>
  </si>
  <si>
    <t>Tiền thưởng</t>
  </si>
  <si>
    <t>Bảng hệ số</t>
  </si>
  <si>
    <t>LD</t>
  </si>
  <si>
    <t>Lương căn bản</t>
  </si>
  <si>
    <t>1.Nhập liệu và trình bày bảng tính như trên</t>
  </si>
  <si>
    <t>-Các trường hợp còn lại thì thuế =0</t>
  </si>
  <si>
    <t>BẢNG LƯƠNG NHÂN VIÊN</t>
  </si>
  <si>
    <t>Mã KH</t>
  </si>
  <si>
    <t>Tên
Khách</t>
  </si>
  <si>
    <t>Loại
Phòng</t>
  </si>
  <si>
    <t>Tầng</t>
  </si>
  <si>
    <t>Ngày
đến</t>
  </si>
  <si>
    <t>Ngày
đi</t>
  </si>
  <si>
    <t>Số
tuần</t>
  </si>
  <si>
    <t>Số
ngày lẻ</t>
  </si>
  <si>
    <t>Tổng
tiền</t>
  </si>
  <si>
    <t>Khuyến
mãi</t>
  </si>
  <si>
    <t>K01B1</t>
  </si>
  <si>
    <t>K02A2</t>
  </si>
  <si>
    <t>K03C2</t>
  </si>
  <si>
    <t>K04A1</t>
  </si>
  <si>
    <t>K05B2</t>
  </si>
  <si>
    <t>K06C1</t>
  </si>
  <si>
    <t>K07A2</t>
  </si>
  <si>
    <t>K08A2</t>
  </si>
  <si>
    <t>K09B1</t>
  </si>
  <si>
    <t>Long</t>
  </si>
  <si>
    <t>Chi</t>
  </si>
  <si>
    <t>Minh</t>
  </si>
  <si>
    <t>Bích</t>
  </si>
  <si>
    <t>Thanh</t>
  </si>
  <si>
    <t>Tuấn</t>
  </si>
  <si>
    <t>Hà</t>
  </si>
  <si>
    <t>Thảo</t>
  </si>
  <si>
    <t>Hạnh</t>
  </si>
  <si>
    <t>Phòng</t>
  </si>
  <si>
    <t>Đơn giá tuần</t>
  </si>
  <si>
    <t>Đơn giá ngày</t>
  </si>
  <si>
    <t>Bảng đơn giá</t>
  </si>
  <si>
    <t>1.Nhập và trình bày bảng tính như trên</t>
  </si>
  <si>
    <t>Đơn
giá
tuần</t>
  </si>
  <si>
    <t>Đơn
giá
ngày</t>
  </si>
  <si>
    <t>Thành
tiền</t>
  </si>
  <si>
    <t>Giảm
giá</t>
  </si>
  <si>
    <t>Thực
thu</t>
  </si>
  <si>
    <t>B021</t>
  </si>
  <si>
    <t>T032</t>
  </si>
  <si>
    <t>B152</t>
  </si>
  <si>
    <t>N031</t>
  </si>
  <si>
    <t>M203</t>
  </si>
  <si>
    <t>M104</t>
  </si>
  <si>
    <t>N052</t>
  </si>
  <si>
    <t>M124</t>
  </si>
  <si>
    <t>T043</t>
  </si>
  <si>
    <t>N081</t>
  </si>
  <si>
    <t>Bảng giá (USD)</t>
  </si>
  <si>
    <t>Mã</t>
  </si>
  <si>
    <t>Giá sỉ</t>
  </si>
  <si>
    <t>Giá lẻ</t>
  </si>
  <si>
    <t>N</t>
  </si>
  <si>
    <t>Bàn ủi</t>
  </si>
  <si>
    <t>Nồi điện</t>
  </si>
  <si>
    <t>Tủ lạnh</t>
  </si>
  <si>
    <t>Máy lạnh</t>
  </si>
  <si>
    <t>Tỷ lệ giảm</t>
  </si>
  <si>
    <t>Tỷ lệ thuế</t>
  </si>
  <si>
    <t>Tỷ lệ
thuế</t>
  </si>
  <si>
    <t>BẢNG KẾT TOÁN HÀNG HÓA</t>
  </si>
  <si>
    <t>LOẠI VÉ</t>
  </si>
  <si>
    <t>TÊN VÉ</t>
  </si>
  <si>
    <t>GIÁ VÉ</t>
  </si>
  <si>
    <t>GCS1</t>
  </si>
  <si>
    <t>GMS2</t>
  </si>
  <si>
    <t>GIS3</t>
  </si>
  <si>
    <t>GMS3</t>
  </si>
  <si>
    <t>GCS2</t>
  </si>
  <si>
    <t>GMS1</t>
  </si>
  <si>
    <t>GIS2</t>
  </si>
  <si>
    <t>GCS3</t>
  </si>
  <si>
    <t>GIS1</t>
  </si>
  <si>
    <t>TỔNG
CỘNG</t>
  </si>
  <si>
    <t>SỐ
LƯỢNG</t>
  </si>
  <si>
    <t>BẢNG TÊN TÀU</t>
  </si>
  <si>
    <t>MÃ TÀU</t>
  </si>
  <si>
    <t>S1</t>
  </si>
  <si>
    <t>S2</t>
  </si>
  <si>
    <t>S3</t>
  </si>
  <si>
    <t>TÊN TÀU</t>
  </si>
  <si>
    <t>TÀU S1</t>
  </si>
  <si>
    <t>TÀU S2</t>
  </si>
  <si>
    <t>TÀU S3</t>
  </si>
  <si>
    <t>BẢNG ĐƠN GIÁ</t>
  </si>
  <si>
    <t>LOẠI</t>
  </si>
  <si>
    <t>GC</t>
  </si>
  <si>
    <t>GHẾ CỨNG</t>
  </si>
  <si>
    <t>GM</t>
  </si>
  <si>
    <t>GHẾ MỀM</t>
  </si>
  <si>
    <t>GI</t>
  </si>
  <si>
    <t>GIƯỜNG</t>
  </si>
  <si>
    <t>BÁN VÉ XE LỬA</t>
  </si>
  <si>
    <t>Chứng từ</t>
  </si>
  <si>
    <t>Thông tin sản phẩm</t>
  </si>
  <si>
    <t>Tên nhà SX</t>
  </si>
  <si>
    <t>Số lượng
(lít)</t>
  </si>
  <si>
    <t>Thành tiền</t>
  </si>
  <si>
    <t>D00TN</t>
  </si>
  <si>
    <t>D01ES</t>
  </si>
  <si>
    <t>X92SH</t>
  </si>
  <si>
    <t>N4TSH</t>
  </si>
  <si>
    <t>N06CA</t>
  </si>
  <si>
    <t>X59ES</t>
  </si>
  <si>
    <t>N89BP</t>
  </si>
  <si>
    <t>X</t>
  </si>
  <si>
    <t>D</t>
  </si>
  <si>
    <t>Đơn giá
(VNĐ/lít)</t>
  </si>
  <si>
    <t>Mã NSX</t>
  </si>
  <si>
    <t>Tên NSX</t>
  </si>
  <si>
    <t>BP</t>
  </si>
  <si>
    <t>ES</t>
  </si>
  <si>
    <t>SH</t>
  </si>
  <si>
    <t>CA</t>
  </si>
  <si>
    <t>Petro</t>
  </si>
  <si>
    <t>Esso</t>
  </si>
  <si>
    <t>Shell</t>
  </si>
  <si>
    <t>Castrol</t>
  </si>
  <si>
    <t>Xăng</t>
  </si>
  <si>
    <t>Dầu</t>
  </si>
  <si>
    <t>Nhớt</t>
  </si>
  <si>
    <t>- Thuế suất=0% nếu là Hàng nội địa</t>
  </si>
  <si>
    <t>- Thuế suất=2.5% nếu là sản phẩm của Castrol</t>
  </si>
  <si>
    <t>- Thuế suất 4% cho các sản phẩm còn lại</t>
  </si>
  <si>
    <t>BẢNG THỐNG KÊ NHẬP NHIÊN LIỆU</t>
  </si>
  <si>
    <t>Loại máy</t>
  </si>
  <si>
    <t>Mã máy</t>
  </si>
  <si>
    <t>Nước
SX</t>
  </si>
  <si>
    <t>Nơi
bán</t>
  </si>
  <si>
    <t>P1- JAP</t>
  </si>
  <si>
    <t>P1- KOR</t>
  </si>
  <si>
    <t>P2- USA</t>
  </si>
  <si>
    <t>P2- JAP</t>
  </si>
  <si>
    <t>P2- KOR</t>
  </si>
  <si>
    <t>P3- USA</t>
  </si>
  <si>
    <t>P3- JAP</t>
  </si>
  <si>
    <t>Hanoi</t>
  </si>
  <si>
    <t>Hue</t>
  </si>
  <si>
    <t>Saigon</t>
  </si>
  <si>
    <t>USA</t>
  </si>
  <si>
    <t>JAP</t>
  </si>
  <si>
    <t>KOR</t>
  </si>
  <si>
    <t>P1</t>
  </si>
  <si>
    <t>P2</t>
  </si>
  <si>
    <t>P3</t>
  </si>
  <si>
    <t>Nơi bán</t>
  </si>
  <si>
    <t>% Phí chuyên chở</t>
  </si>
  <si>
    <t>Bảng phí chuyên chở</t>
  </si>
  <si>
    <t>Doanh thu</t>
  </si>
  <si>
    <t>1.Nhập và định dạng văn bản như trình bày trên</t>
  </si>
  <si>
    <t>-Nước SX là USA và Số lượng &gt; 20 thì Thuế suất là 3%</t>
  </si>
  <si>
    <t>-Nước SX là USA và Số lượng &lt;=20 thì Thuế suất là 5%</t>
  </si>
  <si>
    <t>-Các trường hợp còn lại thì Thuế suất là 7%</t>
  </si>
  <si>
    <t>BÁO CÁO DOANH THU</t>
  </si>
  <si>
    <t>Đơn
giá</t>
  </si>
  <si>
    <t>Tên
sách</t>
  </si>
  <si>
    <t>Loại
sách</t>
  </si>
  <si>
    <t>Mã
sách</t>
  </si>
  <si>
    <t>Số
lượng</t>
  </si>
  <si>
    <t>Còn
lại</t>
  </si>
  <si>
    <t>A160</t>
  </si>
  <si>
    <t>B261</t>
  </si>
  <si>
    <t>C150</t>
  </si>
  <si>
    <t>D270</t>
  </si>
  <si>
    <t>A164</t>
  </si>
  <si>
    <t>B280</t>
  </si>
  <si>
    <t>D180</t>
  </si>
  <si>
    <t>Đơn
giá 1</t>
  </si>
  <si>
    <t>Đơn
giá 2</t>
  </si>
  <si>
    <t>Kỹ thuật</t>
  </si>
  <si>
    <t>Kinh tế</t>
  </si>
  <si>
    <t>Văn học</t>
  </si>
  <si>
    <t>Y học</t>
  </si>
  <si>
    <t>-Biết Loại 1: Đơn giá 1; Loại 2: Đơn giá 2</t>
  </si>
  <si>
    <t>8.Sắp xếp theo thứ tự tăng dần của Thành Tiền</t>
  </si>
  <si>
    <t>THỐNG KÊ BÁN SÁCH</t>
  </si>
  <si>
    <t>Tên
sản phẩm</t>
  </si>
  <si>
    <t>Mã
huê hồng</t>
  </si>
  <si>
    <t>Huê
hồng</t>
  </si>
  <si>
    <t>S11</t>
  </si>
  <si>
    <t>Y32</t>
  </si>
  <si>
    <t>S21</t>
  </si>
  <si>
    <t>N41</t>
  </si>
  <si>
    <t>B32</t>
  </si>
  <si>
    <t>W42</t>
  </si>
  <si>
    <t>N22</t>
  </si>
  <si>
    <t>Y11</t>
  </si>
  <si>
    <t>Mã SP</t>
  </si>
  <si>
    <t>Tên 
sản phẩm</t>
  </si>
  <si>
    <t>Bảng tính huê hồng</t>
  </si>
  <si>
    <t>Tỷ lệ
huê hồng</t>
  </si>
  <si>
    <t>S</t>
  </si>
  <si>
    <t>Y</t>
  </si>
  <si>
    <t>W</t>
  </si>
  <si>
    <t>Butterfly</t>
  </si>
  <si>
    <t>Nitaku</t>
  </si>
  <si>
    <t>Yasaka</t>
  </si>
  <si>
    <t>Wabaka</t>
  </si>
  <si>
    <t>Song hỷ</t>
  </si>
  <si>
    <t>M</t>
  </si>
  <si>
    <t>NHA-1SAO-04</t>
  </si>
  <si>
    <t>TÍNH TIỀN KHÁCH SẠN</t>
  </si>
  <si>
    <t>THÔNG TIN KHÁCH HÀNG</t>
  </si>
  <si>
    <t>Mã HV</t>
  </si>
  <si>
    <t>Họ và Tên</t>
  </si>
  <si>
    <t>Word</t>
  </si>
  <si>
    <t>Excel</t>
  </si>
  <si>
    <t>TB</t>
  </si>
  <si>
    <t>ALA001</t>
  </si>
  <si>
    <t>ALA004</t>
  </si>
  <si>
    <t>ATG002</t>
  </si>
  <si>
    <t>AST003</t>
  </si>
  <si>
    <t>ATG006</t>
  </si>
  <si>
    <t>BLA007</t>
  </si>
  <si>
    <t>BTP008</t>
  </si>
  <si>
    <t>Nguyễn Văn</t>
  </si>
  <si>
    <t>Tùng</t>
  </si>
  <si>
    <t>Hiển</t>
  </si>
  <si>
    <t>Nguyễn Thị Vân</t>
  </si>
  <si>
    <t>Anh</t>
  </si>
  <si>
    <t>Lê Trần Thái</t>
  </si>
  <si>
    <t>Lan</t>
  </si>
  <si>
    <t>Nguyễn Trung</t>
  </si>
  <si>
    <t>Chánh</t>
  </si>
  <si>
    <t>Cao Văn</t>
  </si>
  <si>
    <t>Đại</t>
  </si>
  <si>
    <t>Huỳnh Thị Ngọc</t>
  </si>
  <si>
    <t>Uyên</t>
  </si>
  <si>
    <t>Lê Văn</t>
  </si>
  <si>
    <t>Nguyễn Minh</t>
  </si>
  <si>
    <t>Chiến</t>
  </si>
  <si>
    <t>Mã Tỉnh</t>
  </si>
  <si>
    <t>Tên Tỉnh</t>
  </si>
  <si>
    <t>LA</t>
  </si>
  <si>
    <t>Long An</t>
  </si>
  <si>
    <t>TG</t>
  </si>
  <si>
    <t>Tiền Giang</t>
  </si>
  <si>
    <t>ST</t>
  </si>
  <si>
    <t>Sóc Trăng</t>
  </si>
  <si>
    <t>CT</t>
  </si>
  <si>
    <t>Cần Thơ</t>
  </si>
  <si>
    <t>Hồ Chí Minh</t>
  </si>
  <si>
    <t>Điểm thi</t>
  </si>
  <si>
    <t>BST009</t>
  </si>
  <si>
    <t>ACT005</t>
  </si>
  <si>
    <t>KẾT QUẢ THI</t>
  </si>
  <si>
    <t>Cộng</t>
  </si>
  <si>
    <t>- Nếu TB&gt;=9 và các môn còn lại &gt;=8 thì Giỏi</t>
  </si>
  <si>
    <t>- Nếu TB&gt;=8 và các môn còn lại &gt;= 6.5 thì Khá</t>
  </si>
  <si>
    <t>6. Sắp xếp bảng tính theo thư tự giảm dần của TB</t>
  </si>
  <si>
    <t>- Nếu TB&gt;=6.5 và các môn còn lại &gt;=5.0 thì TB-Khá</t>
  </si>
  <si>
    <t>Mã huê hồng</t>
  </si>
  <si>
    <t>- Nếu TB&gt;=5 và các môn còn lại &gt;0 thì TB, ngược lại không xếp loại</t>
  </si>
  <si>
    <t>Win</t>
  </si>
  <si>
    <t>TP</t>
  </si>
  <si>
    <t>Nếu (Windows *10% + Word*20% +Excel 70%) dưới 5 điểm thì mới áp dụng Cộng (Bảng 1)</t>
  </si>
  <si>
    <r>
      <t xml:space="preserve">1.Dựa vào 2 ký tự đầu của </t>
    </r>
    <r>
      <rPr>
        <b/>
        <sz val="10"/>
        <rFont val="Arial"/>
        <family val="2"/>
      </rPr>
      <t>Mã NV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Mã ngạch</t>
    </r>
  </si>
  <si>
    <r>
      <t xml:space="preserve">2.Dựa vào </t>
    </r>
    <r>
      <rPr>
        <b/>
        <sz val="10"/>
        <rFont val="Arial"/>
        <family val="2"/>
      </rPr>
      <t>Mã ngạch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tính </t>
    </r>
    <r>
      <rPr>
        <b/>
        <sz val="10"/>
        <rFont val="Arial"/>
        <family val="2"/>
      </rPr>
      <t>LCB</t>
    </r>
  </si>
  <si>
    <r>
      <t xml:space="preserve">4.Dựa vào </t>
    </r>
    <r>
      <rPr>
        <b/>
        <sz val="10"/>
        <rFont val="Arial"/>
        <family val="2"/>
      </rPr>
      <t>Bậc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</rPr>
      <t xml:space="preserve"> để tính </t>
    </r>
    <r>
      <rPr>
        <b/>
        <sz val="10"/>
        <rFont val="Arial"/>
        <family val="2"/>
      </rPr>
      <t>Hệ số</t>
    </r>
  </si>
  <si>
    <r>
      <t>5.</t>
    </r>
    <r>
      <rPr>
        <b/>
        <sz val="10"/>
        <rFont val="Arial"/>
        <family val="2"/>
      </rPr>
      <t>Lương</t>
    </r>
    <r>
      <rPr>
        <sz val="10"/>
        <rFont val="Arial"/>
      </rPr>
      <t xml:space="preserve"> = </t>
    </r>
    <r>
      <rPr>
        <b/>
        <sz val="10"/>
        <rFont val="Arial"/>
        <family val="2"/>
      </rPr>
      <t>LCB</t>
    </r>
    <r>
      <rPr>
        <sz val="10"/>
        <rFont val="Arial"/>
      </rPr>
      <t xml:space="preserve"> * </t>
    </r>
    <r>
      <rPr>
        <b/>
        <sz val="10"/>
        <rFont val="Arial"/>
        <family val="2"/>
      </rPr>
      <t>Hệ số</t>
    </r>
  </si>
  <si>
    <r>
      <t xml:space="preserve">6.Thuế = 10% phần vượt hơn 1000000 của </t>
    </r>
    <r>
      <rPr>
        <b/>
        <sz val="10"/>
        <rFont val="Arial"/>
        <family val="2"/>
      </rPr>
      <t>Lương</t>
    </r>
  </si>
  <si>
    <r>
      <t xml:space="preserve">7.Trích danh sách nhân viên có </t>
    </r>
    <r>
      <rPr>
        <b/>
        <sz val="10"/>
        <rFont val="Arial"/>
        <family val="2"/>
      </rPr>
      <t>Mã ngạch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NV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Bậc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2</t>
    </r>
    <r>
      <rPr>
        <sz val="10"/>
        <rFont val="Arial"/>
      </rPr>
      <t xml:space="preserve"> qua sheet khác với tên </t>
    </r>
    <r>
      <rPr>
        <b/>
        <sz val="10"/>
        <rFont val="Arial"/>
        <family val="2"/>
      </rPr>
      <t>NVB2</t>
    </r>
  </si>
  <si>
    <r>
      <t xml:space="preserve">1. Dựa vào ký tự thứ 5 đến ký tự thứ 8 của </t>
    </r>
    <r>
      <rPr>
        <b/>
        <sz val="10"/>
        <rFont val="Arial"/>
        <family val="2"/>
      </rPr>
      <t>Mã khách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Loại KS</t>
    </r>
  </si>
  <si>
    <r>
      <t xml:space="preserve">2. Dựa vào </t>
    </r>
    <r>
      <rPr>
        <b/>
        <sz val="10"/>
        <rFont val="Arial"/>
        <family val="2"/>
      </rPr>
      <t>Loại KS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tính cột </t>
    </r>
    <r>
      <rPr>
        <b/>
        <sz val="10"/>
        <rFont val="Arial"/>
        <family val="2"/>
      </rPr>
      <t>Đơn giá</t>
    </r>
  </si>
  <si>
    <r>
      <t xml:space="preserve">3. Dựa vào 3 ký tự đầu của </t>
    </r>
    <r>
      <rPr>
        <b/>
        <sz val="10"/>
        <rFont val="Arial"/>
        <family val="2"/>
      </rPr>
      <t>Mã khách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Nơi đến</t>
    </r>
  </si>
  <si>
    <r>
      <t xml:space="preserve">4. Dựa vào 3 ký tự đầu của </t>
    </r>
    <r>
      <rPr>
        <b/>
        <sz val="10"/>
        <rFont val="Arial"/>
        <family val="2"/>
      </rPr>
      <t>Mã khách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Số ngày ở</t>
    </r>
  </si>
  <si>
    <r>
      <t>5. Dựa vào 3 ký tự đầu của</t>
    </r>
    <r>
      <rPr>
        <b/>
        <sz val="10"/>
        <rFont val="Arial"/>
        <family val="2"/>
      </rPr>
      <t xml:space="preserve"> Mã khách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Tiền ăn</t>
    </r>
  </si>
  <si>
    <r>
      <t xml:space="preserve">7. </t>
    </r>
    <r>
      <rPr>
        <b/>
        <sz val="10"/>
        <rFont val="Arial"/>
        <family val="2"/>
      </rPr>
      <t>Thành tiền USD</t>
    </r>
    <r>
      <rPr>
        <sz val="10"/>
        <rFont val="Arial"/>
      </rPr>
      <t xml:space="preserve"> = </t>
    </r>
    <r>
      <rPr>
        <b/>
        <sz val="10"/>
        <rFont val="Arial"/>
        <family val="2"/>
      </rPr>
      <t>Đơn giá</t>
    </r>
    <r>
      <rPr>
        <sz val="10"/>
        <rFont val="Arial"/>
      </rPr>
      <t xml:space="preserve"> *</t>
    </r>
    <r>
      <rPr>
        <b/>
        <sz val="10"/>
        <rFont val="Arial"/>
        <family val="2"/>
      </rPr>
      <t>Số ngày ở</t>
    </r>
    <r>
      <rPr>
        <sz val="10"/>
        <rFont val="Arial"/>
      </rPr>
      <t>+</t>
    </r>
    <r>
      <rPr>
        <b/>
        <sz val="10"/>
        <rFont val="Arial"/>
        <family val="2"/>
      </rPr>
      <t>Tiền ăn</t>
    </r>
    <r>
      <rPr>
        <sz val="10"/>
        <rFont val="Arial"/>
      </rPr>
      <t xml:space="preserve"> + </t>
    </r>
    <r>
      <rPr>
        <b/>
        <sz val="10"/>
        <rFont val="Arial"/>
        <family val="2"/>
      </rPr>
      <t>Phí bảo hiểm</t>
    </r>
  </si>
  <si>
    <r>
      <t xml:space="preserve">8. </t>
    </r>
    <r>
      <rPr>
        <b/>
        <sz val="10"/>
        <rFont val="Arial"/>
        <family val="2"/>
      </rPr>
      <t>Thành tiền VND</t>
    </r>
    <r>
      <rPr>
        <sz val="10"/>
        <rFont val="Arial"/>
      </rPr>
      <t>=</t>
    </r>
    <r>
      <rPr>
        <b/>
        <sz val="10"/>
        <rFont val="Arial"/>
        <family val="2"/>
      </rPr>
      <t>Thành tiền USD</t>
    </r>
    <r>
      <rPr>
        <sz val="10"/>
        <rFont val="Arial"/>
      </rPr>
      <t xml:space="preserve"> * </t>
    </r>
    <r>
      <rPr>
        <b/>
        <sz val="10"/>
        <rFont val="Arial"/>
        <family val="2"/>
      </rPr>
      <t>Tỷ giá</t>
    </r>
  </si>
  <si>
    <r>
      <t xml:space="preserve">6. </t>
    </r>
    <r>
      <rPr>
        <b/>
        <sz val="10"/>
        <rFont val="Arial"/>
        <family val="2"/>
      </rPr>
      <t>Phí bảo hiểm</t>
    </r>
    <r>
      <rPr>
        <sz val="10"/>
        <rFont val="Arial"/>
      </rPr>
      <t xml:space="preserve"> dựa vào cột </t>
    </r>
    <r>
      <rPr>
        <b/>
        <sz val="10"/>
        <rFont val="Arial"/>
        <family val="2"/>
      </rPr>
      <t>Nơi đến</t>
    </r>
    <r>
      <rPr>
        <sz val="10"/>
        <rFont val="Arial"/>
      </rPr>
      <t xml:space="preserve"> như sau:</t>
    </r>
    <r>
      <rPr>
        <b/>
        <sz val="10"/>
        <rFont val="Arial"/>
        <family val="2"/>
      </rPr>
      <t xml:space="preserve"> Đà Lạt</t>
    </r>
    <r>
      <rPr>
        <sz val="10"/>
        <rFont val="Arial"/>
      </rPr>
      <t>: 5;</t>
    </r>
    <r>
      <rPr>
        <b/>
        <sz val="10"/>
        <rFont val="Arial"/>
        <family val="2"/>
      </rPr>
      <t xml:space="preserve"> Nha Trang</t>
    </r>
    <r>
      <rPr>
        <sz val="10"/>
        <rFont val="Arial"/>
      </rPr>
      <t xml:space="preserve"> 7, </t>
    </r>
    <r>
      <rPr>
        <b/>
        <sz val="10"/>
        <rFont val="Arial"/>
        <family val="2"/>
      </rPr>
      <t>Nơi khác</t>
    </r>
    <r>
      <rPr>
        <sz val="10"/>
        <rFont val="Arial"/>
      </rPr>
      <t>: 10</t>
    </r>
  </si>
  <si>
    <t>1.Trình bày bảng tính như trên</t>
  </si>
  <si>
    <r>
      <t xml:space="preserve">2.Dựa vào ký tự thứ 3 của </t>
    </r>
    <r>
      <rPr>
        <b/>
        <sz val="10"/>
        <rFont val="Arial"/>
        <family val="2"/>
      </rPr>
      <t>MSHH</t>
    </r>
    <r>
      <rPr>
        <sz val="10"/>
        <rFont val="Arial"/>
      </rPr>
      <t xml:space="preserve"> để điền vào </t>
    </r>
    <r>
      <rPr>
        <b/>
        <sz val="10"/>
        <rFont val="Arial"/>
        <family val="2"/>
      </rPr>
      <t>Mã Sách</t>
    </r>
  </si>
  <si>
    <r>
      <t xml:space="preserve">3.Dựa vào </t>
    </r>
    <r>
      <rPr>
        <b/>
        <sz val="10"/>
        <rFont val="Arial"/>
        <family val="2"/>
      </rPr>
      <t>Mã sách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Loại Sách</t>
    </r>
    <r>
      <rPr>
        <sz val="10"/>
        <rFont val="Arial"/>
      </rPr>
      <t xml:space="preserve"> điền dữ liệu vào cột </t>
    </r>
    <r>
      <rPr>
        <b/>
        <sz val="10"/>
        <rFont val="Arial"/>
        <family val="2"/>
      </rPr>
      <t>Loại Sách</t>
    </r>
  </si>
  <si>
    <r>
      <t xml:space="preserve">4.Dựa vào </t>
    </r>
    <r>
      <rPr>
        <b/>
        <sz val="10"/>
        <rFont val="Arial"/>
        <family val="2"/>
      </rPr>
      <t>Mã sách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Loại Sách</t>
    </r>
    <r>
      <rPr>
        <sz val="10"/>
        <rFont val="Arial"/>
      </rPr>
      <t xml:space="preserve"> điền dự liệu vào cột </t>
    </r>
    <r>
      <rPr>
        <b/>
        <sz val="10"/>
        <rFont val="Arial"/>
        <family val="2"/>
      </rPr>
      <t>Đơn Giá</t>
    </r>
  </si>
  <si>
    <r>
      <t xml:space="preserve">5.Tính 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</rPr>
      <t xml:space="preserve"> * </t>
    </r>
    <r>
      <rPr>
        <b/>
        <sz val="10"/>
        <rFont val="Arial"/>
        <family val="2"/>
      </rPr>
      <t>Đơn giá</t>
    </r>
  </si>
  <si>
    <t>Bảng phí vận chuyển</t>
  </si>
  <si>
    <r>
      <t xml:space="preserve">6.Dựa vào cột </t>
    </r>
    <r>
      <rPr>
        <b/>
        <sz val="10"/>
        <rFont val="Arial"/>
        <family val="2"/>
      </rPr>
      <t>Số lượng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phí vận chuyển</t>
    </r>
    <r>
      <rPr>
        <sz val="10"/>
        <rFont val="Arial"/>
      </rPr>
      <t xml:space="preserve"> để tính </t>
    </r>
    <r>
      <rPr>
        <b/>
        <sz val="10"/>
        <rFont val="Arial"/>
        <family val="2"/>
      </rPr>
      <t>Phí vận chuyển</t>
    </r>
  </si>
  <si>
    <r>
      <t xml:space="preserve">7.Tính </t>
    </r>
    <r>
      <rPr>
        <b/>
        <sz val="10"/>
        <rFont val="Arial"/>
        <family val="2"/>
      </rPr>
      <t>Tiền giảm</t>
    </r>
    <r>
      <rPr>
        <sz val="10"/>
        <rFont val="Arial"/>
      </rPr>
      <t>, biết</t>
    </r>
  </si>
  <si>
    <r>
      <t xml:space="preserve">- Nếu ký tự đầu của </t>
    </r>
    <r>
      <rPr>
        <b/>
        <sz val="10"/>
        <rFont val="Arial"/>
        <family val="2"/>
      </rPr>
      <t>MSHH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A</t>
    </r>
    <r>
      <rPr>
        <sz val="10"/>
        <rFont val="Arial"/>
      </rPr>
      <t xml:space="preserve"> thì </t>
    </r>
    <r>
      <rPr>
        <b/>
        <sz val="10"/>
        <rFont val="Arial"/>
        <family val="2"/>
      </rPr>
      <t>Tiền giảm</t>
    </r>
    <r>
      <rPr>
        <sz val="10"/>
        <rFont val="Arial"/>
      </rPr>
      <t xml:space="preserve"> bằng </t>
    </r>
    <r>
      <rPr>
        <b/>
        <sz val="10"/>
        <rFont val="Arial"/>
        <family val="2"/>
      </rPr>
      <t>8%</t>
    </r>
    <r>
      <rPr>
        <sz val="10"/>
        <rFont val="Arial"/>
      </rPr>
      <t xml:space="preserve"> của </t>
    </r>
    <r>
      <rPr>
        <b/>
        <sz val="10"/>
        <rFont val="Arial"/>
        <family val="2"/>
      </rPr>
      <t>Thành Tiền</t>
    </r>
  </si>
  <si>
    <r>
      <t xml:space="preserve">- Nếu ký tự đầu của </t>
    </r>
    <r>
      <rPr>
        <b/>
        <sz val="10"/>
        <rFont val="Arial"/>
        <family val="2"/>
      </rPr>
      <t>MSHH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B</t>
    </r>
    <r>
      <rPr>
        <sz val="10"/>
        <rFont val="Arial"/>
      </rPr>
      <t xml:space="preserve"> thì </t>
    </r>
    <r>
      <rPr>
        <b/>
        <sz val="10"/>
        <rFont val="Arial"/>
        <family val="2"/>
      </rPr>
      <t>Tiền giảm</t>
    </r>
    <r>
      <rPr>
        <sz val="10"/>
        <rFont val="Arial"/>
      </rPr>
      <t xml:space="preserve"> bằng </t>
    </r>
    <r>
      <rPr>
        <b/>
        <sz val="10"/>
        <rFont val="Arial"/>
        <family val="2"/>
      </rPr>
      <t>5%</t>
    </r>
    <r>
      <rPr>
        <sz val="10"/>
        <rFont val="Arial"/>
      </rPr>
      <t xml:space="preserve"> của </t>
    </r>
    <r>
      <rPr>
        <b/>
        <sz val="10"/>
        <rFont val="Arial"/>
        <family val="2"/>
      </rPr>
      <t>Thành Tiền</t>
    </r>
  </si>
  <si>
    <r>
      <t>8.Chèn thêm cột</t>
    </r>
    <r>
      <rPr>
        <b/>
        <sz val="10"/>
        <rFont val="Arial"/>
        <family val="2"/>
      </rPr>
      <t xml:space="preserve"> PHẢI TRẢ</t>
    </r>
    <r>
      <rPr>
        <sz val="10"/>
        <rFont val="Arial"/>
      </rPr>
      <t xml:space="preserve"> phía sau cột </t>
    </r>
    <r>
      <rPr>
        <b/>
        <sz val="10"/>
        <rFont val="Arial"/>
        <family val="2"/>
      </rPr>
      <t>TIỀN GiẢM</t>
    </r>
  </si>
  <si>
    <r>
      <t xml:space="preserve">- Tính </t>
    </r>
    <r>
      <rPr>
        <b/>
        <sz val="10"/>
        <rFont val="Arial"/>
        <family val="2"/>
      </rPr>
      <t>Phải trả</t>
    </r>
    <r>
      <rPr>
        <sz val="10"/>
        <rFont val="Arial"/>
      </rPr>
      <t xml:space="preserve"> = 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- </t>
    </r>
    <r>
      <rPr>
        <b/>
        <sz val="10"/>
        <rFont val="Arial"/>
        <family val="2"/>
      </rPr>
      <t>Tiền giảm</t>
    </r>
    <r>
      <rPr>
        <sz val="10"/>
        <rFont val="Arial"/>
      </rPr>
      <t xml:space="preserve"> +</t>
    </r>
    <r>
      <rPr>
        <b/>
        <sz val="10"/>
        <rFont val="Arial"/>
        <family val="2"/>
      </rPr>
      <t xml:space="preserve"> Phí vận chuyển</t>
    </r>
  </si>
  <si>
    <r>
      <t xml:space="preserve">9.Sắp xếp bảng tính tăng dần theo cột </t>
    </r>
    <r>
      <rPr>
        <b/>
        <sz val="10"/>
        <rFont val="Arial"/>
        <family val="2"/>
      </rPr>
      <t>Số Lượng</t>
    </r>
  </si>
  <si>
    <t>10.Trích những hàng hóa là Giáo Khoa sang sheet khác và đổi tên sheet lại là GiaoKhoa</t>
  </si>
  <si>
    <t>1.Nhập và trình bày bảng tính như trên, lưu lại với tên NK.XLS</t>
  </si>
  <si>
    <r>
      <t>6.Tính</t>
    </r>
    <r>
      <rPr>
        <b/>
        <sz val="10"/>
        <rFont val="Arial"/>
        <family val="2"/>
      </rPr>
      <t xml:space="preserve"> Thành tiền</t>
    </r>
    <r>
      <rPr>
        <sz val="10"/>
        <rFont val="Arial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</rPr>
      <t xml:space="preserve"> *</t>
    </r>
    <r>
      <rPr>
        <b/>
        <sz val="10"/>
        <rFont val="Arial"/>
        <family val="2"/>
      </rPr>
      <t xml:space="preserve"> Đơn giá</t>
    </r>
  </si>
  <si>
    <r>
      <t>2.</t>
    </r>
    <r>
      <rPr>
        <b/>
        <sz val="10"/>
        <rFont val="Arial"/>
        <family val="2"/>
      </rPr>
      <t>Mã hàng</t>
    </r>
    <r>
      <rPr>
        <sz val="10"/>
        <rFont val="Arial"/>
      </rPr>
      <t xml:space="preserve"> được tính dựa vào 2 ký tự đầu của </t>
    </r>
    <r>
      <rPr>
        <b/>
        <sz val="10"/>
        <rFont val="Arial"/>
        <family val="2"/>
      </rPr>
      <t>Mã C.Từ</t>
    </r>
  </si>
  <si>
    <r>
      <t xml:space="preserve">4.Số </t>
    </r>
    <r>
      <rPr>
        <b/>
        <sz val="10"/>
        <rFont val="Arial"/>
        <family val="2"/>
      </rPr>
      <t>C.Từ</t>
    </r>
    <r>
      <rPr>
        <sz val="10"/>
        <rFont val="Arial"/>
      </rPr>
      <t xml:space="preserve"> là ký tự thứ 3 trong </t>
    </r>
    <r>
      <rPr>
        <b/>
        <sz val="10"/>
        <rFont val="Arial"/>
        <family val="2"/>
      </rPr>
      <t>Mã C.Từ</t>
    </r>
  </si>
  <si>
    <r>
      <t>8.</t>
    </r>
    <r>
      <rPr>
        <b/>
        <sz val="10"/>
        <rFont val="Arial"/>
        <family val="2"/>
      </rPr>
      <t>Phải trả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+ </t>
    </r>
    <r>
      <rPr>
        <b/>
        <sz val="10"/>
        <rFont val="Arial"/>
        <family val="2"/>
      </rPr>
      <t>Thuế</t>
    </r>
  </si>
  <si>
    <r>
      <t xml:space="preserve">9.Tính </t>
    </r>
    <r>
      <rPr>
        <b/>
        <sz val="10"/>
        <rFont val="Arial"/>
        <family val="2"/>
      </rPr>
      <t>Số lần nhập</t>
    </r>
    <r>
      <rPr>
        <sz val="10"/>
        <rFont val="Arial"/>
      </rPr>
      <t xml:space="preserve"> cho từng loại mặt hàng vào </t>
    </r>
    <r>
      <rPr>
        <b/>
        <sz val="10"/>
        <rFont val="Arial"/>
        <family val="2"/>
      </rPr>
      <t>Bảng Thống Kê Phụ</t>
    </r>
  </si>
  <si>
    <r>
      <t xml:space="preserve">10.Sắp xếp bảng tính theo thứ tự tăng dần của cột </t>
    </r>
    <r>
      <rPr>
        <b/>
        <sz val="10"/>
        <rFont val="Arial"/>
        <family val="2"/>
      </rPr>
      <t>Số C.Từ</t>
    </r>
  </si>
  <si>
    <r>
      <t xml:space="preserve">3.Cột </t>
    </r>
    <r>
      <rPr>
        <b/>
        <sz val="10"/>
        <rFont val="Arial"/>
        <family val="2"/>
      </rPr>
      <t>Tiêu thụ</t>
    </r>
    <r>
      <rPr>
        <sz val="10"/>
        <rFont val="Arial"/>
      </rPr>
      <t xml:space="preserve"> được tính như sau:</t>
    </r>
  </si>
  <si>
    <r>
      <t xml:space="preserve">2.Dựa vào 2 ký tự đầu tiên của </t>
    </r>
    <r>
      <rPr>
        <b/>
        <sz val="10"/>
        <rFont val="Arial"/>
        <family val="2"/>
      </rPr>
      <t>Mã KH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Loại Hộ</t>
    </r>
  </si>
  <si>
    <r>
      <t xml:space="preserve">4.Dựa vào </t>
    </r>
    <r>
      <rPr>
        <b/>
        <sz val="10"/>
        <rFont val="Arial"/>
        <family val="2"/>
      </rPr>
      <t>Loại hộ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dữ liệu vào cột </t>
    </r>
    <r>
      <rPr>
        <b/>
        <sz val="10"/>
        <rFont val="Arial"/>
        <family val="2"/>
      </rPr>
      <t>Định Mức</t>
    </r>
  </si>
  <si>
    <r>
      <t xml:space="preserve">5.Dựa vào </t>
    </r>
    <r>
      <rPr>
        <b/>
        <sz val="10"/>
        <rFont val="Arial"/>
        <family val="2"/>
      </rPr>
      <t>Loại hộ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đề điền dữ liệu vào cột </t>
    </r>
    <r>
      <rPr>
        <b/>
        <sz val="10"/>
        <rFont val="Arial"/>
        <family val="2"/>
      </rPr>
      <t>Đơn giá</t>
    </r>
  </si>
  <si>
    <r>
      <t xml:space="preserve">6.Tính số </t>
    </r>
    <r>
      <rPr>
        <b/>
        <sz val="10"/>
        <rFont val="Arial"/>
        <family val="2"/>
      </rPr>
      <t>KW vượt ĐM</t>
    </r>
    <r>
      <rPr>
        <sz val="10"/>
        <rFont val="Arial"/>
      </rPr>
      <t xml:space="preserve"> theo điều kiện:</t>
    </r>
  </si>
  <si>
    <r>
      <t xml:space="preserve">- Nếu </t>
    </r>
    <r>
      <rPr>
        <b/>
        <sz val="10"/>
        <rFont val="Arial"/>
        <family val="2"/>
      </rPr>
      <t>TIÊU THỤ &gt; ĐỊNH MỨC</t>
    </r>
    <r>
      <rPr>
        <sz val="10"/>
        <rFont val="Arial"/>
      </rPr>
      <t xml:space="preserve"> thì </t>
    </r>
    <r>
      <rPr>
        <b/>
        <sz val="10"/>
        <rFont val="Arial"/>
        <family val="2"/>
      </rPr>
      <t>Số KW VƯỢT ĐM</t>
    </r>
    <r>
      <rPr>
        <sz val="10"/>
        <rFont val="Arial"/>
      </rPr>
      <t>=</t>
    </r>
    <r>
      <rPr>
        <b/>
        <sz val="10"/>
        <rFont val="Arial"/>
        <family val="2"/>
      </rPr>
      <t>TIÊU THỤ</t>
    </r>
    <r>
      <rPr>
        <sz val="10"/>
        <rFont val="Arial"/>
      </rPr>
      <t xml:space="preserve"> - </t>
    </r>
    <r>
      <rPr>
        <b/>
        <sz val="10"/>
        <rFont val="Arial"/>
        <family val="2"/>
      </rPr>
      <t>ĐỊNH MỨC</t>
    </r>
  </si>
  <si>
    <r>
      <t>- Nếu không thì</t>
    </r>
    <r>
      <rPr>
        <b/>
        <sz val="10"/>
        <rFont val="Arial"/>
        <family val="2"/>
      </rPr>
      <t xml:space="preserve"> Số KW VƯỢT ĐM</t>
    </r>
    <r>
      <rPr>
        <sz val="10"/>
        <rFont val="Arial"/>
      </rPr>
      <t xml:space="preserve"> = </t>
    </r>
    <r>
      <rPr>
        <b/>
        <sz val="10"/>
        <rFont val="Arial"/>
        <family val="2"/>
      </rPr>
      <t>0</t>
    </r>
  </si>
  <si>
    <r>
      <t xml:space="preserve">8.Tính </t>
    </r>
    <r>
      <rPr>
        <b/>
        <sz val="10"/>
        <rFont val="Arial"/>
        <family val="2"/>
      </rPr>
      <t>Tiền vượt ĐM</t>
    </r>
    <r>
      <rPr>
        <sz val="10"/>
        <rFont val="Arial"/>
      </rPr>
      <t xml:space="preserve"> = </t>
    </r>
    <r>
      <rPr>
        <b/>
        <sz val="10"/>
        <rFont val="Arial"/>
        <family val="2"/>
      </rPr>
      <t>SỐ KW VƯỢT ĐM</t>
    </r>
    <r>
      <rPr>
        <sz val="10"/>
        <rFont val="Arial"/>
      </rPr>
      <t xml:space="preserve"> * </t>
    </r>
    <r>
      <rPr>
        <b/>
        <sz val="10"/>
        <rFont val="Arial"/>
        <family val="2"/>
      </rPr>
      <t>ĐƠN GIÁ</t>
    </r>
    <r>
      <rPr>
        <sz val="10"/>
        <rFont val="Arial"/>
      </rPr>
      <t xml:space="preserve"> * </t>
    </r>
    <r>
      <rPr>
        <b/>
        <sz val="10"/>
        <rFont val="Arial"/>
        <family val="2"/>
      </rPr>
      <t>HỆ SỐ VƯỢT</t>
    </r>
  </si>
  <si>
    <r>
      <t xml:space="preserve">- </t>
    </r>
    <r>
      <rPr>
        <b/>
        <sz val="10"/>
        <rFont val="Arial"/>
        <family val="2"/>
      </rPr>
      <t>HỆ SỐ VƯỢT</t>
    </r>
    <r>
      <rPr>
        <sz val="10"/>
        <rFont val="Arial"/>
      </rPr>
      <t xml:space="preserve"> căn cứ vào </t>
    </r>
    <r>
      <rPr>
        <b/>
        <sz val="10"/>
        <rFont val="Arial"/>
        <family val="2"/>
      </rPr>
      <t>Số KW Vượt ĐM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</si>
  <si>
    <r>
      <t>- Nếu</t>
    </r>
    <r>
      <rPr>
        <b/>
        <sz val="10"/>
        <rFont val="Arial"/>
        <family val="2"/>
      </rPr>
      <t xml:space="preserve"> CS mới</t>
    </r>
    <r>
      <rPr>
        <sz val="10"/>
        <rFont val="Arial"/>
      </rPr>
      <t xml:space="preserve"> &gt;= </t>
    </r>
    <r>
      <rPr>
        <b/>
        <sz val="10"/>
        <rFont val="Arial"/>
        <family val="2"/>
      </rPr>
      <t>CS cũ</t>
    </r>
    <r>
      <rPr>
        <sz val="10"/>
        <rFont val="Arial"/>
      </rPr>
      <t xml:space="preserve"> thì </t>
    </r>
    <r>
      <rPr>
        <b/>
        <sz val="10"/>
        <rFont val="Arial"/>
        <family val="2"/>
      </rPr>
      <t>TIÊU THỤ</t>
    </r>
    <r>
      <rPr>
        <sz val="10"/>
        <rFont val="Arial"/>
      </rPr>
      <t xml:space="preserve"> = </t>
    </r>
    <r>
      <rPr>
        <b/>
        <sz val="10"/>
        <rFont val="Arial"/>
        <family val="2"/>
      </rPr>
      <t>CS mới</t>
    </r>
    <r>
      <rPr>
        <sz val="10"/>
        <rFont val="Arial"/>
      </rPr>
      <t xml:space="preserve"> - </t>
    </r>
    <r>
      <rPr>
        <b/>
        <sz val="10"/>
        <rFont val="Arial"/>
        <family val="2"/>
      </rPr>
      <t>CS cũ</t>
    </r>
  </si>
  <si>
    <r>
      <t xml:space="preserve">- Ngược lại thì </t>
    </r>
    <r>
      <rPr>
        <b/>
        <sz val="10"/>
        <rFont val="Arial"/>
        <family val="2"/>
      </rPr>
      <t>TIÊU THỤ</t>
    </r>
    <r>
      <rPr>
        <sz val="10"/>
        <rFont val="Arial"/>
      </rPr>
      <t>=</t>
    </r>
    <r>
      <rPr>
        <b/>
        <sz val="10"/>
        <rFont val="Arial"/>
        <family val="2"/>
      </rPr>
      <t>10000</t>
    </r>
    <r>
      <rPr>
        <sz val="10"/>
        <rFont val="Arial"/>
      </rPr>
      <t xml:space="preserve"> -</t>
    </r>
    <r>
      <rPr>
        <b/>
        <sz val="10"/>
        <rFont val="Arial"/>
        <family val="2"/>
      </rPr>
      <t xml:space="preserve"> CS cũ</t>
    </r>
    <r>
      <rPr>
        <sz val="10"/>
        <rFont val="Arial"/>
      </rPr>
      <t xml:space="preserve"> + </t>
    </r>
    <r>
      <rPr>
        <b/>
        <sz val="10"/>
        <rFont val="Arial"/>
        <family val="2"/>
      </rPr>
      <t>CS mới</t>
    </r>
  </si>
  <si>
    <r>
      <t xml:space="preserve">2.Dựa vào 2 ký tự đầu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để điền dữ liệu vào cột </t>
    </r>
    <r>
      <rPr>
        <b/>
        <sz val="10"/>
        <rFont val="Arial"/>
        <family val="2"/>
      </rPr>
      <t>Mã hàng</t>
    </r>
  </si>
  <si>
    <r>
      <t xml:space="preserve">4.Tính </t>
    </r>
    <r>
      <rPr>
        <b/>
        <sz val="10"/>
        <rFont val="Arial"/>
        <family val="2"/>
      </rPr>
      <t>Tiền nhập</t>
    </r>
    <r>
      <rPr>
        <sz val="10"/>
        <rFont val="Arial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</rPr>
      <t xml:space="preserve"> * </t>
    </r>
    <r>
      <rPr>
        <b/>
        <sz val="10"/>
        <rFont val="Arial"/>
        <family val="2"/>
      </rPr>
      <t>Giá nhập</t>
    </r>
    <r>
      <rPr>
        <sz val="10"/>
        <rFont val="Arial"/>
      </rPr>
      <t xml:space="preserve"> (Giá nhập được tính dựa vào Mã hàng và Bảng giá nhập)</t>
    </r>
  </si>
  <si>
    <r>
      <t xml:space="preserve">5.Tính </t>
    </r>
    <r>
      <rPr>
        <b/>
        <sz val="10"/>
        <rFont val="Arial"/>
        <family val="2"/>
      </rPr>
      <t>Tiền xuấ</t>
    </r>
    <r>
      <rPr>
        <sz val="10"/>
        <rFont val="Arial"/>
      </rPr>
      <t>t biết:</t>
    </r>
  </si>
  <si>
    <r>
      <t>6</t>
    </r>
    <r>
      <rPr>
        <b/>
        <sz val="10"/>
        <rFont val="Arial"/>
        <family val="2"/>
      </rPr>
      <t>.Thuế VAT</t>
    </r>
    <r>
      <rPr>
        <sz val="10"/>
        <rFont val="Arial"/>
      </rPr>
      <t>=</t>
    </r>
    <r>
      <rPr>
        <b/>
        <sz val="10"/>
        <rFont val="Arial"/>
        <family val="2"/>
      </rPr>
      <t>10%</t>
    </r>
    <r>
      <rPr>
        <sz val="10"/>
        <rFont val="Arial"/>
      </rPr>
      <t>*(</t>
    </r>
    <r>
      <rPr>
        <b/>
        <sz val="10"/>
        <rFont val="Arial"/>
        <family val="2"/>
      </rPr>
      <t>Tiền xuất</t>
    </r>
    <r>
      <rPr>
        <sz val="10"/>
        <rFont val="Arial"/>
      </rPr>
      <t xml:space="preserve"> - </t>
    </r>
    <r>
      <rPr>
        <b/>
        <sz val="10"/>
        <rFont val="Arial"/>
        <family val="2"/>
      </rPr>
      <t>Tiền nhập</t>
    </r>
    <r>
      <rPr>
        <sz val="10"/>
        <rFont val="Arial"/>
      </rPr>
      <t>)</t>
    </r>
  </si>
  <si>
    <r>
      <t>7.</t>
    </r>
    <r>
      <rPr>
        <b/>
        <sz val="10"/>
        <rFont val="Arial"/>
        <family val="2"/>
      </rPr>
      <t>Lợi nhuận</t>
    </r>
    <r>
      <rPr>
        <sz val="10"/>
        <rFont val="Arial"/>
      </rPr>
      <t>=</t>
    </r>
    <r>
      <rPr>
        <b/>
        <sz val="10"/>
        <rFont val="Arial"/>
        <family val="2"/>
      </rPr>
      <t>Tiền xuất</t>
    </r>
    <r>
      <rPr>
        <sz val="10"/>
        <rFont val="Arial"/>
      </rPr>
      <t>-(</t>
    </r>
    <r>
      <rPr>
        <b/>
        <sz val="10"/>
        <rFont val="Arial"/>
        <family val="2"/>
      </rPr>
      <t>Tiền nhập</t>
    </r>
    <r>
      <rPr>
        <sz val="10"/>
        <rFont val="Arial"/>
      </rPr>
      <t>+</t>
    </r>
    <r>
      <rPr>
        <b/>
        <sz val="10"/>
        <rFont val="Arial"/>
        <family val="2"/>
      </rPr>
      <t>Thuế VAT</t>
    </r>
    <r>
      <rPr>
        <sz val="10"/>
        <rFont val="Arial"/>
      </rPr>
      <t>)</t>
    </r>
  </si>
  <si>
    <r>
      <t xml:space="preserve">8.Tính Thấp nhất, Cao nhất, Tổng cộng của cột </t>
    </r>
    <r>
      <rPr>
        <b/>
        <sz val="10"/>
        <rFont val="Arial"/>
        <family val="2"/>
      </rPr>
      <t>Lợi Nhuận</t>
    </r>
  </si>
  <si>
    <r>
      <t xml:space="preserve">2.Dựa vào 2 ký tự đầu của </t>
    </r>
    <r>
      <rPr>
        <b/>
        <sz val="10"/>
        <rFont val="Arial"/>
        <family val="2"/>
      </rPr>
      <t>Mã NV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Mã ngạch</t>
    </r>
  </si>
  <si>
    <r>
      <t xml:space="preserve">3.Dựa vào ký tự thứ 3 của </t>
    </r>
    <r>
      <rPr>
        <b/>
        <sz val="10"/>
        <rFont val="Arial"/>
        <family val="2"/>
      </rPr>
      <t>Mã NV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Bậc</t>
    </r>
  </si>
  <si>
    <r>
      <t xml:space="preserve">4.Dựa vào </t>
    </r>
    <r>
      <rPr>
        <b/>
        <sz val="10"/>
        <rFont val="Arial"/>
        <family val="2"/>
      </rPr>
      <t>Mã NV</t>
    </r>
    <r>
      <rPr>
        <sz val="10"/>
        <rFont val="Arial"/>
      </rPr>
      <t xml:space="preserve">, </t>
    </r>
    <r>
      <rPr>
        <b/>
        <sz val="10"/>
        <rFont val="Arial"/>
        <family val="2"/>
      </rPr>
      <t>Bậc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</rPr>
      <t xml:space="preserve"> để điền dữ liệu vào cột </t>
    </r>
    <r>
      <rPr>
        <b/>
        <sz val="10"/>
        <rFont val="Arial"/>
        <family val="2"/>
      </rPr>
      <t>Hệ số</t>
    </r>
  </si>
  <si>
    <r>
      <t xml:space="preserve">5.Dựa vào </t>
    </r>
    <r>
      <rPr>
        <b/>
        <sz val="10"/>
        <rFont val="Arial"/>
        <family val="2"/>
      </rPr>
      <t>Xếp Loại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tiền thưởng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Thưởng</t>
    </r>
  </si>
  <si>
    <r>
      <t>6.</t>
    </r>
    <r>
      <rPr>
        <b/>
        <sz val="10"/>
        <rFont val="Arial"/>
        <family val="2"/>
      </rPr>
      <t>Lương</t>
    </r>
    <r>
      <rPr>
        <sz val="10"/>
        <rFont val="Arial"/>
      </rPr>
      <t>=</t>
    </r>
    <r>
      <rPr>
        <b/>
        <sz val="10"/>
        <rFont val="Arial"/>
        <family val="2"/>
      </rPr>
      <t>Lương căn bản</t>
    </r>
    <r>
      <rPr>
        <sz val="10"/>
        <rFont val="Arial"/>
      </rPr>
      <t>*</t>
    </r>
    <r>
      <rPr>
        <b/>
        <sz val="10"/>
        <rFont val="Arial"/>
        <family val="2"/>
      </rPr>
      <t>Hệ số</t>
    </r>
    <r>
      <rPr>
        <sz val="10"/>
        <rFont val="Arial"/>
      </rPr>
      <t>+</t>
    </r>
    <r>
      <rPr>
        <b/>
        <sz val="10"/>
        <rFont val="Arial"/>
        <family val="2"/>
      </rPr>
      <t>Thưởng</t>
    </r>
  </si>
  <si>
    <r>
      <t>7.</t>
    </r>
    <r>
      <rPr>
        <b/>
        <sz val="10"/>
        <rFont val="Arial"/>
        <family val="2"/>
      </rPr>
      <t>Thuế</t>
    </r>
    <r>
      <rPr>
        <sz val="10"/>
        <rFont val="Arial"/>
      </rPr>
      <t xml:space="preserve"> được tính theo điều kiện sau:</t>
    </r>
  </si>
  <si>
    <t>-Nếu Lương trên 2000 thì tính 15%*Số vượt trên 2000</t>
  </si>
  <si>
    <r>
      <t xml:space="preserve">8.Tính </t>
    </r>
    <r>
      <rPr>
        <b/>
        <sz val="10"/>
        <rFont val="Arial"/>
        <family val="2"/>
      </rPr>
      <t>Còn Lại</t>
    </r>
    <r>
      <rPr>
        <sz val="10"/>
        <rFont val="Arial"/>
      </rPr>
      <t>=</t>
    </r>
    <r>
      <rPr>
        <b/>
        <sz val="10"/>
        <rFont val="Arial"/>
        <family val="2"/>
      </rPr>
      <t>Lương</t>
    </r>
    <r>
      <rPr>
        <sz val="10"/>
        <rFont val="Arial"/>
      </rPr>
      <t>-</t>
    </r>
    <r>
      <rPr>
        <b/>
        <sz val="10"/>
        <rFont val="Arial"/>
        <family val="2"/>
      </rPr>
      <t>Thuế</t>
    </r>
  </si>
  <si>
    <t>9.Trích lọc những nhân viên có Mã ngạch là NV và Xếp loại A sang sheet khác với tên NVA</t>
  </si>
  <si>
    <r>
      <t>3.</t>
    </r>
    <r>
      <rPr>
        <b/>
        <sz val="10"/>
        <rFont val="Arial"/>
        <family val="2"/>
      </rPr>
      <t>Tầng</t>
    </r>
    <r>
      <rPr>
        <sz val="10"/>
        <rFont val="Arial"/>
      </rPr>
      <t xml:space="preserve"> được tính dựa vào ký tự cuối cùng trong </t>
    </r>
    <r>
      <rPr>
        <b/>
        <sz val="10"/>
        <rFont val="Arial"/>
        <family val="2"/>
      </rPr>
      <t>Mã KH</t>
    </r>
  </si>
  <si>
    <r>
      <t xml:space="preserve">2.Dựa vào ký tự thứ 4 trong </t>
    </r>
    <r>
      <rPr>
        <b/>
        <sz val="10"/>
        <rFont val="Arial"/>
        <family val="2"/>
      </rPr>
      <t>Mã KH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Loại Phòng</t>
    </r>
  </si>
  <si>
    <r>
      <t xml:space="preserve">4.Tính cột </t>
    </r>
    <r>
      <rPr>
        <b/>
        <sz val="10"/>
        <rFont val="Arial"/>
        <family val="2"/>
      </rPr>
      <t>Số Tuần</t>
    </r>
    <r>
      <rPr>
        <sz val="10"/>
        <rFont val="Arial"/>
      </rPr>
      <t xml:space="preserve"> và cột </t>
    </r>
    <r>
      <rPr>
        <b/>
        <sz val="10"/>
        <rFont val="Arial"/>
        <family val="2"/>
      </rPr>
      <t>Số Ngày Lẻ</t>
    </r>
  </si>
  <si>
    <r>
      <t xml:space="preserve">5.Dựa vào </t>
    </r>
    <r>
      <rPr>
        <b/>
        <sz val="10"/>
        <rFont val="Arial"/>
        <family val="2"/>
      </rPr>
      <t>Loại phòng</t>
    </r>
    <r>
      <rPr>
        <sz val="10"/>
        <rFont val="Arial"/>
      </rPr>
      <t xml:space="preserve">, </t>
    </r>
    <r>
      <rPr>
        <b/>
        <sz val="10"/>
        <rFont val="Arial"/>
        <family val="2"/>
      </rPr>
      <t>Tầng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Đơn giá tuần</t>
    </r>
  </si>
  <si>
    <r>
      <t xml:space="preserve">6.Dựa vào </t>
    </r>
    <r>
      <rPr>
        <b/>
        <sz val="10"/>
        <rFont val="Arial"/>
        <family val="2"/>
      </rPr>
      <t>Loại phòng</t>
    </r>
    <r>
      <rPr>
        <sz val="10"/>
        <rFont val="Arial"/>
      </rPr>
      <t xml:space="preserve">, </t>
    </r>
    <r>
      <rPr>
        <b/>
        <sz val="10"/>
        <rFont val="Arial"/>
        <family val="2"/>
      </rPr>
      <t>Tầng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Đơn giá ngày</t>
    </r>
  </si>
  <si>
    <r>
      <t>7.</t>
    </r>
    <r>
      <rPr>
        <b/>
        <sz val="10"/>
        <rFont val="Arial"/>
        <family val="2"/>
      </rPr>
      <t>Tổng tiền</t>
    </r>
    <r>
      <rPr>
        <sz val="10"/>
        <rFont val="Arial"/>
      </rPr>
      <t>=</t>
    </r>
    <r>
      <rPr>
        <b/>
        <sz val="10"/>
        <rFont val="Arial"/>
        <family val="2"/>
      </rPr>
      <t>Số tuần</t>
    </r>
    <r>
      <rPr>
        <sz val="10"/>
        <rFont val="Arial"/>
      </rPr>
      <t>*</t>
    </r>
    <r>
      <rPr>
        <b/>
        <sz val="10"/>
        <rFont val="Arial"/>
        <family val="2"/>
      </rPr>
      <t>Đơn giá tuần</t>
    </r>
    <r>
      <rPr>
        <sz val="10"/>
        <rFont val="Arial"/>
      </rPr>
      <t>+</t>
    </r>
    <r>
      <rPr>
        <b/>
        <sz val="10"/>
        <rFont val="Arial"/>
        <family val="2"/>
      </rPr>
      <t>Số ngày lẻ</t>
    </r>
    <r>
      <rPr>
        <sz val="10"/>
        <rFont val="Arial"/>
      </rPr>
      <t>*</t>
    </r>
    <r>
      <rPr>
        <b/>
        <sz val="10"/>
        <rFont val="Arial"/>
        <family val="2"/>
      </rPr>
      <t>Đơn giá ngày</t>
    </r>
  </si>
  <si>
    <r>
      <t xml:space="preserve">8.Tính </t>
    </r>
    <r>
      <rPr>
        <b/>
        <sz val="10"/>
        <rFont val="Arial"/>
        <family val="2"/>
      </rPr>
      <t>Tiền khuyến mãi</t>
    </r>
    <r>
      <rPr>
        <sz val="10"/>
        <rFont val="Arial"/>
      </rPr>
      <t xml:space="preserve"> thỏa điều kiện sau:</t>
    </r>
  </si>
  <si>
    <r>
      <t xml:space="preserve">-Nếu </t>
    </r>
    <r>
      <rPr>
        <b/>
        <sz val="10"/>
        <rFont val="Arial"/>
        <family val="2"/>
      </rPr>
      <t>Số tuần</t>
    </r>
    <r>
      <rPr>
        <sz val="10"/>
        <rFont val="Arial"/>
      </rPr>
      <t xml:space="preserve"> lớn hơn 4 và </t>
    </r>
    <r>
      <rPr>
        <b/>
        <sz val="10"/>
        <rFont val="Arial"/>
        <family val="2"/>
      </rPr>
      <t>Tổng tiền</t>
    </r>
    <r>
      <rPr>
        <sz val="10"/>
        <rFont val="Arial"/>
      </rPr>
      <t xml:space="preserve"> lớn hơn 300 thì khuyến mãi là 10%*</t>
    </r>
    <r>
      <rPr>
        <b/>
        <sz val="10"/>
        <rFont val="Arial"/>
        <family val="2"/>
      </rPr>
      <t>Tổng Tiền</t>
    </r>
  </si>
  <si>
    <r>
      <t xml:space="preserve">10.Trích lọc các khách hàng ở </t>
    </r>
    <r>
      <rPr>
        <b/>
        <sz val="10"/>
        <rFont val="Arial"/>
        <family val="2"/>
      </rPr>
      <t>Tầng 1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Loại phòng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A</t>
    </r>
    <r>
      <rPr>
        <sz val="10"/>
        <rFont val="Arial"/>
      </rPr>
      <t xml:space="preserve"> sang sheet khác đặt tên là </t>
    </r>
    <r>
      <rPr>
        <b/>
        <sz val="10"/>
        <rFont val="Arial"/>
        <family val="2"/>
      </rPr>
      <t>A1</t>
    </r>
  </si>
  <si>
    <r>
      <t xml:space="preserve">2.Dựa vào ký tự đầu tiên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hàng</t>
    </r>
  </si>
  <si>
    <r>
      <t>3.</t>
    </r>
    <r>
      <rPr>
        <b/>
        <sz val="10"/>
        <rFont val="Arial"/>
        <family val="2"/>
      </rPr>
      <t>Số lượng</t>
    </r>
    <r>
      <rPr>
        <sz val="10"/>
        <rFont val="Arial"/>
      </rPr>
      <t xml:space="preserve"> được tính dựa vào 2 giá trị giữa của </t>
    </r>
    <r>
      <rPr>
        <b/>
        <sz val="10"/>
        <rFont val="Arial"/>
        <family val="2"/>
      </rPr>
      <t>Mã HĐ</t>
    </r>
  </si>
  <si>
    <r>
      <t xml:space="preserve">5.Dựa vào ký tự cuối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Tỷ lệ thuế</t>
    </r>
  </si>
  <si>
    <r>
      <t>6.</t>
    </r>
    <r>
      <rPr>
        <b/>
        <sz val="10"/>
        <rFont val="Arial"/>
        <family val="2"/>
      </rPr>
      <t>Thành tiền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  <r>
      <rPr>
        <sz val="10"/>
        <rFont val="Arial"/>
      </rPr>
      <t>*(1+</t>
    </r>
    <r>
      <rPr>
        <b/>
        <sz val="10"/>
        <rFont val="Arial"/>
        <family val="2"/>
      </rPr>
      <t>Tỷ lế thuế</t>
    </r>
    <r>
      <rPr>
        <sz val="10"/>
        <rFont val="Arial"/>
      </rPr>
      <t>)</t>
    </r>
  </si>
  <si>
    <r>
      <t>7.</t>
    </r>
    <r>
      <rPr>
        <b/>
        <sz val="10"/>
        <rFont val="Arial"/>
        <family val="2"/>
      </rPr>
      <t>Giảm giá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*</t>
    </r>
    <r>
      <rPr>
        <b/>
        <sz val="10"/>
        <rFont val="Arial"/>
        <family val="2"/>
      </rPr>
      <t>Tỷ lệ giảm</t>
    </r>
    <r>
      <rPr>
        <sz val="10"/>
        <rFont val="Arial"/>
      </rPr>
      <t xml:space="preserve">(Được tính dựa vào ký tự cuối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</rPr>
      <t>)</t>
    </r>
  </si>
  <si>
    <r>
      <t>8.</t>
    </r>
    <r>
      <rPr>
        <b/>
        <sz val="10"/>
        <rFont val="Arial"/>
        <family val="2"/>
      </rPr>
      <t>Thực thu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-</t>
    </r>
    <r>
      <rPr>
        <b/>
        <sz val="10"/>
        <rFont val="Arial"/>
        <family val="2"/>
      </rPr>
      <t>Giảm giá</t>
    </r>
  </si>
  <si>
    <r>
      <t xml:space="preserve">9.Trích lọc những mặt hàng là </t>
    </r>
    <r>
      <rPr>
        <b/>
        <sz val="10"/>
        <rFont val="Arial"/>
        <family val="2"/>
      </rPr>
      <t>Bàn ủi</t>
    </r>
    <r>
      <rPr>
        <sz val="10"/>
        <rFont val="Arial"/>
      </rPr>
      <t xml:space="preserve"> và số </t>
    </r>
    <r>
      <rPr>
        <b/>
        <sz val="10"/>
        <rFont val="Arial"/>
        <family val="2"/>
      </rPr>
      <t>Hệ số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1</t>
    </r>
    <r>
      <rPr>
        <sz val="10"/>
        <rFont val="Arial"/>
      </rPr>
      <t xml:space="preserve"> sang sheet khác lưu lại với tên là B1</t>
    </r>
  </si>
  <si>
    <r>
      <t xml:space="preserve">2.Dựa vào 2 ký tự cuối của </t>
    </r>
    <r>
      <rPr>
        <b/>
        <sz val="10"/>
        <rFont val="Arial"/>
        <family val="2"/>
      </rPr>
      <t>Loại Vé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tên tàu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Tàu</t>
    </r>
  </si>
  <si>
    <r>
      <t xml:space="preserve">3.Dựa vào 2 ký tự đầu của </t>
    </r>
    <r>
      <rPr>
        <b/>
        <sz val="10"/>
        <rFont val="Arial"/>
        <family val="2"/>
      </rPr>
      <t>Loại vé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vé</t>
    </r>
  </si>
  <si>
    <r>
      <t xml:space="preserve">4.Dựa vào </t>
    </r>
    <r>
      <rPr>
        <b/>
        <sz val="10"/>
        <rFont val="Arial"/>
        <family val="2"/>
      </rPr>
      <t>Tên tàu</t>
    </r>
    <r>
      <rPr>
        <sz val="10"/>
        <rFont val="Arial"/>
      </rPr>
      <t xml:space="preserve">, </t>
    </r>
    <r>
      <rPr>
        <b/>
        <sz val="10"/>
        <rFont val="Arial"/>
        <family val="2"/>
      </rPr>
      <t>Tên vé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Giá vé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</si>
  <si>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Giá vé</t>
    </r>
  </si>
  <si>
    <r>
      <t>6.</t>
    </r>
    <r>
      <rPr>
        <b/>
        <sz val="10"/>
        <rFont val="Arial"/>
        <family val="2"/>
      </rPr>
      <t>Thuế</t>
    </r>
    <r>
      <rPr>
        <sz val="10"/>
        <rFont val="Arial"/>
      </rPr>
      <t>=</t>
    </r>
    <r>
      <rPr>
        <b/>
        <sz val="10"/>
        <rFont val="Arial"/>
        <family val="2"/>
      </rPr>
      <t>10%</t>
    </r>
    <r>
      <rPr>
        <sz val="10"/>
        <rFont val="Arial"/>
      </rPr>
      <t>*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đối với </t>
    </r>
    <r>
      <rPr>
        <b/>
        <sz val="10"/>
        <rFont val="Arial"/>
        <family val="2"/>
      </rPr>
      <t>Tàu S1</t>
    </r>
    <r>
      <rPr>
        <sz val="10"/>
        <rFont val="Arial"/>
      </rPr>
      <t xml:space="preserve">, </t>
    </r>
    <r>
      <rPr>
        <b/>
        <sz val="10"/>
        <rFont val="Arial"/>
        <family val="2"/>
      </rPr>
      <t>5%</t>
    </r>
    <r>
      <rPr>
        <sz val="10"/>
        <rFont val="Arial"/>
      </rPr>
      <t>*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đối với </t>
    </r>
    <r>
      <rPr>
        <b/>
        <sz val="10"/>
        <rFont val="Arial"/>
        <family val="2"/>
      </rPr>
      <t>Tàu S2</t>
    </r>
    <r>
      <rPr>
        <sz val="10"/>
        <rFont val="Arial"/>
      </rPr>
      <t xml:space="preserve"> hoặc </t>
    </r>
    <r>
      <rPr>
        <b/>
        <sz val="10"/>
        <rFont val="Arial"/>
        <family val="2"/>
      </rPr>
      <t>Tàu S3</t>
    </r>
  </si>
  <si>
    <r>
      <t>7.</t>
    </r>
    <r>
      <rPr>
        <b/>
        <sz val="10"/>
        <rFont val="Arial"/>
        <family val="2"/>
      </rPr>
      <t>Tổng cộng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+</t>
    </r>
    <r>
      <rPr>
        <b/>
        <sz val="10"/>
        <rFont val="Arial"/>
        <family val="2"/>
      </rPr>
      <t>Thuế</t>
    </r>
    <r>
      <rPr>
        <sz val="10"/>
        <rFont val="Arial"/>
      </rPr>
      <t>, làm tròn đến hàng ngàn</t>
    </r>
  </si>
  <si>
    <r>
      <t xml:space="preserve">8.Trích lọc danh sách có </t>
    </r>
    <r>
      <rPr>
        <b/>
        <sz val="10"/>
        <rFont val="Arial"/>
        <family val="2"/>
      </rPr>
      <t>Tên vé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Ghế Mềm</t>
    </r>
    <r>
      <rPr>
        <sz val="10"/>
        <rFont val="Arial"/>
      </rPr>
      <t xml:space="preserve"> sang sheet khác, lưu lại với tên GM</t>
    </r>
  </si>
  <si>
    <r>
      <t>1.</t>
    </r>
    <r>
      <rPr>
        <b/>
        <sz val="10"/>
        <rFont val="Arial"/>
        <family val="2"/>
      </rPr>
      <t>Mã hàng</t>
    </r>
    <r>
      <rPr>
        <sz val="10"/>
        <rFont val="Arial"/>
      </rPr>
      <t xml:space="preserve"> là ký tự đầu của </t>
    </r>
    <r>
      <rPr>
        <b/>
        <sz val="10"/>
        <rFont val="Arial"/>
        <family val="2"/>
      </rPr>
      <t>Chứng Từ</t>
    </r>
  </si>
  <si>
    <r>
      <t xml:space="preserve">2.Dựa vào </t>
    </r>
    <r>
      <rPr>
        <b/>
        <sz val="10"/>
        <rFont val="Arial"/>
        <family val="2"/>
      </rPr>
      <t>Mã hàng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dữ liệu vào cột </t>
    </r>
    <r>
      <rPr>
        <b/>
        <sz val="10"/>
        <rFont val="Arial"/>
        <family val="2"/>
      </rPr>
      <t>Tên hàng</t>
    </r>
  </si>
  <si>
    <r>
      <t xml:space="preserve">3.Dựa vào 2 ký tự cuối của </t>
    </r>
    <r>
      <rPr>
        <b/>
        <sz val="10"/>
        <rFont val="Arial"/>
        <family val="2"/>
      </rPr>
      <t>Chứng từ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nhà SX</t>
    </r>
  </si>
  <si>
    <t>-Nếu 2 ký tự cuối là TN thì Tên nhà SX là Nội địa</t>
  </si>
  <si>
    <r>
      <t xml:space="preserve">4.Dựa vào </t>
    </r>
    <r>
      <rPr>
        <b/>
        <sz val="10"/>
        <rFont val="Arial"/>
        <family val="2"/>
      </rPr>
      <t>Mã hàng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Đơn giá</t>
    </r>
  </si>
  <si>
    <r>
      <t>5.</t>
    </r>
    <r>
      <rPr>
        <b/>
        <sz val="10"/>
        <rFont val="Arial"/>
        <family val="2"/>
      </rPr>
      <t>Thuế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  <r>
      <rPr>
        <sz val="10"/>
        <rFont val="Arial"/>
      </rPr>
      <t>*</t>
    </r>
    <r>
      <rPr>
        <b/>
        <sz val="10"/>
        <rFont val="Arial"/>
        <family val="2"/>
      </rPr>
      <t>Thuế suất</t>
    </r>
    <r>
      <rPr>
        <sz val="10"/>
        <rFont val="Arial"/>
      </rPr>
      <t>. Biết:</t>
    </r>
  </si>
  <si>
    <r>
      <t>6.</t>
    </r>
    <r>
      <rPr>
        <b/>
        <sz val="10"/>
        <rFont val="Arial"/>
        <family val="2"/>
      </rPr>
      <t>Thành tiền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  <r>
      <rPr>
        <sz val="10"/>
        <rFont val="Arial"/>
      </rPr>
      <t>+</t>
    </r>
    <r>
      <rPr>
        <b/>
        <sz val="10"/>
        <rFont val="Arial"/>
        <family val="2"/>
      </rPr>
      <t>Thuế</t>
    </r>
  </si>
  <si>
    <r>
      <t xml:space="preserve">7.Sắp xếp bảng tính tăng dần theo </t>
    </r>
    <r>
      <rPr>
        <b/>
        <sz val="10"/>
        <rFont val="Arial"/>
        <family val="2"/>
      </rPr>
      <t>Thành tiền</t>
    </r>
  </si>
  <si>
    <r>
      <t>2.</t>
    </r>
    <r>
      <rPr>
        <b/>
        <sz val="10"/>
        <rFont val="Arial"/>
        <family val="2"/>
      </rPr>
      <t>Loại máy</t>
    </r>
    <r>
      <rPr>
        <sz val="10"/>
        <rFont val="Arial"/>
      </rPr>
      <t xml:space="preserve"> là 2 ký tự đầu của </t>
    </r>
    <r>
      <rPr>
        <b/>
        <sz val="10"/>
        <rFont val="Arial"/>
        <family val="2"/>
      </rPr>
      <t>Mã máy</t>
    </r>
  </si>
  <si>
    <r>
      <t>3.</t>
    </r>
    <r>
      <rPr>
        <b/>
        <sz val="10"/>
        <rFont val="Arial"/>
        <family val="2"/>
      </rPr>
      <t>Nước SX</t>
    </r>
    <r>
      <rPr>
        <sz val="10"/>
        <rFont val="Arial"/>
      </rPr>
      <t xml:space="preserve"> là 3 ký tự cuối của </t>
    </r>
    <r>
      <rPr>
        <b/>
        <sz val="10"/>
        <rFont val="Arial"/>
        <family val="2"/>
      </rPr>
      <t>Mã máy</t>
    </r>
  </si>
  <si>
    <r>
      <t xml:space="preserve">4.Dựa vào </t>
    </r>
    <r>
      <rPr>
        <b/>
        <sz val="10"/>
        <rFont val="Arial"/>
        <family val="2"/>
      </rPr>
      <t>Loại máy</t>
    </r>
    <r>
      <rPr>
        <sz val="10"/>
        <rFont val="Arial"/>
      </rPr>
      <t xml:space="preserve">, </t>
    </r>
    <r>
      <rPr>
        <b/>
        <sz val="10"/>
        <rFont val="Arial"/>
        <family val="2"/>
      </rPr>
      <t>Nước SX</t>
    </r>
    <r>
      <rPr>
        <sz val="10"/>
        <rFont val="Arial"/>
      </rPr>
      <t xml:space="preserve"> vả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Đơn giá</t>
    </r>
  </si>
  <si>
    <r>
      <t>5.</t>
    </r>
    <r>
      <rPr>
        <b/>
        <sz val="10"/>
        <rFont val="Arial"/>
        <family val="2"/>
      </rPr>
      <t>Phí vận chuyển</t>
    </r>
    <r>
      <rPr>
        <sz val="10"/>
        <rFont val="Arial"/>
      </rPr>
      <t xml:space="preserve"> = </t>
    </r>
    <r>
      <rPr>
        <b/>
        <sz val="10"/>
        <rFont val="Arial"/>
        <family val="2"/>
      </rPr>
      <t>%Phí chuyên chở</t>
    </r>
    <r>
      <rPr>
        <sz val="10"/>
        <rFont val="Arial"/>
      </rPr>
      <t xml:space="preserve"> * </t>
    </r>
    <r>
      <rPr>
        <b/>
        <sz val="10"/>
        <rFont val="Arial"/>
        <family val="2"/>
      </rPr>
      <t>Đơn giá</t>
    </r>
  </si>
  <si>
    <r>
      <t>-</t>
    </r>
    <r>
      <rPr>
        <b/>
        <sz val="10"/>
        <rFont val="Arial"/>
        <family val="2"/>
      </rPr>
      <t>%Phí chuyên chở</t>
    </r>
    <r>
      <rPr>
        <sz val="10"/>
        <rFont val="Arial"/>
      </rPr>
      <t xml:space="preserve"> được tính dựa vào </t>
    </r>
    <r>
      <rPr>
        <b/>
        <sz val="10"/>
        <rFont val="Arial"/>
        <family val="2"/>
      </rPr>
      <t>Nơi bán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phí chuyên chở</t>
    </r>
  </si>
  <si>
    <r>
      <t>6.</t>
    </r>
    <r>
      <rPr>
        <b/>
        <sz val="10"/>
        <rFont val="Arial"/>
        <family val="2"/>
      </rPr>
      <t>Thuế</t>
    </r>
    <r>
      <rPr>
        <sz val="10"/>
        <rFont val="Arial"/>
      </rPr>
      <t>=</t>
    </r>
    <r>
      <rPr>
        <b/>
        <sz val="10"/>
        <rFont val="Arial"/>
        <family val="2"/>
      </rPr>
      <t>Thuế suất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  <r>
      <rPr>
        <sz val="10"/>
        <rFont val="Arial"/>
      </rPr>
      <t>. Biết rằng:</t>
    </r>
  </si>
  <si>
    <r>
      <t>7.</t>
    </r>
    <r>
      <rPr>
        <b/>
        <sz val="10"/>
        <rFont val="Arial"/>
        <family val="2"/>
      </rPr>
      <t>Thành tiền</t>
    </r>
    <r>
      <rPr>
        <sz val="10"/>
        <rFont val="Arial"/>
      </rPr>
      <t>=(</t>
    </r>
    <r>
      <rPr>
        <b/>
        <sz val="10"/>
        <rFont val="Arial"/>
        <family val="2"/>
      </rPr>
      <t>Đơn giá</t>
    </r>
    <r>
      <rPr>
        <sz val="10"/>
        <rFont val="Arial"/>
      </rPr>
      <t>+</t>
    </r>
    <r>
      <rPr>
        <b/>
        <sz val="10"/>
        <rFont val="Arial"/>
        <family val="2"/>
      </rPr>
      <t>Phí vận chuyển</t>
    </r>
    <r>
      <rPr>
        <sz val="10"/>
        <rFont val="Arial"/>
      </rPr>
      <t>+</t>
    </r>
    <r>
      <rPr>
        <b/>
        <sz val="10"/>
        <rFont val="Arial"/>
        <family val="2"/>
      </rPr>
      <t>Thuế</t>
    </r>
    <r>
      <rPr>
        <sz val="10"/>
        <rFont val="Arial"/>
      </rPr>
      <t>)*</t>
    </r>
    <r>
      <rPr>
        <b/>
        <sz val="10"/>
        <rFont val="Arial"/>
        <family val="2"/>
      </rPr>
      <t>Số lượng</t>
    </r>
  </si>
  <si>
    <r>
      <t xml:space="preserve">8.Điền vào </t>
    </r>
    <r>
      <rPr>
        <b/>
        <sz val="10"/>
        <rFont val="Arial"/>
        <family val="2"/>
      </rPr>
      <t xml:space="preserve">Bảng Thống kê: </t>
    </r>
    <r>
      <rPr>
        <sz val="10"/>
        <rFont val="Arial"/>
      </rPr>
      <t>tổng doanh thu theo từng loại máy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</si>
  <si>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</si>
  <si>
    <r>
      <t xml:space="preserve">6.Tính </t>
    </r>
    <r>
      <rPr>
        <b/>
        <sz val="10"/>
        <rFont val="Arial"/>
        <family val="2"/>
      </rPr>
      <t>Giảm giá</t>
    </r>
    <r>
      <rPr>
        <sz val="10"/>
        <rFont val="Arial"/>
      </rPr>
      <t xml:space="preserve">, nếu số lượng &gt;20 thì giảm </t>
    </r>
    <r>
      <rPr>
        <b/>
        <sz val="10"/>
        <rFont val="Arial"/>
        <family val="2"/>
      </rPr>
      <t>20%</t>
    </r>
    <r>
      <rPr>
        <sz val="10"/>
        <rFont val="Arial"/>
      </rPr>
      <t>*</t>
    </r>
    <r>
      <rPr>
        <b/>
        <sz val="10"/>
        <rFont val="Arial"/>
        <family val="2"/>
      </rPr>
      <t>Thành Tiền</t>
    </r>
  </si>
  <si>
    <r>
      <t>7.</t>
    </r>
    <r>
      <rPr>
        <b/>
        <sz val="10"/>
        <rFont val="Arial"/>
        <family val="2"/>
      </rPr>
      <t>Còn lại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-</t>
    </r>
    <r>
      <rPr>
        <b/>
        <sz val="10"/>
        <rFont val="Arial"/>
        <family val="2"/>
      </rPr>
      <t>Giảm giá</t>
    </r>
  </si>
  <si>
    <t>9.Trích loại các sách có tên là Kỹ thuật sang sheet 2 đặt tên là KT</t>
  </si>
  <si>
    <r>
      <t>2.</t>
    </r>
    <r>
      <rPr>
        <b/>
        <sz val="10"/>
        <rFont val="Arial"/>
        <family val="2"/>
      </rPr>
      <t>Loại sách</t>
    </r>
    <r>
      <rPr>
        <sz val="10"/>
        <rFont val="Arial"/>
      </rPr>
      <t xml:space="preserve"> là giá trị thứ 2 của </t>
    </r>
    <r>
      <rPr>
        <b/>
        <sz val="10"/>
        <rFont val="Arial"/>
        <family val="2"/>
      </rPr>
      <t>Mã sách</t>
    </r>
  </si>
  <si>
    <r>
      <t xml:space="preserve">3.Dựa vào ký tự đầu tiên của </t>
    </r>
    <r>
      <rPr>
        <b/>
        <sz val="10"/>
        <rFont val="Arial"/>
        <family val="2"/>
      </rPr>
      <t>Mã sách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sách</t>
    </r>
  </si>
  <si>
    <r>
      <t xml:space="preserve">4.Dựa vào ký tự đầu tiên của </t>
    </r>
    <r>
      <rPr>
        <b/>
        <sz val="10"/>
        <rFont val="Arial"/>
        <family val="2"/>
      </rPr>
      <t>Mã sách</t>
    </r>
    <r>
      <rPr>
        <sz val="10"/>
        <rFont val="Arial"/>
      </rPr>
      <t xml:space="preserve">, </t>
    </r>
    <r>
      <rPr>
        <b/>
        <sz val="10"/>
        <rFont val="Arial"/>
        <family val="2"/>
      </rPr>
      <t>Loại sách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tính </t>
    </r>
    <r>
      <rPr>
        <b/>
        <sz val="10"/>
        <rFont val="Arial"/>
        <family val="2"/>
      </rPr>
      <t>Đơn giá</t>
    </r>
  </si>
  <si>
    <r>
      <t xml:space="preserve">3.Dựa vào </t>
    </r>
    <r>
      <rPr>
        <b/>
        <sz val="10"/>
        <rFont val="Arial"/>
        <family val="2"/>
      </rPr>
      <t>Mã SP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Tên sản phẩm</t>
    </r>
  </si>
  <si>
    <r>
      <t xml:space="preserve">4.Dựa vào ký tự thứ 2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tính huê hồng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Mã huê hồng</t>
    </r>
  </si>
  <si>
    <r>
      <t>2.</t>
    </r>
    <r>
      <rPr>
        <b/>
        <sz val="10"/>
        <rFont val="Arial"/>
        <family val="2"/>
      </rPr>
      <t>Mã SP</t>
    </r>
    <r>
      <rPr>
        <sz val="10"/>
        <rFont val="Arial"/>
      </rPr>
      <t xml:space="preserve"> là ký tự đầu tiên của </t>
    </r>
    <r>
      <rPr>
        <b/>
        <sz val="10"/>
        <rFont val="Arial"/>
        <family val="2"/>
      </rPr>
      <t>Mã HĐ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</si>
  <si>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</rPr>
      <t>=</t>
    </r>
    <r>
      <rPr>
        <b/>
        <sz val="10"/>
        <rFont val="Arial"/>
        <family val="2"/>
      </rPr>
      <t>Số lượng</t>
    </r>
    <r>
      <rPr>
        <sz val="10"/>
        <rFont val="Arial"/>
      </rPr>
      <t>*</t>
    </r>
    <r>
      <rPr>
        <b/>
        <sz val="10"/>
        <rFont val="Arial"/>
        <family val="2"/>
      </rPr>
      <t>Đơn giá</t>
    </r>
    <r>
      <rPr>
        <sz val="10"/>
        <rFont val="Arial"/>
      </rPr>
      <t xml:space="preserve"> (Dựa vào ký tự thứ 3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>)</t>
    </r>
  </si>
  <si>
    <r>
      <t>7.</t>
    </r>
    <r>
      <rPr>
        <b/>
        <sz val="10"/>
        <rFont val="Arial"/>
        <family val="2"/>
      </rPr>
      <t>Còn lại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-</t>
    </r>
    <r>
      <rPr>
        <b/>
        <sz val="10"/>
        <rFont val="Arial"/>
        <family val="2"/>
      </rPr>
      <t>Huê hồng</t>
    </r>
  </si>
  <si>
    <r>
      <t xml:space="preserve">8.Sắp xếp bảng theo chiều giảm dần của </t>
    </r>
    <r>
      <rPr>
        <b/>
        <sz val="10"/>
        <rFont val="Arial"/>
        <family val="2"/>
      </rPr>
      <t>Thành tiền</t>
    </r>
  </si>
  <si>
    <r>
      <t xml:space="preserve">9.Trích lọc các sản phẩm có </t>
    </r>
    <r>
      <rPr>
        <b/>
        <sz val="10"/>
        <rFont val="Arial"/>
        <family val="2"/>
      </rPr>
      <t>Mã SP</t>
    </r>
    <r>
      <rPr>
        <sz val="10"/>
        <rFont val="Arial"/>
      </rPr>
      <t xml:space="preserve"> là </t>
    </r>
    <r>
      <rPr>
        <b/>
        <sz val="10"/>
        <rFont val="Arial"/>
        <family val="2"/>
      </rPr>
      <t>S</t>
    </r>
    <r>
      <rPr>
        <sz val="10"/>
        <rFont val="Arial"/>
      </rPr>
      <t xml:space="preserve"> và có số lượng &gt;12 lưu ở sheet 2 với tên sheet là S12</t>
    </r>
  </si>
  <si>
    <r>
      <t xml:space="preserve">1. Dựa vào ký tự thứ 2 và ký thự thứ 3 của </t>
    </r>
    <r>
      <rPr>
        <b/>
        <sz val="10"/>
        <rFont val="Arial"/>
        <family val="2"/>
      </rPr>
      <t>Mã HV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vào cột Quê quán</t>
    </r>
  </si>
  <si>
    <r>
      <t xml:space="preserve">2. Cột </t>
    </r>
    <r>
      <rPr>
        <b/>
        <sz val="10"/>
        <rFont val="Arial"/>
        <family val="2"/>
      </rPr>
      <t>Chứng chỉ</t>
    </r>
    <r>
      <rPr>
        <sz val="10"/>
        <rFont val="Arial"/>
      </rPr>
      <t xml:space="preserve"> là ký tự đầu tiên của </t>
    </r>
    <r>
      <rPr>
        <b/>
        <sz val="10"/>
        <rFont val="Arial"/>
        <family val="2"/>
      </rPr>
      <t>Mã HV</t>
    </r>
  </si>
  <si>
    <r>
      <t xml:space="preserve">4. Nếu </t>
    </r>
    <r>
      <rPr>
        <b/>
        <sz val="10"/>
        <rFont val="Arial"/>
        <family val="2"/>
      </rPr>
      <t>TB</t>
    </r>
    <r>
      <rPr>
        <sz val="10"/>
        <rFont val="Arial"/>
      </rPr>
      <t xml:space="preserve"> lớn hơn bằng 5 và không có môn nào 0 thì Kết quả là Đạt, ngược lại là Hỏng</t>
    </r>
  </si>
  <si>
    <r>
      <t xml:space="preserve">5. </t>
    </r>
    <r>
      <rPr>
        <b/>
        <sz val="10"/>
        <rFont val="Arial"/>
        <family val="2"/>
      </rPr>
      <t>Xếp loại</t>
    </r>
    <r>
      <rPr>
        <sz val="10"/>
        <rFont val="Arial"/>
      </rPr>
      <t>:</t>
    </r>
  </si>
  <si>
    <t>CS 
CŨ</t>
  </si>
  <si>
    <t>CS
 MỚI</t>
  </si>
  <si>
    <r>
      <t xml:space="preserve">3. </t>
    </r>
    <r>
      <rPr>
        <b/>
        <sz val="10"/>
        <rFont val="Arial"/>
        <family val="2"/>
      </rPr>
      <t>Trung bình</t>
    </r>
    <r>
      <rPr>
        <sz val="10"/>
        <rFont val="Arial"/>
      </rPr>
      <t xml:space="preserve"> = </t>
    </r>
    <r>
      <rPr>
        <b/>
        <sz val="10"/>
        <rFont val="Arial"/>
        <family val="2"/>
      </rPr>
      <t>Windows</t>
    </r>
    <r>
      <rPr>
        <sz val="10"/>
        <rFont val="Arial"/>
      </rPr>
      <t xml:space="preserve"> *10% + </t>
    </r>
    <r>
      <rPr>
        <b/>
        <sz val="10"/>
        <rFont val="Arial"/>
        <family val="2"/>
      </rPr>
      <t>Word</t>
    </r>
    <r>
      <rPr>
        <sz val="10"/>
        <rFont val="Arial"/>
      </rPr>
      <t>*20% +</t>
    </r>
    <r>
      <rPr>
        <b/>
        <sz val="10"/>
        <rFont val="Arial"/>
        <family val="2"/>
      </rPr>
      <t>Excel*</t>
    </r>
    <r>
      <rPr>
        <sz val="10"/>
        <rFont val="Arial"/>
      </rPr>
      <t>70%+</t>
    </r>
    <r>
      <rPr>
        <b/>
        <sz val="10"/>
        <rFont val="Arial"/>
        <family val="2"/>
      </rPr>
      <t>Cộng</t>
    </r>
  </si>
  <si>
    <r>
      <t xml:space="preserve">4.Dựa vào ký tự đầu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</rPr>
      <t xml:space="preserve"> để điền vào cột </t>
    </r>
    <r>
      <rPr>
        <b/>
        <sz val="10"/>
        <rFont val="Arial"/>
        <family val="2"/>
      </rPr>
      <t>Đơn giá</t>
    </r>
    <r>
      <rPr>
        <sz val="10"/>
        <rFont val="Arial"/>
      </rPr>
      <t xml:space="preserve">. </t>
    </r>
    <r>
      <rPr>
        <b/>
        <sz val="10"/>
        <rFont val="Arial"/>
        <family val="2"/>
      </rPr>
      <t/>
    </r>
  </si>
  <si>
    <r>
      <t>Số lượng</t>
    </r>
    <r>
      <rPr>
        <sz val="10"/>
        <rFont val="Arial"/>
      </rPr>
      <t xml:space="preserve"> trên 5 thì tính Giá sỉ</t>
    </r>
  </si>
  <si>
    <r>
      <t xml:space="preserve">3.Dựa vào </t>
    </r>
    <r>
      <rPr>
        <b/>
        <sz val="10"/>
        <rFont val="Arial"/>
        <family val="2"/>
      </rPr>
      <t xml:space="preserve">Mã Hàng </t>
    </r>
    <r>
      <rPr>
        <sz val="10"/>
        <rFont val="Arial"/>
      </rPr>
      <t xml:space="preserve">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giá trị vào cột </t>
    </r>
    <r>
      <rPr>
        <b/>
        <sz val="10"/>
        <rFont val="Arial"/>
        <family val="2"/>
      </rPr>
      <t>Tên Hàng</t>
    </r>
  </si>
  <si>
    <r>
      <t xml:space="preserve">5.Dựa vào </t>
    </r>
    <r>
      <rPr>
        <b/>
        <sz val="10"/>
        <rFont val="Arial"/>
        <family val="2"/>
      </rPr>
      <t>Mã hàng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</rPr>
      <t xml:space="preserve"> để điền giá trị vào cột </t>
    </r>
    <r>
      <rPr>
        <b/>
        <sz val="10"/>
        <rFont val="Arial"/>
        <family val="2"/>
      </rPr>
      <t>Đơn giá</t>
    </r>
  </si>
  <si>
    <t>Loại
KS</t>
  </si>
  <si>
    <t>Nơi
đến</t>
  </si>
  <si>
    <t>HỌ TÊN
KH</t>
  </si>
  <si>
    <t>TIỀN
VƯỢT
ĐM</t>
  </si>
  <si>
    <r>
      <t xml:space="preserve">7.Cột </t>
    </r>
    <r>
      <rPr>
        <b/>
        <sz val="10"/>
        <rFont val="Arial"/>
        <family val="2"/>
      </rPr>
      <t xml:space="preserve">Thuế </t>
    </r>
    <r>
      <rPr>
        <sz val="10"/>
        <rFont val="Arial"/>
      </rPr>
      <t xml:space="preserve">được tính như sau:
- </t>
    </r>
    <r>
      <rPr>
        <b/>
        <sz val="10"/>
        <rFont val="Arial"/>
        <family val="2"/>
      </rPr>
      <t>20%</t>
    </r>
    <r>
      <rPr>
        <sz val="10"/>
        <rFont val="Arial"/>
      </rPr>
      <t>*</t>
    </r>
    <r>
      <rPr>
        <b/>
        <sz val="10"/>
        <rFont val="Arial"/>
        <family val="2"/>
      </rPr>
      <t>Thành tiền</t>
    </r>
    <r>
      <rPr>
        <sz val="10"/>
        <rFont val="Arial"/>
      </rPr>
      <t xml:space="preserve"> cho các mặt hàng </t>
    </r>
    <r>
      <rPr>
        <b/>
        <sz val="10"/>
        <rFont val="Arial"/>
        <family val="2"/>
      </rPr>
      <t>Thuốc lá
- 10%*Thành Tiền</t>
    </r>
    <r>
      <rPr>
        <sz val="10"/>
        <rFont val="Arial"/>
      </rPr>
      <t xml:space="preserve"> cho mặt hàng </t>
    </r>
    <r>
      <rPr>
        <b/>
        <sz val="10"/>
        <rFont val="Arial"/>
        <family val="2"/>
      </rPr>
      <t xml:space="preserve">Rượu
- </t>
    </r>
    <r>
      <rPr>
        <sz val="10"/>
        <rFont val="Arial"/>
      </rPr>
      <t>Còn lại 0%</t>
    </r>
  </si>
  <si>
    <r>
      <t>7.</t>
    </r>
    <r>
      <rPr>
        <b/>
        <sz val="10"/>
        <rFont val="Arial"/>
        <family val="2"/>
      </rPr>
      <t>Tiền trong ĐM</t>
    </r>
    <r>
      <rPr>
        <sz val="10"/>
        <rFont val="Arial"/>
      </rPr>
      <t xml:space="preserve"> là giá trị nhỏ nhất của hai giá trị: 
</t>
    </r>
    <r>
      <rPr>
        <b/>
        <sz val="10"/>
        <rFont val="Arial"/>
        <family val="2"/>
      </rPr>
      <t>TIÊU THỤ * ĐƠN GIÁ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ĐỊNH MỨC * ĐƠN GIÁ</t>
    </r>
  </si>
  <si>
    <t>9.Trích lọc những khách hàng có số KW vượt định mức trên 100KW
và lưu lại ở Sheet khác với tên là VDM</t>
  </si>
  <si>
    <r>
      <rPr>
        <b/>
        <sz val="10"/>
        <rFont val="Arial"/>
        <family val="2"/>
      </rPr>
      <t>Tiền phải trả</t>
    </r>
    <r>
      <rPr>
        <sz val="10"/>
        <rFont val="Arial"/>
      </rPr>
      <t>=</t>
    </r>
    <r>
      <rPr>
        <b/>
        <sz val="10"/>
        <rFont val="Arial"/>
        <family val="2"/>
      </rPr>
      <t>Tổng tiền</t>
    </r>
    <r>
      <rPr>
        <sz val="10"/>
        <rFont val="Arial"/>
      </rPr>
      <t>-</t>
    </r>
    <r>
      <rPr>
        <b/>
        <sz val="10"/>
        <rFont val="Arial"/>
        <family val="2"/>
      </rPr>
      <t>Khuyến Mãi</t>
    </r>
  </si>
  <si>
    <r>
      <t xml:space="preserve">9. Thêm vào phía sau cột </t>
    </r>
    <r>
      <rPr>
        <b/>
        <sz val="10"/>
        <rFont val="Arial"/>
        <family val="2"/>
      </rPr>
      <t>Khuyến Mãi</t>
    </r>
    <r>
      <rPr>
        <sz val="10"/>
        <rFont val="Arial"/>
      </rPr>
      <t xml:space="preserve"> cột </t>
    </r>
    <r>
      <rPr>
        <b/>
        <sz val="10"/>
        <rFont val="Arial"/>
        <family val="2"/>
      </rPr>
      <t>Tiền phải trả</t>
    </r>
    <r>
      <rPr>
        <sz val="10"/>
        <rFont val="Arial"/>
      </rPr>
      <t xml:space="preserve"> và tính theo công thức sau:</t>
    </r>
  </si>
  <si>
    <t xml:space="preserve">Phí 
vận
chuyển
</t>
  </si>
  <si>
    <t>Đơn giá
1</t>
  </si>
  <si>
    <t>Đơn giá
2</t>
  </si>
  <si>
    <r>
      <t>6.</t>
    </r>
    <r>
      <rPr>
        <b/>
        <sz val="10"/>
        <rFont val="Arial"/>
        <family val="2"/>
      </rPr>
      <t>Huê hồng</t>
    </r>
    <r>
      <rPr>
        <sz val="10"/>
        <rFont val="Arial"/>
      </rPr>
      <t>=</t>
    </r>
    <r>
      <rPr>
        <b/>
        <sz val="10"/>
        <rFont val="Arial"/>
        <family val="2"/>
      </rPr>
      <t>Thành tiền</t>
    </r>
    <r>
      <rPr>
        <sz val="10"/>
        <rFont val="Arial"/>
      </rPr>
      <t>*</t>
    </r>
    <r>
      <rPr>
        <b/>
        <sz val="10"/>
        <rFont val="Arial"/>
        <family val="2"/>
      </rPr>
      <t>Tỷ lệ huê hồng</t>
    </r>
    <r>
      <rPr>
        <sz val="10"/>
        <rFont val="Arial"/>
      </rPr>
      <t/>
    </r>
  </si>
  <si>
    <t xml:space="preserve"> (Dựa vào ký tự cuối của Mã HĐ và Bảng tính huê hồng)</t>
  </si>
  <si>
    <t>Quê
quán</t>
  </si>
  <si>
    <t>Chứng
chỉ</t>
  </si>
  <si>
    <t>Kết
quả</t>
  </si>
  <si>
    <r>
      <t xml:space="preserve">3.Dựa vào ký tự thứ 3 của </t>
    </r>
    <r>
      <rPr>
        <b/>
        <sz val="10"/>
        <rFont val="Arial"/>
        <family val="2"/>
      </rPr>
      <t>Mã NV</t>
    </r>
    <r>
      <rPr>
        <sz val="10"/>
        <rFont val="Arial"/>
      </rPr>
      <t xml:space="preserve"> để tính </t>
    </r>
    <r>
      <rPr>
        <b/>
        <sz val="10"/>
        <rFont val="Arial"/>
        <family val="2"/>
      </rPr>
      <t>Bậc</t>
    </r>
  </si>
  <si>
    <r>
      <t xml:space="preserve">3.Dựa vào 2 ký tự đầu của </t>
    </r>
    <r>
      <rPr>
        <b/>
        <sz val="10"/>
        <rFont val="Arial"/>
        <family val="2"/>
      </rPr>
      <t>Mã HĐ</t>
    </r>
    <r>
      <rPr>
        <sz val="10"/>
        <rFont val="Arial"/>
      </rPr>
      <t xml:space="preserve"> và </t>
    </r>
    <r>
      <rPr>
        <b/>
        <sz val="10"/>
        <rFont val="Arial"/>
        <family val="2"/>
      </rPr>
      <t>Bảng giá nhập</t>
    </r>
    <r>
      <rPr>
        <sz val="10"/>
        <rFont val="Arial"/>
      </rPr>
      <t xml:space="preserve"> để điền dữ liệu vào cột </t>
    </r>
    <r>
      <rPr>
        <b/>
        <sz val="10"/>
        <rFont val="Arial"/>
        <family val="2"/>
      </rPr>
      <t>Tên hàng</t>
    </r>
  </si>
  <si>
    <t>2</t>
  </si>
  <si>
    <t>PHẢI TRẢ</t>
  </si>
  <si>
    <t>TIỀN GIẢM</t>
  </si>
  <si>
    <t>&gt;100</t>
  </si>
  <si>
    <t>&gt;15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</si>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</sst>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1010000]d/m/yyyy;@"/>
    <numFmt numFmtId="165" formatCode="#.##0"/>
    <numFmt numFmtId="166" formatCode="[$$-409]#,##0"/>
    <numFmt numFmtId="167" formatCode="[$$-409]#,##0.00"/>
    <numFmt numFmtId="168" formatCode="0.0"/>
    <numFmt numFmtId="169" formatCode="_([$$-409]* #,##0_);_([$$-409]* \(#,##0\);_([$$-409]* &quot;-&quot;_);_(@_)"/>
    <numFmt numFmtId="170" formatCode="_([$$-409]* #,##0.00_);_([$$-409]* \(#,##0.00\);_([$$-409]* &quot;-&quot;??_);_(@_)"/>
  </numFmts>
  <fonts count="1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VNI-Times"/>
    </font>
    <font>
      <sz val="8"/>
      <name val="Arial"/>
    </font>
    <font>
      <sz val="18"/>
      <name val="Arial"/>
      <family val="2"/>
    </font>
    <font>
      <sz val="26"/>
      <name val="Arial"/>
      <family val="2"/>
    </font>
    <font>
      <sz val="10"/>
      <color indexed="206"/>
      <name val="Arial"/>
    </font>
    <font>
      <sz val="16"/>
      <color rgb="FF2F2F2F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Fill="1" applyBorder="1"/>
    <xf numFmtId="0" fontId="4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3" fillId="0" borderId="0" xfId="0" applyFont="1" applyFill="1" applyBorder="1"/>
    <xf numFmtId="0" fontId="3" fillId="0" borderId="0" xfId="0" quotePrefix="1" applyFont="1" applyFill="1" applyBorder="1"/>
    <xf numFmtId="0" fontId="8" fillId="0" borderId="0" xfId="0" applyFon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Fill="1" applyBorder="1"/>
    <xf numFmtId="0" fontId="3" fillId="0" borderId="0" xfId="0" quotePrefix="1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9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7" fillId="0" borderId="0" xfId="0" applyFont="1" applyBorder="1" applyAlignment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10" fillId="0" borderId="1" xfId="0" applyNumberFormat="1" applyFont="1" applyBorder="1"/>
    <xf numFmtId="0" fontId="3" fillId="0" borderId="1" xfId="0" applyNumberFormat="1" applyFont="1" applyBorder="1"/>
    <xf numFmtId="0" fontId="4" fillId="0" borderId="1" xfId="0" applyFont="1" applyBorder="1" applyAlignment="1"/>
    <xf numFmtId="165" fontId="4" fillId="0" borderId="1" xfId="0" applyNumberFormat="1" applyFont="1" applyBorder="1"/>
    <xf numFmtId="9" fontId="0" fillId="0" borderId="1" xfId="1" applyFont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/>
    <xf numFmtId="0" fontId="5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167" fontId="0" fillId="0" borderId="1" xfId="0" applyNumberFormat="1" applyBorder="1"/>
    <xf numFmtId="4" fontId="0" fillId="0" borderId="1" xfId="0" applyNumberFormat="1" applyBorder="1"/>
    <xf numFmtId="0" fontId="1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NumberFormat="1" applyBorder="1"/>
    <xf numFmtId="168" fontId="0" fillId="0" borderId="1" xfId="0" applyNumberForma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9" fontId="0" fillId="0" borderId="1" xfId="0" applyNumberFormat="1" applyBorder="1"/>
    <xf numFmtId="170" fontId="0" fillId="0" borderId="1" xfId="0" applyNumberFormat="1" applyBorder="1"/>
    <xf numFmtId="0" fontId="0" fillId="0" borderId="5" xfId="0" applyBorder="1"/>
    <xf numFmtId="0" fontId="1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2" name="Table2" displayName="Table2" ref="A2:H3" totalsRowShown="0" headerRowDxfId="11" dataDxfId="9" headerRowBorderDxfId="10" tableBorderDxfId="8">
  <autoFilter ref="A2:H3"/>
  <tableColumns count="8">
    <tableColumn id="1" name="MÃ NV" dataDxfId="7"/>
    <tableColumn id="2" name="Họ Tên" dataDxfId="6"/>
    <tableColumn id="3" name="Mã ngạch" dataDxfId="5"/>
    <tableColumn id="4" name="LCB" dataDxfId="4"/>
    <tableColumn id="5" name="Bậc" dataDxfId="3"/>
    <tableColumn id="6" name="Hệ số" dataDxfId="2"/>
    <tableColumn id="7" name="Lương" dataDxfId="1"/>
    <tableColumn id="8" name="Thuế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130" zoomScaleNormal="115" zoomScalePageLayoutView="115" workbookViewId="0">
      <selection activeCell="D13" sqref="D13"/>
    </sheetView>
  </sheetViews>
  <sheetFormatPr baseColWidth="10" defaultColWidth="9.1640625" defaultRowHeight="13" x14ac:dyDescent="0.15"/>
  <cols>
    <col min="1" max="1" width="11.5" style="1" bestFit="1" customWidth="1"/>
    <col min="2" max="2" width="13.83203125" style="1" bestFit="1" customWidth="1"/>
    <col min="3" max="3" width="11.83203125" style="1" bestFit="1" customWidth="1"/>
    <col min="4" max="4" width="12.83203125" style="1" customWidth="1"/>
    <col min="5" max="7" width="8.5" style="1" bestFit="1" customWidth="1"/>
    <col min="8" max="8" width="7" style="1" bestFit="1" customWidth="1"/>
    <col min="9" max="16384" width="9.1640625" style="1"/>
  </cols>
  <sheetData>
    <row r="1" spans="1:17" ht="23" x14ac:dyDescent="0.25">
      <c r="A1" s="81" t="s">
        <v>241</v>
      </c>
      <c r="B1" s="81"/>
      <c r="C1" s="81"/>
      <c r="D1" s="81"/>
      <c r="E1" s="81"/>
      <c r="F1" s="81"/>
      <c r="G1" s="81"/>
      <c r="H1" s="81"/>
      <c r="I1" s="39"/>
    </row>
    <row r="2" spans="1:17" x14ac:dyDescent="0.1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17" x14ac:dyDescent="0.15">
      <c r="A3" s="3" t="s">
        <v>8</v>
      </c>
      <c r="B3" s="3" t="s">
        <v>14</v>
      </c>
      <c r="C3" s="3" t="str">
        <f t="shared" ref="C3:C8" si="0">LEFT(A3,2)</f>
        <v>NV</v>
      </c>
      <c r="D3" s="48">
        <f t="shared" ref="D3:D8" si="1">VLOOKUP(LEFT(A3,2),$A$13:$B$15,2,0)</f>
        <v>300000</v>
      </c>
      <c r="E3" s="3" t="str">
        <f t="shared" ref="E3:E8" si="2">MID(A3,3,1)</f>
        <v>1</v>
      </c>
      <c r="F3" s="3">
        <f t="shared" ref="F3:F8" si="3">HLOOKUP(VALUE(E3),$E$12:$H$13,2,0)</f>
        <v>1.82</v>
      </c>
      <c r="G3" s="3">
        <f t="shared" ref="G3:G8" si="4">D3*F3</f>
        <v>546000</v>
      </c>
      <c r="H3" s="3">
        <f t="shared" ref="H3:H8" si="5">IF(G3&gt;1000000,(G3-1000000)*10%,0)</f>
        <v>0</v>
      </c>
    </row>
    <row r="4" spans="1:17" x14ac:dyDescent="0.15">
      <c r="A4" s="3" t="s">
        <v>9</v>
      </c>
      <c r="B4" s="3" t="s">
        <v>15</v>
      </c>
      <c r="C4" s="3" t="str">
        <f t="shared" si="0"/>
        <v>NV</v>
      </c>
      <c r="D4" s="48">
        <f t="shared" si="1"/>
        <v>300000</v>
      </c>
      <c r="E4" s="3" t="str">
        <f t="shared" si="2"/>
        <v>1</v>
      </c>
      <c r="F4" s="3">
        <f t="shared" si="3"/>
        <v>1.82</v>
      </c>
      <c r="G4" s="3">
        <f t="shared" si="4"/>
        <v>546000</v>
      </c>
      <c r="H4" s="3">
        <f t="shared" si="5"/>
        <v>0</v>
      </c>
    </row>
    <row r="5" spans="1:17" x14ac:dyDescent="0.15">
      <c r="A5" s="3" t="s">
        <v>10</v>
      </c>
      <c r="B5" s="3" t="s">
        <v>16</v>
      </c>
      <c r="C5" s="3" t="str">
        <f t="shared" si="0"/>
        <v>NV</v>
      </c>
      <c r="D5" s="48">
        <f t="shared" si="1"/>
        <v>300000</v>
      </c>
      <c r="E5" s="3" t="str">
        <f t="shared" si="2"/>
        <v>2</v>
      </c>
      <c r="F5" s="3">
        <f t="shared" si="3"/>
        <v>2.2400000000000002</v>
      </c>
      <c r="G5" s="3">
        <f t="shared" si="4"/>
        <v>672000.00000000012</v>
      </c>
      <c r="H5" s="3">
        <f t="shared" si="5"/>
        <v>0</v>
      </c>
      <c r="J5" s="12"/>
      <c r="K5" s="12"/>
    </row>
    <row r="6" spans="1:17" x14ac:dyDescent="0.15">
      <c r="A6" s="3" t="s">
        <v>13</v>
      </c>
      <c r="B6" s="3" t="s">
        <v>19</v>
      </c>
      <c r="C6" s="3" t="str">
        <f t="shared" si="0"/>
        <v>KT</v>
      </c>
      <c r="D6" s="48">
        <f t="shared" si="1"/>
        <v>350000</v>
      </c>
      <c r="E6" s="3" t="str">
        <f t="shared" si="2"/>
        <v>3</v>
      </c>
      <c r="F6" s="3">
        <f t="shared" si="3"/>
        <v>2.75</v>
      </c>
      <c r="G6" s="3">
        <f t="shared" si="4"/>
        <v>962500</v>
      </c>
      <c r="H6" s="3">
        <f t="shared" si="5"/>
        <v>0</v>
      </c>
      <c r="J6" s="12"/>
    </row>
    <row r="7" spans="1:17" x14ac:dyDescent="0.15">
      <c r="A7" s="3" t="s">
        <v>11</v>
      </c>
      <c r="B7" s="3" t="s">
        <v>17</v>
      </c>
      <c r="C7" s="3" t="str">
        <f t="shared" si="0"/>
        <v>CV</v>
      </c>
      <c r="D7" s="48">
        <f t="shared" si="1"/>
        <v>450000</v>
      </c>
      <c r="E7" s="3" t="str">
        <f t="shared" si="2"/>
        <v>2</v>
      </c>
      <c r="F7" s="3">
        <f t="shared" si="3"/>
        <v>2.2400000000000002</v>
      </c>
      <c r="G7" s="3">
        <f t="shared" si="4"/>
        <v>1008000.0000000001</v>
      </c>
      <c r="H7" s="3">
        <f t="shared" si="5"/>
        <v>800.00000000001171</v>
      </c>
    </row>
    <row r="8" spans="1:17" x14ac:dyDescent="0.15">
      <c r="A8" s="3" t="s">
        <v>12</v>
      </c>
      <c r="B8" s="3" t="s">
        <v>18</v>
      </c>
      <c r="C8" s="3" t="str">
        <f t="shared" si="0"/>
        <v>CV</v>
      </c>
      <c r="D8" s="48">
        <f t="shared" si="1"/>
        <v>450000</v>
      </c>
      <c r="E8" s="3" t="str">
        <f t="shared" si="2"/>
        <v>4</v>
      </c>
      <c r="F8" s="3">
        <f t="shared" si="3"/>
        <v>3.56</v>
      </c>
      <c r="G8" s="3">
        <f t="shared" si="4"/>
        <v>1602000</v>
      </c>
      <c r="H8" s="3">
        <f t="shared" si="5"/>
        <v>60200</v>
      </c>
    </row>
    <row r="11" spans="1:17" x14ac:dyDescent="0.15">
      <c r="A11" s="1" t="s">
        <v>21</v>
      </c>
      <c r="D11" s="1" t="s">
        <v>25</v>
      </c>
    </row>
    <row r="12" spans="1:17" x14ac:dyDescent="0.15">
      <c r="A12" s="10" t="s">
        <v>22</v>
      </c>
      <c r="B12" s="10" t="s">
        <v>3</v>
      </c>
      <c r="D12" s="11" t="s">
        <v>26</v>
      </c>
      <c r="E12" s="3">
        <v>1</v>
      </c>
      <c r="F12" s="3">
        <v>2</v>
      </c>
      <c r="G12" s="3">
        <v>3</v>
      </c>
      <c r="H12" s="3">
        <v>4</v>
      </c>
    </row>
    <row r="13" spans="1:17" x14ac:dyDescent="0.15">
      <c r="A13" s="3" t="s">
        <v>20</v>
      </c>
      <c r="B13" s="49">
        <v>300000</v>
      </c>
      <c r="D13" s="11" t="s">
        <v>5</v>
      </c>
      <c r="E13" s="3">
        <v>1.82</v>
      </c>
      <c r="F13" s="3">
        <v>2.2400000000000002</v>
      </c>
      <c r="G13" s="3">
        <v>2.75</v>
      </c>
      <c r="H13" s="3">
        <v>3.56</v>
      </c>
      <c r="J13" s="5"/>
      <c r="K13" s="5"/>
      <c r="L13" s="5"/>
      <c r="M13" s="5"/>
      <c r="N13" s="5"/>
      <c r="O13" s="5"/>
      <c r="P13" s="5"/>
      <c r="Q13" s="5"/>
    </row>
    <row r="14" spans="1:17" x14ac:dyDescent="0.15">
      <c r="A14" s="3" t="s">
        <v>23</v>
      </c>
      <c r="B14" s="49">
        <v>350000</v>
      </c>
      <c r="J14" s="35"/>
      <c r="K14" s="35"/>
      <c r="L14" s="35"/>
      <c r="M14" s="35"/>
      <c r="N14" s="35"/>
      <c r="O14" s="35"/>
      <c r="P14" s="35"/>
      <c r="Q14" s="35"/>
    </row>
    <row r="15" spans="1:17" x14ac:dyDescent="0.15">
      <c r="A15" s="3" t="s">
        <v>24</v>
      </c>
      <c r="B15" s="49">
        <v>450000</v>
      </c>
      <c r="J15" s="5"/>
      <c r="K15" s="5"/>
      <c r="L15" s="5"/>
      <c r="M15" s="5"/>
      <c r="N15" s="5"/>
      <c r="O15" s="5"/>
      <c r="P15" s="5"/>
      <c r="Q15" s="5"/>
    </row>
    <row r="16" spans="1:17" x14ac:dyDescent="0.15">
      <c r="J16" s="5"/>
      <c r="K16" s="5"/>
      <c r="L16" s="5"/>
      <c r="M16" s="5"/>
      <c r="N16" s="5"/>
      <c r="O16" s="5"/>
      <c r="P16" s="5"/>
      <c r="Q16" s="5"/>
    </row>
    <row r="17" spans="1:9" ht="16" x14ac:dyDescent="0.2">
      <c r="A17" s="31" t="s">
        <v>75</v>
      </c>
    </row>
    <row r="18" spans="1:9" x14ac:dyDescent="0.15">
      <c r="A18" s="80" t="s">
        <v>498</v>
      </c>
      <c r="B18" s="80"/>
      <c r="C18" s="80"/>
      <c r="D18" s="80"/>
      <c r="E18" s="80"/>
      <c r="F18" s="80"/>
      <c r="G18" s="80"/>
      <c r="H18" s="80"/>
      <c r="I18" s="37"/>
    </row>
    <row r="19" spans="1:9" x14ac:dyDescent="0.15">
      <c r="A19" s="80" t="s">
        <v>499</v>
      </c>
      <c r="B19" s="80"/>
      <c r="C19" s="80"/>
      <c r="D19" s="80"/>
      <c r="E19" s="80"/>
      <c r="F19" s="80"/>
      <c r="G19" s="80"/>
      <c r="H19" s="80"/>
      <c r="I19" s="37"/>
    </row>
    <row r="20" spans="1:9" x14ac:dyDescent="0.15">
      <c r="A20" s="80" t="s">
        <v>640</v>
      </c>
      <c r="B20" s="80"/>
      <c r="C20" s="80"/>
      <c r="D20" s="80"/>
      <c r="E20" s="80"/>
      <c r="F20" s="80"/>
      <c r="G20" s="80"/>
      <c r="H20" s="80"/>
      <c r="I20" s="37"/>
    </row>
    <row r="21" spans="1:9" x14ac:dyDescent="0.15">
      <c r="A21" s="80" t="s">
        <v>500</v>
      </c>
      <c r="B21" s="80"/>
      <c r="C21" s="80"/>
      <c r="D21" s="80"/>
      <c r="E21" s="80"/>
      <c r="F21" s="80"/>
      <c r="G21" s="80"/>
      <c r="H21" s="80"/>
      <c r="I21" s="37"/>
    </row>
    <row r="22" spans="1:9" x14ac:dyDescent="0.15">
      <c r="A22" s="80" t="s">
        <v>501</v>
      </c>
      <c r="B22" s="80"/>
      <c r="C22" s="80"/>
      <c r="D22" s="80"/>
      <c r="E22" s="80"/>
      <c r="F22" s="80"/>
      <c r="G22" s="80"/>
      <c r="H22" s="80"/>
      <c r="I22" s="37"/>
    </row>
    <row r="23" spans="1:9" x14ac:dyDescent="0.15">
      <c r="A23" s="80" t="s">
        <v>502</v>
      </c>
      <c r="B23" s="80"/>
      <c r="C23" s="80"/>
      <c r="D23" s="80"/>
      <c r="E23" s="80"/>
      <c r="F23" s="80"/>
      <c r="G23" s="80"/>
      <c r="H23" s="80"/>
      <c r="I23" s="37"/>
    </row>
    <row r="24" spans="1:9" ht="12.75" customHeight="1" x14ac:dyDescent="0.15">
      <c r="A24" s="80" t="s">
        <v>503</v>
      </c>
      <c r="B24" s="80"/>
      <c r="C24" s="80"/>
      <c r="D24" s="80"/>
      <c r="E24" s="80"/>
      <c r="F24" s="80"/>
      <c r="G24" s="80"/>
      <c r="H24" s="80"/>
      <c r="I24" s="38"/>
    </row>
  </sheetData>
  <mergeCells count="8">
    <mergeCell ref="A18:H18"/>
    <mergeCell ref="A1:H1"/>
    <mergeCell ref="A24:H24"/>
    <mergeCell ref="A23:H23"/>
    <mergeCell ref="A22:H22"/>
    <mergeCell ref="A21:H21"/>
    <mergeCell ref="A20:H20"/>
    <mergeCell ref="A19:H19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 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8.1640625" customWidth="1"/>
    <col min="2" max="2" width="15.5" bestFit="1" customWidth="1"/>
    <col min="4" max="4" width="8.83203125" customWidth="1"/>
    <col min="5" max="5" width="7.6640625" customWidth="1"/>
    <col min="6" max="6" width="9.5" customWidth="1"/>
    <col min="7" max="8" width="7.6640625" customWidth="1"/>
    <col min="9" max="9" width="5.5" bestFit="1" customWidth="1"/>
    <col min="10" max="10" width="8" bestFit="1" customWidth="1"/>
  </cols>
  <sheetData>
    <row r="1" spans="1:10" ht="20" x14ac:dyDescent="0.2">
      <c r="A1" s="93" t="s">
        <v>241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x14ac:dyDescent="0.15">
      <c r="A2" s="10" t="s">
        <v>0</v>
      </c>
      <c r="B2" s="10" t="s">
        <v>213</v>
      </c>
      <c r="C2" s="10" t="s">
        <v>214</v>
      </c>
      <c r="D2" s="10" t="s">
        <v>2</v>
      </c>
      <c r="E2" s="10" t="s">
        <v>4</v>
      </c>
      <c r="F2" s="10" t="s">
        <v>5</v>
      </c>
      <c r="G2" s="10" t="s">
        <v>215</v>
      </c>
      <c r="H2" s="10" t="s">
        <v>6</v>
      </c>
      <c r="I2" s="10" t="s">
        <v>7</v>
      </c>
      <c r="J2" s="10" t="s">
        <v>216</v>
      </c>
    </row>
    <row r="3" spans="1:10" x14ac:dyDescent="0.15">
      <c r="A3" s="13" t="s">
        <v>217</v>
      </c>
      <c r="B3" s="13" t="s">
        <v>224</v>
      </c>
      <c r="C3" s="21" t="s">
        <v>231</v>
      </c>
      <c r="D3" s="14" t="str">
        <f>LEFT(A3,2)</f>
        <v>LD</v>
      </c>
      <c r="E3" s="14" t="str">
        <f>MID(A3,3,1)</f>
        <v>3</v>
      </c>
      <c r="F3" s="69">
        <f>VLOOKUP(LEFT(A3,2),$D$15:$G$17,HLOOKUP(VALUE(RIGHT(LEFT(A3,FIND("-",A3)-1))),$E$13:$G$17,2,1))</f>
        <v>4</v>
      </c>
      <c r="G3" s="14">
        <f>VLOOKUP(C3,$A$14:$B$16,2,1)</f>
        <v>200</v>
      </c>
      <c r="H3" s="14">
        <f>$J$13*F3+G3</f>
        <v>3400</v>
      </c>
      <c r="I3" s="14">
        <f>IF(H3&gt;2000,15%*H3,0)</f>
        <v>510</v>
      </c>
      <c r="J3" s="14">
        <f>H3-I3</f>
        <v>2890</v>
      </c>
    </row>
    <row r="4" spans="1:10" x14ac:dyDescent="0.15">
      <c r="A4" s="13" t="s">
        <v>218</v>
      </c>
      <c r="B4" s="13" t="s">
        <v>225</v>
      </c>
      <c r="C4" s="21" t="s">
        <v>231</v>
      </c>
      <c r="D4" s="14" t="str">
        <f t="shared" ref="D4:D9" si="0">LEFT(A4,2)</f>
        <v>LD</v>
      </c>
      <c r="E4" s="14" t="str">
        <f t="shared" ref="E4:E9" si="1">MID(A4,3,1)</f>
        <v>2</v>
      </c>
      <c r="F4" s="69">
        <f t="shared" ref="F4:F9" si="2">VLOOKUP(LEFT(A4,2),$D$15:$G$17,HLOOKUP(VALUE(RIGHT(LEFT(A4,FIND("-",A4)-1))),$E$13:$G$17,2,1))</f>
        <v>3.5</v>
      </c>
      <c r="G4" s="14">
        <f t="shared" ref="G4:G9" si="3">VLOOKUP(C4,$A$14:$B$16,2,1)</f>
        <v>200</v>
      </c>
      <c r="H4" s="14">
        <f t="shared" ref="H4:H9" si="4">$J$13*F4+G4</f>
        <v>3000</v>
      </c>
      <c r="I4" s="14">
        <f t="shared" ref="I4:I9" si="5">IF(H4&gt;2000,15%*H4,0)</f>
        <v>450</v>
      </c>
      <c r="J4" s="14">
        <f t="shared" ref="J4:J9" si="6">H4-I4</f>
        <v>2550</v>
      </c>
    </row>
    <row r="5" spans="1:10" x14ac:dyDescent="0.15">
      <c r="A5" s="13" t="s">
        <v>219</v>
      </c>
      <c r="B5" s="13" t="s">
        <v>226</v>
      </c>
      <c r="C5" s="21" t="s">
        <v>232</v>
      </c>
      <c r="D5" s="14" t="str">
        <f t="shared" si="0"/>
        <v>CV</v>
      </c>
      <c r="E5" s="14" t="str">
        <f t="shared" si="1"/>
        <v>3</v>
      </c>
      <c r="F5" s="69">
        <f t="shared" si="2"/>
        <v>3</v>
      </c>
      <c r="G5" s="14">
        <f t="shared" si="3"/>
        <v>100</v>
      </c>
      <c r="H5" s="14">
        <f t="shared" si="4"/>
        <v>2500</v>
      </c>
      <c r="I5" s="14">
        <f t="shared" si="5"/>
        <v>375</v>
      </c>
      <c r="J5" s="14">
        <f t="shared" si="6"/>
        <v>2125</v>
      </c>
    </row>
    <row r="6" spans="1:10" x14ac:dyDescent="0.15">
      <c r="A6" s="13" t="s">
        <v>220</v>
      </c>
      <c r="B6" s="13" t="s">
        <v>227</v>
      </c>
      <c r="C6" s="21" t="s">
        <v>233</v>
      </c>
      <c r="D6" s="14" t="str">
        <f t="shared" si="0"/>
        <v>CV</v>
      </c>
      <c r="E6" s="14" t="str">
        <f t="shared" si="1"/>
        <v>1</v>
      </c>
      <c r="F6" s="69">
        <f t="shared" si="2"/>
        <v>2</v>
      </c>
      <c r="G6" s="14">
        <f t="shared" si="3"/>
        <v>150</v>
      </c>
      <c r="H6" s="14">
        <f t="shared" si="4"/>
        <v>1750</v>
      </c>
      <c r="I6" s="14">
        <f t="shared" si="5"/>
        <v>0</v>
      </c>
      <c r="J6" s="14">
        <f t="shared" si="6"/>
        <v>1750</v>
      </c>
    </row>
    <row r="7" spans="1:10" x14ac:dyDescent="0.15">
      <c r="A7" s="13" t="s">
        <v>221</v>
      </c>
      <c r="B7" s="13" t="s">
        <v>228</v>
      </c>
      <c r="C7" s="21" t="s">
        <v>231</v>
      </c>
      <c r="D7" s="14" t="str">
        <f t="shared" si="0"/>
        <v>NV</v>
      </c>
      <c r="E7" s="14" t="str">
        <f t="shared" si="1"/>
        <v>1</v>
      </c>
      <c r="F7" s="69">
        <f t="shared" si="2"/>
        <v>1</v>
      </c>
      <c r="G7" s="14">
        <f t="shared" si="3"/>
        <v>200</v>
      </c>
      <c r="H7" s="14">
        <f t="shared" si="4"/>
        <v>1000</v>
      </c>
      <c r="I7" s="14">
        <f t="shared" si="5"/>
        <v>0</v>
      </c>
      <c r="J7" s="14">
        <f t="shared" si="6"/>
        <v>1000</v>
      </c>
    </row>
    <row r="8" spans="1:10" x14ac:dyDescent="0.15">
      <c r="A8" s="13" t="s">
        <v>222</v>
      </c>
      <c r="B8" s="13" t="s">
        <v>229</v>
      </c>
      <c r="C8" s="21" t="s">
        <v>233</v>
      </c>
      <c r="D8" s="14" t="str">
        <f t="shared" si="0"/>
        <v>NV</v>
      </c>
      <c r="E8" s="14" t="str">
        <f t="shared" si="1"/>
        <v>2</v>
      </c>
      <c r="F8" s="69">
        <f t="shared" si="2"/>
        <v>1.5</v>
      </c>
      <c r="G8" s="14">
        <f t="shared" si="3"/>
        <v>150</v>
      </c>
      <c r="H8" s="14">
        <f t="shared" si="4"/>
        <v>1350</v>
      </c>
      <c r="I8" s="14">
        <f t="shared" si="5"/>
        <v>0</v>
      </c>
      <c r="J8" s="14">
        <f t="shared" si="6"/>
        <v>1350</v>
      </c>
    </row>
    <row r="9" spans="1:10" x14ac:dyDescent="0.15">
      <c r="A9" s="13" t="s">
        <v>223</v>
      </c>
      <c r="B9" s="13" t="s">
        <v>230</v>
      </c>
      <c r="C9" s="21" t="s">
        <v>231</v>
      </c>
      <c r="D9" s="14" t="str">
        <f t="shared" si="0"/>
        <v>NV</v>
      </c>
      <c r="E9" s="14" t="str">
        <f t="shared" si="1"/>
        <v>3</v>
      </c>
      <c r="F9" s="69">
        <f t="shared" si="2"/>
        <v>2</v>
      </c>
      <c r="G9" s="14">
        <f t="shared" si="3"/>
        <v>200</v>
      </c>
      <c r="H9" s="14">
        <f t="shared" si="4"/>
        <v>1800</v>
      </c>
      <c r="I9" s="14">
        <f t="shared" si="5"/>
        <v>0</v>
      </c>
      <c r="J9" s="14">
        <f t="shared" si="6"/>
        <v>1800</v>
      </c>
    </row>
    <row r="12" spans="1:10" x14ac:dyDescent="0.15">
      <c r="A12" s="108" t="s">
        <v>234</v>
      </c>
      <c r="B12" s="108"/>
      <c r="D12" s="91" t="s">
        <v>236</v>
      </c>
      <c r="E12" s="91"/>
      <c r="F12" s="91"/>
      <c r="G12" s="91"/>
      <c r="I12" s="108" t="s">
        <v>238</v>
      </c>
      <c r="J12" s="108"/>
    </row>
    <row r="13" spans="1:10" x14ac:dyDescent="0.15">
      <c r="A13" s="10" t="s">
        <v>214</v>
      </c>
      <c r="B13" s="10" t="s">
        <v>235</v>
      </c>
      <c r="D13" s="27"/>
      <c r="E13" s="26">
        <v>1</v>
      </c>
      <c r="F13" s="26">
        <v>2</v>
      </c>
      <c r="G13" s="26">
        <v>3</v>
      </c>
      <c r="J13" s="29">
        <v>800</v>
      </c>
    </row>
    <row r="14" spans="1:10" x14ac:dyDescent="0.15">
      <c r="A14" s="28" t="s">
        <v>231</v>
      </c>
      <c r="B14" s="14">
        <v>200</v>
      </c>
      <c r="D14" s="79"/>
      <c r="E14" s="26">
        <v>2</v>
      </c>
      <c r="F14" s="26">
        <v>3</v>
      </c>
      <c r="G14" s="26">
        <v>4</v>
      </c>
    </row>
    <row r="15" spans="1:10" x14ac:dyDescent="0.15">
      <c r="A15" s="28" t="s">
        <v>233</v>
      </c>
      <c r="B15" s="14">
        <v>150</v>
      </c>
      <c r="D15" s="10" t="s">
        <v>24</v>
      </c>
      <c r="E15" s="14">
        <v>2</v>
      </c>
      <c r="F15" s="14">
        <v>2.5</v>
      </c>
      <c r="G15" s="14">
        <v>3</v>
      </c>
    </row>
    <row r="16" spans="1:10" x14ac:dyDescent="0.15">
      <c r="A16" s="28" t="s">
        <v>232</v>
      </c>
      <c r="B16" s="14">
        <v>100</v>
      </c>
      <c r="D16" s="10" t="s">
        <v>237</v>
      </c>
      <c r="E16" s="14">
        <v>3</v>
      </c>
      <c r="F16" s="14">
        <v>3.5</v>
      </c>
      <c r="G16" s="14">
        <v>4</v>
      </c>
    </row>
    <row r="17" spans="1:7" x14ac:dyDescent="0.15">
      <c r="D17" s="10" t="s">
        <v>20</v>
      </c>
      <c r="E17" s="14">
        <v>1</v>
      </c>
      <c r="F17" s="14">
        <v>1.5</v>
      </c>
      <c r="G17" s="14">
        <v>2</v>
      </c>
    </row>
    <row r="19" spans="1:7" ht="16" x14ac:dyDescent="0.2">
      <c r="A19" s="30" t="s">
        <v>75</v>
      </c>
    </row>
    <row r="20" spans="1:7" x14ac:dyDescent="0.15">
      <c r="A20" s="12" t="s">
        <v>239</v>
      </c>
    </row>
    <row r="21" spans="1:7" x14ac:dyDescent="0.15">
      <c r="A21" s="16" t="s">
        <v>550</v>
      </c>
    </row>
    <row r="22" spans="1:7" x14ac:dyDescent="0.15">
      <c r="A22" s="16" t="s">
        <v>551</v>
      </c>
    </row>
    <row r="23" spans="1:7" x14ac:dyDescent="0.15">
      <c r="A23" s="16" t="s">
        <v>552</v>
      </c>
    </row>
    <row r="24" spans="1:7" x14ac:dyDescent="0.15">
      <c r="A24" s="16" t="s">
        <v>553</v>
      </c>
    </row>
    <row r="25" spans="1:7" x14ac:dyDescent="0.15">
      <c r="A25" s="16" t="s">
        <v>554</v>
      </c>
    </row>
    <row r="26" spans="1:7" x14ac:dyDescent="0.15">
      <c r="A26" s="16" t="s">
        <v>555</v>
      </c>
    </row>
    <row r="27" spans="1:7" x14ac:dyDescent="0.15">
      <c r="A27" s="17" t="s">
        <v>556</v>
      </c>
    </row>
    <row r="28" spans="1:7" x14ac:dyDescent="0.15">
      <c r="A28" s="17" t="s">
        <v>240</v>
      </c>
    </row>
    <row r="29" spans="1:7" x14ac:dyDescent="0.15">
      <c r="A29" s="16" t="s">
        <v>557</v>
      </c>
    </row>
    <row r="30" spans="1:7" x14ac:dyDescent="0.15">
      <c r="A30" s="16" t="s">
        <v>558</v>
      </c>
    </row>
    <row r="33" spans="1:1" ht="16" x14ac:dyDescent="0.2">
      <c r="A33" s="18"/>
    </row>
    <row r="34" spans="1:1" x14ac:dyDescent="0.15">
      <c r="A34" s="12"/>
    </row>
    <row r="35" spans="1:1" x14ac:dyDescent="0.15">
      <c r="A35" s="12"/>
    </row>
    <row r="36" spans="1:1" x14ac:dyDescent="0.15">
      <c r="A36" s="12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</sheetData>
  <mergeCells count="4">
    <mergeCell ref="D12:G12"/>
    <mergeCell ref="A12:B12"/>
    <mergeCell ref="I12:J12"/>
    <mergeCell ref="A1:J1"/>
  </mergeCells>
  <phoneticPr fontId="11" type="noConversion"/>
  <pageMargins left="1.1811023622047245" right="0.78740157480314965" top="0.78740157480314965" bottom="0.78740157480314965" header="0.51181102362204722" footer="0.51181102362204722"/>
  <pageSetup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workbookViewId="0">
      <selection activeCell="F18" sqref="F18"/>
    </sheetView>
  </sheetViews>
  <sheetFormatPr baseColWidth="10" defaultRowHeight="13" x14ac:dyDescent="0.15"/>
  <cols>
    <col min="3" max="3" width="14" customWidth="1"/>
  </cols>
  <sheetData>
    <row r="4" spans="2:8" x14ac:dyDescent="0.15">
      <c r="B4" s="78" t="s">
        <v>0</v>
      </c>
      <c r="C4" s="78" t="s">
        <v>213</v>
      </c>
      <c r="D4" s="78" t="s">
        <v>214</v>
      </c>
      <c r="E4" s="78" t="s">
        <v>2</v>
      </c>
      <c r="G4" s="78" t="s">
        <v>214</v>
      </c>
      <c r="H4" s="78" t="s">
        <v>2</v>
      </c>
    </row>
    <row r="5" spans="2:8" x14ac:dyDescent="0.15">
      <c r="B5" s="13" t="s">
        <v>221</v>
      </c>
      <c r="C5" s="13" t="s">
        <v>228</v>
      </c>
      <c r="D5" s="21" t="s">
        <v>231</v>
      </c>
      <c r="E5" s="14" t="s">
        <v>20</v>
      </c>
      <c r="G5" t="s">
        <v>231</v>
      </c>
      <c r="H5" t="s">
        <v>20</v>
      </c>
    </row>
    <row r="6" spans="2:8" x14ac:dyDescent="0.15">
      <c r="B6" s="13" t="s">
        <v>223</v>
      </c>
      <c r="C6" s="13" t="s">
        <v>230</v>
      </c>
      <c r="D6" s="21" t="s">
        <v>231</v>
      </c>
      <c r="E6" s="1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L9" sqref="L9"/>
    </sheetView>
  </sheetViews>
  <sheetFormatPr baseColWidth="10" defaultColWidth="8.83203125" defaultRowHeight="13" x14ac:dyDescent="0.15"/>
  <cols>
    <col min="1" max="2" width="6.5" customWidth="1"/>
    <col min="3" max="3" width="6.6640625" customWidth="1"/>
    <col min="4" max="4" width="5.33203125" customWidth="1"/>
    <col min="5" max="5" width="9.83203125" customWidth="1"/>
    <col min="6" max="6" width="10.1640625" bestFit="1" customWidth="1"/>
    <col min="8" max="8" width="5.33203125" customWidth="1"/>
    <col min="9" max="10" width="5.1640625" customWidth="1"/>
    <col min="11" max="11" width="5.33203125" customWidth="1"/>
    <col min="12" max="12" width="7.6640625" customWidth="1"/>
    <col min="14" max="14" width="10.5" customWidth="1"/>
  </cols>
  <sheetData>
    <row r="1" spans="1:14" ht="23" x14ac:dyDescent="0.25">
      <c r="A1" s="81" t="s">
        <v>444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4" ht="39" x14ac:dyDescent="0.15">
      <c r="A2" s="7" t="s">
        <v>242</v>
      </c>
      <c r="B2" s="8" t="s">
        <v>243</v>
      </c>
      <c r="C2" s="8" t="s">
        <v>244</v>
      </c>
      <c r="D2" s="7" t="s">
        <v>245</v>
      </c>
      <c r="E2" s="8" t="s">
        <v>246</v>
      </c>
      <c r="F2" s="8" t="s">
        <v>247</v>
      </c>
      <c r="G2" s="8" t="s">
        <v>248</v>
      </c>
      <c r="H2" s="8" t="s">
        <v>249</v>
      </c>
      <c r="I2" s="8" t="s">
        <v>275</v>
      </c>
      <c r="J2" s="8" t="s">
        <v>276</v>
      </c>
      <c r="K2" s="8" t="s">
        <v>250</v>
      </c>
      <c r="L2" s="8" t="s">
        <v>251</v>
      </c>
    </row>
    <row r="3" spans="1:14" x14ac:dyDescent="0.15">
      <c r="A3" s="13" t="s">
        <v>252</v>
      </c>
      <c r="B3" s="13" t="s">
        <v>261</v>
      </c>
      <c r="C3" s="13" t="str">
        <f>LEFT(RIGHT(A3,2),1)</f>
        <v>B</v>
      </c>
      <c r="D3" s="13" t="str">
        <f>RIGHT(A3,1)</f>
        <v>1</v>
      </c>
      <c r="E3" s="46">
        <v>39058</v>
      </c>
      <c r="F3" s="46">
        <v>39068</v>
      </c>
      <c r="G3" s="47" t="e">
        <f>HLOOKUP(D3,B14:C16,1,1)</f>
        <v>#N/A</v>
      </c>
      <c r="H3" s="13"/>
      <c r="I3" s="13"/>
      <c r="J3" s="13"/>
      <c r="K3" s="13"/>
      <c r="L3" s="13"/>
      <c r="N3" s="36"/>
    </row>
    <row r="4" spans="1:14" x14ac:dyDescent="0.15">
      <c r="A4" s="13" t="s">
        <v>253</v>
      </c>
      <c r="B4" s="13" t="s">
        <v>262</v>
      </c>
      <c r="C4" s="13" t="str">
        <f t="shared" ref="C4:C11" si="0">LEFT(RIGHT(A4,2),1)</f>
        <v>A</v>
      </c>
      <c r="D4" s="13" t="str">
        <f t="shared" ref="D4:D11" si="1">RIGHT(A4,1)</f>
        <v>2</v>
      </c>
      <c r="E4" s="46">
        <v>39052</v>
      </c>
      <c r="F4" s="46">
        <v>39080</v>
      </c>
      <c r="G4" s="47"/>
      <c r="H4" s="13"/>
      <c r="I4" s="13"/>
      <c r="J4" s="13"/>
      <c r="K4" s="13"/>
      <c r="L4" s="13"/>
      <c r="N4" s="36"/>
    </row>
    <row r="5" spans="1:14" x14ac:dyDescent="0.15">
      <c r="A5" s="13" t="s">
        <v>254</v>
      </c>
      <c r="B5" s="13" t="s">
        <v>266</v>
      </c>
      <c r="C5" s="13" t="str">
        <f t="shared" si="0"/>
        <v>C</v>
      </c>
      <c r="D5" s="13" t="str">
        <f t="shared" si="1"/>
        <v>2</v>
      </c>
      <c r="E5" s="46">
        <v>39041</v>
      </c>
      <c r="F5" s="46">
        <v>39046</v>
      </c>
      <c r="G5" s="47"/>
      <c r="H5" s="13"/>
      <c r="I5" s="13"/>
      <c r="J5" s="13"/>
      <c r="K5" s="13"/>
      <c r="L5" s="13"/>
      <c r="N5" s="36"/>
    </row>
    <row r="6" spans="1:14" x14ac:dyDescent="0.15">
      <c r="A6" s="13" t="s">
        <v>255</v>
      </c>
      <c r="B6" s="13" t="s">
        <v>267</v>
      </c>
      <c r="C6" s="13" t="str">
        <f t="shared" si="0"/>
        <v>A</v>
      </c>
      <c r="D6" s="13" t="str">
        <f t="shared" si="1"/>
        <v>1</v>
      </c>
      <c r="E6" s="46">
        <v>38928</v>
      </c>
      <c r="F6" s="46">
        <v>38959</v>
      </c>
      <c r="G6" s="47"/>
      <c r="H6" s="13"/>
      <c r="I6" s="13"/>
      <c r="J6" s="13"/>
      <c r="K6" s="13"/>
      <c r="L6" s="13"/>
      <c r="N6" s="36"/>
    </row>
    <row r="7" spans="1:14" x14ac:dyDescent="0.15">
      <c r="A7" s="13" t="s">
        <v>256</v>
      </c>
      <c r="B7" s="13" t="s">
        <v>263</v>
      </c>
      <c r="C7" s="13" t="str">
        <f t="shared" si="0"/>
        <v>B</v>
      </c>
      <c r="D7" s="13" t="str">
        <f t="shared" si="1"/>
        <v>2</v>
      </c>
      <c r="E7" s="46">
        <v>38928</v>
      </c>
      <c r="F7" s="46">
        <v>38959</v>
      </c>
      <c r="G7" s="47"/>
      <c r="H7" s="13"/>
      <c r="I7" s="13"/>
      <c r="J7" s="13"/>
      <c r="K7" s="13"/>
      <c r="L7" s="13"/>
      <c r="N7" s="36"/>
    </row>
    <row r="8" spans="1:14" x14ac:dyDescent="0.15">
      <c r="A8" s="13" t="s">
        <v>257</v>
      </c>
      <c r="B8" s="13" t="s">
        <v>264</v>
      </c>
      <c r="C8" s="13" t="str">
        <f t="shared" si="0"/>
        <v>C</v>
      </c>
      <c r="D8" s="13" t="str">
        <f t="shared" si="1"/>
        <v>1</v>
      </c>
      <c r="E8" s="46">
        <v>38928</v>
      </c>
      <c r="F8" s="46">
        <v>38959</v>
      </c>
      <c r="G8" s="47"/>
      <c r="H8" s="13"/>
      <c r="I8" s="13"/>
      <c r="J8" s="13"/>
      <c r="K8" s="13"/>
      <c r="L8" s="13"/>
      <c r="N8" s="36"/>
    </row>
    <row r="9" spans="1:14" x14ac:dyDescent="0.15">
      <c r="A9" s="13" t="s">
        <v>258</v>
      </c>
      <c r="B9" s="13" t="s">
        <v>265</v>
      </c>
      <c r="C9" s="13" t="str">
        <f t="shared" si="0"/>
        <v>A</v>
      </c>
      <c r="D9" s="13" t="str">
        <f t="shared" si="1"/>
        <v>2</v>
      </c>
      <c r="E9" s="46">
        <v>38926</v>
      </c>
      <c r="F9" s="46">
        <v>38962</v>
      </c>
      <c r="G9" s="47"/>
      <c r="H9" s="13"/>
      <c r="I9" s="13"/>
      <c r="J9" s="13"/>
      <c r="K9" s="13"/>
      <c r="L9" s="13"/>
    </row>
    <row r="10" spans="1:14" x14ac:dyDescent="0.15">
      <c r="A10" s="13" t="s">
        <v>259</v>
      </c>
      <c r="B10" s="13" t="s">
        <v>268</v>
      </c>
      <c r="C10" s="13" t="str">
        <f t="shared" si="0"/>
        <v>A</v>
      </c>
      <c r="D10" s="13" t="str">
        <f t="shared" si="1"/>
        <v>2</v>
      </c>
      <c r="E10" s="46">
        <v>38928</v>
      </c>
      <c r="F10" s="46">
        <v>38968</v>
      </c>
      <c r="G10" s="47"/>
      <c r="H10" s="13"/>
      <c r="I10" s="13"/>
      <c r="J10" s="13"/>
      <c r="K10" s="13"/>
      <c r="L10" s="13"/>
    </row>
    <row r="11" spans="1:14" x14ac:dyDescent="0.15">
      <c r="A11" s="13" t="s">
        <v>260</v>
      </c>
      <c r="B11" s="13" t="s">
        <v>269</v>
      </c>
      <c r="C11" s="13" t="str">
        <f t="shared" si="0"/>
        <v>B</v>
      </c>
      <c r="D11" s="13" t="str">
        <f t="shared" si="1"/>
        <v>1</v>
      </c>
      <c r="E11" s="46">
        <v>38958</v>
      </c>
      <c r="F11" s="46">
        <v>38980</v>
      </c>
      <c r="G11" s="47"/>
      <c r="H11" s="13"/>
      <c r="I11" s="13"/>
      <c r="J11" s="13"/>
      <c r="K11" s="13"/>
      <c r="L11" s="13"/>
    </row>
    <row r="13" spans="1:14" x14ac:dyDescent="0.15">
      <c r="A13" s="91" t="s">
        <v>273</v>
      </c>
      <c r="B13" s="91"/>
      <c r="C13" s="91"/>
      <c r="D13" s="91"/>
      <c r="E13" s="91"/>
    </row>
    <row r="14" spans="1:14" x14ac:dyDescent="0.15">
      <c r="A14" s="111" t="s">
        <v>270</v>
      </c>
      <c r="B14" s="109" t="s">
        <v>271</v>
      </c>
      <c r="C14" s="110"/>
      <c r="D14" s="109" t="s">
        <v>272</v>
      </c>
      <c r="E14" s="110"/>
    </row>
    <row r="15" spans="1:14" x14ac:dyDescent="0.15">
      <c r="A15" s="112"/>
      <c r="B15" s="15">
        <v>1</v>
      </c>
      <c r="C15" s="15">
        <v>2</v>
      </c>
      <c r="D15" s="15">
        <v>1</v>
      </c>
      <c r="E15" s="15">
        <v>2</v>
      </c>
    </row>
    <row r="16" spans="1:14" x14ac:dyDescent="0.15">
      <c r="A16" s="14" t="s">
        <v>231</v>
      </c>
      <c r="B16" s="14">
        <v>100</v>
      </c>
      <c r="C16" s="14">
        <v>90</v>
      </c>
      <c r="D16" s="14">
        <v>20</v>
      </c>
      <c r="E16" s="14">
        <v>16</v>
      </c>
    </row>
    <row r="17" spans="1:5" x14ac:dyDescent="0.15">
      <c r="A17" s="14" t="s">
        <v>233</v>
      </c>
      <c r="B17" s="14">
        <v>75</v>
      </c>
      <c r="C17" s="14">
        <v>70</v>
      </c>
      <c r="D17" s="14">
        <v>15</v>
      </c>
      <c r="E17" s="14">
        <v>12</v>
      </c>
    </row>
    <row r="18" spans="1:5" x14ac:dyDescent="0.15">
      <c r="A18" s="14" t="s">
        <v>232</v>
      </c>
      <c r="B18" s="14">
        <v>50</v>
      </c>
      <c r="C18" s="14">
        <v>45</v>
      </c>
      <c r="D18" s="14">
        <v>10</v>
      </c>
      <c r="E18" s="14">
        <v>8</v>
      </c>
    </row>
    <row r="21" spans="1:5" ht="16" x14ac:dyDescent="0.2">
      <c r="A21" s="18" t="s">
        <v>75</v>
      </c>
    </row>
    <row r="22" spans="1:5" x14ac:dyDescent="0.15">
      <c r="A22" s="12" t="s">
        <v>274</v>
      </c>
    </row>
    <row r="23" spans="1:5" x14ac:dyDescent="0.15">
      <c r="A23" s="16" t="s">
        <v>560</v>
      </c>
    </row>
    <row r="24" spans="1:5" x14ac:dyDescent="0.15">
      <c r="A24" s="16" t="s">
        <v>559</v>
      </c>
    </row>
    <row r="25" spans="1:5" x14ac:dyDescent="0.15">
      <c r="A25" s="16" t="s">
        <v>561</v>
      </c>
    </row>
    <row r="26" spans="1:5" x14ac:dyDescent="0.15">
      <c r="A26" s="16" t="s">
        <v>562</v>
      </c>
    </row>
    <row r="27" spans="1:5" x14ac:dyDescent="0.15">
      <c r="A27" s="16" t="s">
        <v>563</v>
      </c>
    </row>
    <row r="28" spans="1:5" x14ac:dyDescent="0.15">
      <c r="A28" s="16" t="s">
        <v>564</v>
      </c>
    </row>
    <row r="29" spans="1:5" x14ac:dyDescent="0.15">
      <c r="A29" s="12" t="s">
        <v>565</v>
      </c>
    </row>
    <row r="30" spans="1:5" x14ac:dyDescent="0.15">
      <c r="A30" s="25" t="s">
        <v>566</v>
      </c>
    </row>
    <row r="31" spans="1:5" x14ac:dyDescent="0.15">
      <c r="A31" s="12" t="s">
        <v>631</v>
      </c>
    </row>
    <row r="32" spans="1:5" x14ac:dyDescent="0.15">
      <c r="A32" s="12" t="s">
        <v>630</v>
      </c>
    </row>
    <row r="33" spans="1:1" x14ac:dyDescent="0.15">
      <c r="A33" s="12" t="s">
        <v>567</v>
      </c>
    </row>
    <row r="36" spans="1:1" ht="16" x14ac:dyDescent="0.2">
      <c r="A36" s="18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  <row r="41" spans="1:1" x14ac:dyDescent="0.15">
      <c r="A41" s="12"/>
    </row>
    <row r="42" spans="1:1" x14ac:dyDescent="0.15">
      <c r="A42" s="12"/>
    </row>
    <row r="43" spans="1:1" x14ac:dyDescent="0.15">
      <c r="A43" s="12"/>
    </row>
    <row r="44" spans="1:1" x14ac:dyDescent="0.15">
      <c r="A44" s="12"/>
    </row>
  </sheetData>
  <mergeCells count="5">
    <mergeCell ref="D14:E14"/>
    <mergeCell ref="B14:C14"/>
    <mergeCell ref="A13:E13"/>
    <mergeCell ref="A1:L1"/>
    <mergeCell ref="A14:A15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Roman,Regular"8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2" sqref="A2"/>
    </sheetView>
  </sheetViews>
  <sheetFormatPr baseColWidth="10" defaultColWidth="8.83203125" defaultRowHeight="13" x14ac:dyDescent="0.15"/>
  <cols>
    <col min="5" max="5" width="5.5" bestFit="1" customWidth="1"/>
    <col min="6" max="6" width="9.5" bestFit="1" customWidth="1"/>
    <col min="7" max="10" width="7.33203125" customWidth="1"/>
    <col min="11" max="11" width="10.1640625" bestFit="1" customWidth="1"/>
  </cols>
  <sheetData>
    <row r="1" spans="1:10" ht="20" x14ac:dyDescent="0.2">
      <c r="A1" s="93" t="s">
        <v>302</v>
      </c>
      <c r="B1" s="93"/>
      <c r="C1" s="93"/>
      <c r="D1" s="93"/>
      <c r="E1" s="93"/>
      <c r="F1" s="93"/>
      <c r="G1" s="93"/>
      <c r="H1" s="93"/>
    </row>
    <row r="2" spans="1:10" ht="26" x14ac:dyDescent="0.15">
      <c r="A2" s="7" t="s">
        <v>179</v>
      </c>
      <c r="B2" s="7" t="s">
        <v>181</v>
      </c>
      <c r="C2" s="7" t="s">
        <v>119</v>
      </c>
      <c r="D2" s="7" t="s">
        <v>30</v>
      </c>
      <c r="E2" s="8" t="s">
        <v>301</v>
      </c>
      <c r="F2" s="8" t="s">
        <v>277</v>
      </c>
      <c r="G2" s="8" t="s">
        <v>278</v>
      </c>
      <c r="H2" s="8" t="s">
        <v>279</v>
      </c>
    </row>
    <row r="3" spans="1:10" x14ac:dyDescent="0.15">
      <c r="A3" s="14" t="s">
        <v>280</v>
      </c>
      <c r="B3" s="14" t="str">
        <f>VLOOKUP(LEFT(A3,1),$A$17:$B$20,2,1)</f>
        <v>Bàn ủi</v>
      </c>
      <c r="C3" s="14" t="str">
        <f>MID(A3,2,2)</f>
        <v>02</v>
      </c>
      <c r="D3" s="14">
        <f>IF(VALUE(C3)&gt;5,VLOOKUP(LEFT(A3,1),$A$17:$D$20,3,1),VLOOKUP(LEFT(A3,1),$A$17:$D$20,4,1))</f>
        <v>12</v>
      </c>
      <c r="E3" s="50">
        <f>HLOOKUP(VALUE(RIGHT(A3,1)),$G$16:$J$18,3,1)</f>
        <v>0.02</v>
      </c>
      <c r="F3" s="14">
        <f>C3*D3*(1+E3)</f>
        <v>24.48</v>
      </c>
      <c r="G3" s="14">
        <f>HLOOKUP(VALUE(RIGHT(A3,1)),$G$16:$J$17,2,1) * F3</f>
        <v>0</v>
      </c>
      <c r="H3" s="14">
        <f>F3-G3</f>
        <v>24.48</v>
      </c>
    </row>
    <row r="4" spans="1:10" x14ac:dyDescent="0.15">
      <c r="A4" s="14" t="s">
        <v>281</v>
      </c>
      <c r="B4" s="14" t="str">
        <f t="shared" ref="B4:B12" si="0">VLOOKUP(LEFT(A4,1),$A$17:$B$20,2,1)</f>
        <v>Tủ lạnh</v>
      </c>
      <c r="C4" s="14" t="str">
        <f t="shared" ref="C4:C12" si="1">MID(A4,2,2)</f>
        <v>03</v>
      </c>
      <c r="D4" s="14">
        <f t="shared" ref="D4:D12" si="2">IF(VALUE(C4)&gt;5,VLOOKUP(LEFT(A4,1),$A$17:$D$20,3,1),VLOOKUP(LEFT(A4,1),$A$17:$D$20,4,1))</f>
        <v>215</v>
      </c>
      <c r="E4" s="50">
        <f t="shared" ref="E4:E12" si="3">HLOOKUP(VALUE(RIGHT(A4,1)),$G$16:$J$18,3,1)</f>
        <v>0.03</v>
      </c>
      <c r="F4" s="14">
        <f t="shared" ref="F4:F12" si="4">C4*D4*(1+E4)</f>
        <v>664.35</v>
      </c>
      <c r="G4" s="14">
        <f t="shared" ref="G4:G12" si="5">HLOOKUP(VALUE(RIGHT(A4,1)),$G$16:$J$17,2,1) * F4</f>
        <v>6.6435000000000004</v>
      </c>
      <c r="H4" s="14">
        <f t="shared" ref="H4:H12" si="6">F4-G4</f>
        <v>657.70650000000001</v>
      </c>
    </row>
    <row r="5" spans="1:10" x14ac:dyDescent="0.15">
      <c r="A5" s="14" t="s">
        <v>282</v>
      </c>
      <c r="B5" s="14" t="str">
        <f t="shared" si="0"/>
        <v>Bàn ủi</v>
      </c>
      <c r="C5" s="14" t="str">
        <f t="shared" si="1"/>
        <v>15</v>
      </c>
      <c r="D5" s="14">
        <f t="shared" si="2"/>
        <v>10</v>
      </c>
      <c r="E5" s="50">
        <f t="shared" si="3"/>
        <v>0.03</v>
      </c>
      <c r="F5" s="14">
        <f t="shared" si="4"/>
        <v>154.5</v>
      </c>
      <c r="G5" s="14">
        <f t="shared" si="5"/>
        <v>1.5449999999999999</v>
      </c>
      <c r="H5" s="14">
        <f t="shared" si="6"/>
        <v>152.95500000000001</v>
      </c>
    </row>
    <row r="6" spans="1:10" x14ac:dyDescent="0.15">
      <c r="A6" s="14" t="s">
        <v>283</v>
      </c>
      <c r="B6" s="14" t="str">
        <f t="shared" si="0"/>
        <v>Nồi điện</v>
      </c>
      <c r="C6" s="14" t="str">
        <f t="shared" si="1"/>
        <v>03</v>
      </c>
      <c r="D6" s="14">
        <f t="shared" si="2"/>
        <v>33</v>
      </c>
      <c r="E6" s="50">
        <f t="shared" si="3"/>
        <v>0.02</v>
      </c>
      <c r="F6" s="14">
        <f t="shared" si="4"/>
        <v>100.98</v>
      </c>
      <c r="G6" s="14">
        <f t="shared" si="5"/>
        <v>0</v>
      </c>
      <c r="H6" s="14">
        <f t="shared" si="6"/>
        <v>100.98</v>
      </c>
    </row>
    <row r="7" spans="1:10" x14ac:dyDescent="0.15">
      <c r="A7" s="14" t="s">
        <v>284</v>
      </c>
      <c r="B7" s="14" t="str">
        <f t="shared" si="0"/>
        <v>Bàn ủi</v>
      </c>
      <c r="C7" s="14" t="str">
        <f t="shared" si="1"/>
        <v>20</v>
      </c>
      <c r="D7" s="14">
        <f t="shared" si="2"/>
        <v>10</v>
      </c>
      <c r="E7" s="50">
        <f t="shared" si="3"/>
        <v>0.05</v>
      </c>
      <c r="F7" s="14">
        <f t="shared" si="4"/>
        <v>210</v>
      </c>
      <c r="G7" s="14">
        <f t="shared" si="5"/>
        <v>4.2</v>
      </c>
      <c r="H7" s="14">
        <f t="shared" si="6"/>
        <v>205.8</v>
      </c>
    </row>
    <row r="8" spans="1:10" x14ac:dyDescent="0.15">
      <c r="A8" s="14" t="s">
        <v>285</v>
      </c>
      <c r="B8" s="14" t="str">
        <f t="shared" si="0"/>
        <v>Bàn ủi</v>
      </c>
      <c r="C8" s="14" t="str">
        <f t="shared" si="1"/>
        <v>10</v>
      </c>
      <c r="D8" s="14">
        <f t="shared" si="2"/>
        <v>10</v>
      </c>
      <c r="E8" s="50">
        <f t="shared" si="3"/>
        <v>0.1</v>
      </c>
      <c r="F8" s="14">
        <f t="shared" si="4"/>
        <v>110.00000000000001</v>
      </c>
      <c r="G8" s="14">
        <f t="shared" si="5"/>
        <v>3.3000000000000003</v>
      </c>
      <c r="H8" s="14">
        <f t="shared" si="6"/>
        <v>106.70000000000002</v>
      </c>
    </row>
    <row r="9" spans="1:10" x14ac:dyDescent="0.15">
      <c r="A9" s="14" t="s">
        <v>286</v>
      </c>
      <c r="B9" s="14" t="str">
        <f t="shared" si="0"/>
        <v>Nồi điện</v>
      </c>
      <c r="C9" s="14" t="str">
        <f t="shared" si="1"/>
        <v>05</v>
      </c>
      <c r="D9" s="14">
        <f t="shared" si="2"/>
        <v>33</v>
      </c>
      <c r="E9" s="50">
        <f t="shared" si="3"/>
        <v>0.03</v>
      </c>
      <c r="F9" s="14">
        <f t="shared" si="4"/>
        <v>169.95000000000002</v>
      </c>
      <c r="G9" s="14">
        <f t="shared" si="5"/>
        <v>1.6995000000000002</v>
      </c>
      <c r="H9" s="14">
        <f t="shared" si="6"/>
        <v>168.25050000000002</v>
      </c>
    </row>
    <row r="10" spans="1:10" x14ac:dyDescent="0.15">
      <c r="A10" s="14" t="s">
        <v>287</v>
      </c>
      <c r="B10" s="14" t="str">
        <f t="shared" si="0"/>
        <v>Bàn ủi</v>
      </c>
      <c r="C10" s="14" t="str">
        <f t="shared" si="1"/>
        <v>12</v>
      </c>
      <c r="D10" s="14">
        <f t="shared" si="2"/>
        <v>10</v>
      </c>
      <c r="E10" s="50">
        <f t="shared" si="3"/>
        <v>0.1</v>
      </c>
      <c r="F10" s="14">
        <f t="shared" si="4"/>
        <v>132</v>
      </c>
      <c r="G10" s="14">
        <f t="shared" si="5"/>
        <v>3.96</v>
      </c>
      <c r="H10" s="14">
        <f t="shared" si="6"/>
        <v>128.04</v>
      </c>
    </row>
    <row r="11" spans="1:10" x14ac:dyDescent="0.15">
      <c r="A11" s="14" t="s">
        <v>288</v>
      </c>
      <c r="B11" s="14" t="str">
        <f t="shared" si="0"/>
        <v>Tủ lạnh</v>
      </c>
      <c r="C11" s="14" t="str">
        <f t="shared" si="1"/>
        <v>04</v>
      </c>
      <c r="D11" s="14">
        <f t="shared" si="2"/>
        <v>215</v>
      </c>
      <c r="E11" s="50">
        <f t="shared" si="3"/>
        <v>0.05</v>
      </c>
      <c r="F11" s="14">
        <f t="shared" si="4"/>
        <v>903</v>
      </c>
      <c r="G11" s="14">
        <f t="shared" si="5"/>
        <v>18.059999999999999</v>
      </c>
      <c r="H11" s="14">
        <f t="shared" si="6"/>
        <v>884.94</v>
      </c>
    </row>
    <row r="12" spans="1:10" x14ac:dyDescent="0.15">
      <c r="A12" s="14" t="s">
        <v>289</v>
      </c>
      <c r="B12" s="14" t="str">
        <f t="shared" si="0"/>
        <v>Nồi điện</v>
      </c>
      <c r="C12" s="14" t="str">
        <f t="shared" si="1"/>
        <v>08</v>
      </c>
      <c r="D12" s="14">
        <f t="shared" si="2"/>
        <v>30</v>
      </c>
      <c r="E12" s="50">
        <f t="shared" si="3"/>
        <v>0.02</v>
      </c>
      <c r="F12" s="14">
        <f t="shared" si="4"/>
        <v>244.8</v>
      </c>
      <c r="G12" s="14">
        <f t="shared" si="5"/>
        <v>0</v>
      </c>
      <c r="H12" s="14">
        <f t="shared" si="6"/>
        <v>244.8</v>
      </c>
    </row>
    <row r="15" spans="1:10" x14ac:dyDescent="0.15">
      <c r="A15" s="100" t="s">
        <v>290</v>
      </c>
      <c r="B15" s="100"/>
      <c r="C15" s="100"/>
      <c r="D15" s="100"/>
      <c r="F15" s="91" t="s">
        <v>236</v>
      </c>
      <c r="G15" s="91"/>
      <c r="H15" s="91"/>
      <c r="I15" s="91"/>
      <c r="J15" s="91"/>
    </row>
    <row r="16" spans="1:10" x14ac:dyDescent="0.15">
      <c r="A16" s="7" t="s">
        <v>291</v>
      </c>
      <c r="B16" s="7" t="s">
        <v>181</v>
      </c>
      <c r="C16" s="7" t="s">
        <v>292</v>
      </c>
      <c r="D16" s="7" t="s">
        <v>293</v>
      </c>
      <c r="F16" s="7" t="s">
        <v>5</v>
      </c>
      <c r="G16" s="14">
        <v>1</v>
      </c>
      <c r="H16" s="14">
        <v>2</v>
      </c>
      <c r="I16" s="14">
        <v>3</v>
      </c>
      <c r="J16" s="14">
        <v>4</v>
      </c>
    </row>
    <row r="17" spans="1:13" x14ac:dyDescent="0.15">
      <c r="A17" s="24" t="s">
        <v>233</v>
      </c>
      <c r="B17" s="13" t="s">
        <v>295</v>
      </c>
      <c r="C17" s="14">
        <v>10</v>
      </c>
      <c r="D17" s="14">
        <v>12</v>
      </c>
      <c r="F17" s="15" t="s">
        <v>299</v>
      </c>
      <c r="G17" s="32">
        <v>0</v>
      </c>
      <c r="H17" s="32">
        <v>0.01</v>
      </c>
      <c r="I17" s="32">
        <v>0.02</v>
      </c>
      <c r="J17" s="32">
        <v>0.03</v>
      </c>
    </row>
    <row r="18" spans="1:13" x14ac:dyDescent="0.15">
      <c r="A18" s="24" t="s">
        <v>294</v>
      </c>
      <c r="B18" s="13" t="s">
        <v>296</v>
      </c>
      <c r="C18" s="14">
        <v>30</v>
      </c>
      <c r="D18" s="14">
        <v>33</v>
      </c>
      <c r="F18" s="15" t="s">
        <v>300</v>
      </c>
      <c r="G18" s="32">
        <v>0.02</v>
      </c>
      <c r="H18" s="32">
        <v>0.03</v>
      </c>
      <c r="I18" s="32">
        <v>0.05</v>
      </c>
      <c r="J18" s="32">
        <v>0.1</v>
      </c>
    </row>
    <row r="19" spans="1:13" x14ac:dyDescent="0.15">
      <c r="A19" s="24" t="s">
        <v>105</v>
      </c>
      <c r="B19" s="13" t="s">
        <v>297</v>
      </c>
      <c r="C19" s="14">
        <v>200</v>
      </c>
      <c r="D19" s="14">
        <v>215</v>
      </c>
    </row>
    <row r="20" spans="1:13" x14ac:dyDescent="0.15">
      <c r="A20" s="24" t="s">
        <v>441</v>
      </c>
      <c r="B20" s="13" t="s">
        <v>298</v>
      </c>
      <c r="C20" s="14">
        <v>250</v>
      </c>
      <c r="D20" s="14">
        <v>260</v>
      </c>
    </row>
    <row r="23" spans="1:13" ht="16" x14ac:dyDescent="0.2">
      <c r="A23" s="18" t="s">
        <v>75</v>
      </c>
    </row>
    <row r="24" spans="1:13" x14ac:dyDescent="0.15">
      <c r="A24" s="12" t="s">
        <v>239</v>
      </c>
    </row>
    <row r="25" spans="1:13" x14ac:dyDescent="0.15">
      <c r="A25" s="16" t="s">
        <v>568</v>
      </c>
      <c r="K25" s="36"/>
      <c r="L25" s="36"/>
    </row>
    <row r="26" spans="1:13" x14ac:dyDescent="0.15">
      <c r="A26" s="12" t="s">
        <v>569</v>
      </c>
      <c r="K26" s="36"/>
      <c r="L26" s="36"/>
    </row>
    <row r="27" spans="1:13" x14ac:dyDescent="0.15">
      <c r="A27" s="12" t="s">
        <v>619</v>
      </c>
      <c r="K27" s="36"/>
      <c r="L27" s="36"/>
      <c r="M27" s="36"/>
    </row>
    <row r="28" spans="1:13" x14ac:dyDescent="0.15">
      <c r="A28" s="36" t="s">
        <v>620</v>
      </c>
    </row>
    <row r="29" spans="1:13" x14ac:dyDescent="0.15">
      <c r="A29" s="12" t="s">
        <v>570</v>
      </c>
      <c r="K29" s="36"/>
      <c r="L29" s="36"/>
      <c r="M29" s="36"/>
    </row>
    <row r="30" spans="1:13" x14ac:dyDescent="0.15">
      <c r="A30" s="12" t="s">
        <v>571</v>
      </c>
    </row>
    <row r="31" spans="1:13" x14ac:dyDescent="0.15">
      <c r="A31" s="12" t="s">
        <v>572</v>
      </c>
      <c r="K31" s="36"/>
      <c r="L31" s="36"/>
      <c r="M31" s="36"/>
    </row>
    <row r="32" spans="1:13" x14ac:dyDescent="0.15">
      <c r="A32" s="12" t="s">
        <v>573</v>
      </c>
    </row>
    <row r="33" spans="1:1" x14ac:dyDescent="0.15">
      <c r="A33" s="12" t="s">
        <v>574</v>
      </c>
    </row>
    <row r="36" spans="1:1" ht="16" x14ac:dyDescent="0.2">
      <c r="A36" s="18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  <row r="41" spans="1:1" x14ac:dyDescent="0.15">
      <c r="A41" s="12"/>
    </row>
    <row r="42" spans="1:1" x14ac:dyDescent="0.15">
      <c r="A42" s="12"/>
    </row>
    <row r="43" spans="1:1" x14ac:dyDescent="0.15">
      <c r="A43" s="12"/>
    </row>
  </sheetData>
  <mergeCells count="3">
    <mergeCell ref="A15:D15"/>
    <mergeCell ref="F15:J15"/>
    <mergeCell ref="A1:H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&amp;L&amp;"Tmes New Roman,Regular"Biên soạn: Lý Trần Thái Học&amp;R&amp;"Times New Roman,Regular"9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8"/>
  <sheetViews>
    <sheetView workbookViewId="0">
      <selection activeCell="D11" sqref="D11"/>
    </sheetView>
  </sheetViews>
  <sheetFormatPr baseColWidth="10" defaultRowHeight="13" x14ac:dyDescent="0.15"/>
  <sheetData>
    <row r="3" spans="2:8" x14ac:dyDescent="0.15">
      <c r="B3" s="77" t="s">
        <v>179</v>
      </c>
      <c r="C3" s="77" t="s">
        <v>181</v>
      </c>
      <c r="G3" s="77" t="s">
        <v>179</v>
      </c>
      <c r="H3" s="77" t="s">
        <v>181</v>
      </c>
    </row>
    <row r="4" spans="2:8" x14ac:dyDescent="0.15">
      <c r="B4" s="14" t="s">
        <v>280</v>
      </c>
      <c r="C4" s="14" t="s">
        <v>295</v>
      </c>
      <c r="G4" t="str">
        <f>RIGHT(B4,1)</f>
        <v>1</v>
      </c>
      <c r="H4" t="s">
        <v>295</v>
      </c>
    </row>
    <row r="5" spans="2:8" hidden="1" x14ac:dyDescent="0.15">
      <c r="B5" s="14" t="s">
        <v>282</v>
      </c>
      <c r="C5" s="14" t="s">
        <v>295</v>
      </c>
    </row>
    <row r="6" spans="2:8" hidden="1" x14ac:dyDescent="0.15">
      <c r="B6" s="14" t="s">
        <v>285</v>
      </c>
      <c r="C6" s="14" t="s">
        <v>295</v>
      </c>
    </row>
    <row r="7" spans="2:8" hidden="1" x14ac:dyDescent="0.15">
      <c r="B7" s="14" t="s">
        <v>287</v>
      </c>
      <c r="C7" s="14" t="s">
        <v>295</v>
      </c>
    </row>
    <row r="8" spans="2:8" hidden="1" x14ac:dyDescent="0.15">
      <c r="B8" s="14" t="s">
        <v>284</v>
      </c>
      <c r="C8" s="14" t="s">
        <v>295</v>
      </c>
    </row>
  </sheetData>
  <autoFilter ref="B3:C8">
    <filterColumn colId="0">
      <customFilters>
        <customFilter val="*1"/>
      </customFilters>
    </filterColumn>
    <sortState ref="B4:C8">
      <sortCondition ref="B3:B8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8.83203125" bestFit="1" customWidth="1"/>
    <col min="3" max="3" width="14.6640625" customWidth="1"/>
    <col min="4" max="4" width="9.33203125" customWidth="1"/>
    <col min="5" max="5" width="8.5" customWidth="1"/>
    <col min="6" max="6" width="12.5" customWidth="1"/>
    <col min="7" max="7" width="11.1640625" customWidth="1"/>
    <col min="8" max="8" width="9.6640625" customWidth="1"/>
    <col min="9" max="10" width="7.5" bestFit="1" customWidth="1"/>
  </cols>
  <sheetData>
    <row r="1" spans="1:8" ht="20" x14ac:dyDescent="0.2">
      <c r="A1" s="93" t="s">
        <v>334</v>
      </c>
      <c r="B1" s="93"/>
      <c r="C1" s="93"/>
      <c r="D1" s="93"/>
      <c r="E1" s="93"/>
      <c r="F1" s="93"/>
      <c r="G1" s="93"/>
      <c r="H1" s="93"/>
    </row>
    <row r="2" spans="1:8" ht="26" x14ac:dyDescent="0.15">
      <c r="A2" s="7" t="s">
        <v>303</v>
      </c>
      <c r="B2" s="7" t="s">
        <v>322</v>
      </c>
      <c r="C2" s="7" t="s">
        <v>304</v>
      </c>
      <c r="D2" s="7" t="s">
        <v>305</v>
      </c>
      <c r="E2" s="8" t="s">
        <v>316</v>
      </c>
      <c r="F2" s="8" t="s">
        <v>100</v>
      </c>
      <c r="G2" s="7" t="s">
        <v>121</v>
      </c>
      <c r="H2" s="8" t="s">
        <v>315</v>
      </c>
    </row>
    <row r="3" spans="1:8" x14ac:dyDescent="0.15">
      <c r="A3" s="14" t="s">
        <v>306</v>
      </c>
      <c r="B3" s="14" t="str">
        <f>HLOOKUP(RIGHT(A3,2),$B$16:$D$17,2,0)</f>
        <v>TÀU S1</v>
      </c>
      <c r="C3" s="14" t="str">
        <f>VLOOKUP(LEFT(A3,2),$A$21:$B$23,2,1)</f>
        <v>GHẾ CỨNG</v>
      </c>
      <c r="D3" s="14">
        <f>VLOOKUP(LEFT(A3,2),$A$21:$E$23,HLOOKUP(B3,$B$17:$D$18,2,FALSE),FALSE)</f>
        <v>450</v>
      </c>
      <c r="E3" s="14">
        <v>10</v>
      </c>
      <c r="F3" s="73">
        <f>E3*D3</f>
        <v>4500</v>
      </c>
      <c r="G3" s="73">
        <f>IF(B3="TÀU S1",10%*F3,IF(OR(B3="TÀU S2",B3="TÀU S3"),5%*F3))</f>
        <v>450</v>
      </c>
      <c r="H3" s="73">
        <f>F3+G3</f>
        <v>4950</v>
      </c>
    </row>
    <row r="4" spans="1:8" x14ac:dyDescent="0.15">
      <c r="A4" s="14" t="s">
        <v>307</v>
      </c>
      <c r="B4" s="14" t="str">
        <f t="shared" ref="B4:B12" si="0">HLOOKUP(RIGHT(A4,2),$B$16:$D$17,2,0)</f>
        <v>TÀU S2</v>
      </c>
      <c r="C4" s="14" t="str">
        <f t="shared" ref="C4:C11" si="1">VLOOKUP(LEFT(A4,2),$A$21:$B$23,2,1)</f>
        <v>GHẾ MỀM</v>
      </c>
      <c r="D4" s="14">
        <f t="shared" ref="D4:D12" si="2">VLOOKUP(LEFT(A4,2),$A$21:$E$23,HLOOKUP(B4,$B$17:$D$18,2,FALSE),FALSE)</f>
        <v>450</v>
      </c>
      <c r="E4" s="14">
        <v>9</v>
      </c>
      <c r="F4" s="73">
        <f t="shared" ref="F4:F12" si="3">E4*D4</f>
        <v>4050</v>
      </c>
      <c r="G4" s="73">
        <f t="shared" ref="G4:G12" si="4">IF(B4="TÀU S1",10%*F4,IF(OR(B4="TÀU S2",B4="TÀU S3"),5%*F4))</f>
        <v>202.5</v>
      </c>
      <c r="H4" s="73">
        <f t="shared" ref="H4:H12" si="5">F4+G4</f>
        <v>4252.5</v>
      </c>
    </row>
    <row r="5" spans="1:8" x14ac:dyDescent="0.15">
      <c r="A5" s="14" t="s">
        <v>308</v>
      </c>
      <c r="B5" s="14" t="str">
        <f t="shared" si="0"/>
        <v>TÀU S3</v>
      </c>
      <c r="C5" s="14" t="str">
        <f t="shared" si="1"/>
        <v>GHẾ CỨNG</v>
      </c>
      <c r="D5" s="14">
        <f t="shared" si="2"/>
        <v>500</v>
      </c>
      <c r="E5" s="14">
        <v>7</v>
      </c>
      <c r="F5" s="73">
        <f t="shared" si="3"/>
        <v>3500</v>
      </c>
      <c r="G5" s="73">
        <f t="shared" si="4"/>
        <v>175</v>
      </c>
      <c r="H5" s="73">
        <f t="shared" si="5"/>
        <v>3675</v>
      </c>
    </row>
    <row r="6" spans="1:8" x14ac:dyDescent="0.15">
      <c r="A6" s="14" t="s">
        <v>309</v>
      </c>
      <c r="B6" s="14" t="str">
        <f t="shared" si="0"/>
        <v>TÀU S3</v>
      </c>
      <c r="C6" s="14" t="str">
        <f t="shared" si="1"/>
        <v>GHẾ MỀM</v>
      </c>
      <c r="D6" s="14">
        <f t="shared" si="2"/>
        <v>400</v>
      </c>
      <c r="E6" s="14">
        <v>8</v>
      </c>
      <c r="F6" s="73">
        <f t="shared" si="3"/>
        <v>3200</v>
      </c>
      <c r="G6" s="73">
        <f t="shared" si="4"/>
        <v>160</v>
      </c>
      <c r="H6" s="73">
        <f t="shared" si="5"/>
        <v>3360</v>
      </c>
    </row>
    <row r="7" spans="1:8" x14ac:dyDescent="0.15">
      <c r="A7" s="14" t="s">
        <v>308</v>
      </c>
      <c r="B7" s="14" t="str">
        <f t="shared" si="0"/>
        <v>TÀU S3</v>
      </c>
      <c r="C7" s="14" t="str">
        <f t="shared" si="1"/>
        <v>GHẾ CỨNG</v>
      </c>
      <c r="D7" s="14">
        <f t="shared" si="2"/>
        <v>500</v>
      </c>
      <c r="E7" s="14">
        <v>3</v>
      </c>
      <c r="F7" s="73">
        <f t="shared" si="3"/>
        <v>1500</v>
      </c>
      <c r="G7" s="73">
        <f t="shared" si="4"/>
        <v>75</v>
      </c>
      <c r="H7" s="73">
        <f t="shared" si="5"/>
        <v>1575</v>
      </c>
    </row>
    <row r="8" spans="1:8" x14ac:dyDescent="0.15">
      <c r="A8" s="14" t="s">
        <v>310</v>
      </c>
      <c r="B8" s="14" t="str">
        <f t="shared" si="0"/>
        <v>TÀU S2</v>
      </c>
      <c r="C8" s="14" t="str">
        <f t="shared" si="1"/>
        <v>GHẾ CỨNG</v>
      </c>
      <c r="D8" s="14">
        <f t="shared" si="2"/>
        <v>400</v>
      </c>
      <c r="E8" s="14">
        <v>4</v>
      </c>
      <c r="F8" s="73">
        <f t="shared" si="3"/>
        <v>1600</v>
      </c>
      <c r="G8" s="73">
        <f t="shared" si="4"/>
        <v>80</v>
      </c>
      <c r="H8" s="73">
        <f t="shared" si="5"/>
        <v>1680</v>
      </c>
    </row>
    <row r="9" spans="1:8" x14ac:dyDescent="0.15">
      <c r="A9" s="14" t="s">
        <v>311</v>
      </c>
      <c r="B9" s="14" t="str">
        <f t="shared" si="0"/>
        <v>TÀU S1</v>
      </c>
      <c r="C9" s="14" t="str">
        <f t="shared" si="1"/>
        <v>GHẾ MỀM</v>
      </c>
      <c r="D9" s="14">
        <f t="shared" si="2"/>
        <v>500</v>
      </c>
      <c r="E9" s="14">
        <v>5</v>
      </c>
      <c r="F9" s="73">
        <f t="shared" si="3"/>
        <v>2500</v>
      </c>
      <c r="G9" s="73">
        <f t="shared" si="4"/>
        <v>250</v>
      </c>
      <c r="H9" s="73">
        <f t="shared" si="5"/>
        <v>2750</v>
      </c>
    </row>
    <row r="10" spans="1:8" x14ac:dyDescent="0.15">
      <c r="A10" s="14" t="s">
        <v>312</v>
      </c>
      <c r="B10" s="14" t="str">
        <f t="shared" si="0"/>
        <v>TÀU S2</v>
      </c>
      <c r="C10" s="14" t="str">
        <f t="shared" si="1"/>
        <v>GHẾ CỨNG</v>
      </c>
      <c r="D10" s="14">
        <f t="shared" si="2"/>
        <v>550</v>
      </c>
      <c r="E10" s="14">
        <v>9</v>
      </c>
      <c r="F10" s="73">
        <f t="shared" si="3"/>
        <v>4950</v>
      </c>
      <c r="G10" s="73">
        <f t="shared" si="4"/>
        <v>247.5</v>
      </c>
      <c r="H10" s="73">
        <f t="shared" si="5"/>
        <v>5197.5</v>
      </c>
    </row>
    <row r="11" spans="1:8" x14ac:dyDescent="0.15">
      <c r="A11" s="14" t="s">
        <v>313</v>
      </c>
      <c r="B11" s="14" t="str">
        <f t="shared" si="0"/>
        <v>TÀU S3</v>
      </c>
      <c r="C11" s="14" t="str">
        <f t="shared" si="1"/>
        <v>GHẾ CỨNG</v>
      </c>
      <c r="D11" s="14">
        <f t="shared" si="2"/>
        <v>350</v>
      </c>
      <c r="E11" s="14">
        <v>15</v>
      </c>
      <c r="F11" s="73">
        <f t="shared" si="3"/>
        <v>5250</v>
      </c>
      <c r="G11" s="73">
        <f t="shared" si="4"/>
        <v>262.5</v>
      </c>
      <c r="H11" s="73">
        <f t="shared" si="5"/>
        <v>5512.5</v>
      </c>
    </row>
    <row r="12" spans="1:8" x14ac:dyDescent="0.15">
      <c r="A12" s="14" t="s">
        <v>314</v>
      </c>
      <c r="B12" s="14" t="str">
        <f t="shared" si="0"/>
        <v>TÀU S1</v>
      </c>
      <c r="C12" s="14" t="str">
        <f>VLOOKUP(LEFT(A12,2),$A$21:$B$23,2,1)</f>
        <v>GHẾ CỨNG</v>
      </c>
      <c r="D12" s="14">
        <f t="shared" si="2"/>
        <v>600</v>
      </c>
      <c r="E12" s="14">
        <v>4</v>
      </c>
      <c r="F12" s="73">
        <f t="shared" si="3"/>
        <v>2400</v>
      </c>
      <c r="G12" s="73">
        <f t="shared" si="4"/>
        <v>240</v>
      </c>
      <c r="H12" s="73">
        <f t="shared" si="5"/>
        <v>2640</v>
      </c>
    </row>
    <row r="15" spans="1:8" x14ac:dyDescent="0.15">
      <c r="A15" s="108" t="s">
        <v>317</v>
      </c>
      <c r="B15" s="108"/>
      <c r="C15" s="108"/>
      <c r="D15" s="108"/>
    </row>
    <row r="16" spans="1:8" x14ac:dyDescent="0.15">
      <c r="A16" s="11" t="s">
        <v>318</v>
      </c>
      <c r="B16" s="14" t="s">
        <v>319</v>
      </c>
      <c r="C16" s="14" t="s">
        <v>320</v>
      </c>
      <c r="D16" s="14" t="s">
        <v>321</v>
      </c>
    </row>
    <row r="17" spans="1:5" x14ac:dyDescent="0.15">
      <c r="A17" s="11" t="s">
        <v>322</v>
      </c>
      <c r="B17" s="14" t="s">
        <v>323</v>
      </c>
      <c r="C17" s="14" t="s">
        <v>324</v>
      </c>
      <c r="D17" s="14" t="s">
        <v>325</v>
      </c>
    </row>
    <row r="18" spans="1:5" x14ac:dyDescent="0.15">
      <c r="A18" s="72"/>
      <c r="B18" s="72">
        <v>3</v>
      </c>
      <c r="C18" s="72">
        <v>4</v>
      </c>
      <c r="D18" s="72">
        <v>5</v>
      </c>
    </row>
    <row r="19" spans="1:5" x14ac:dyDescent="0.15">
      <c r="A19" s="108" t="s">
        <v>326</v>
      </c>
      <c r="B19" s="108"/>
      <c r="C19" s="108"/>
      <c r="D19" s="108"/>
      <c r="E19" s="108"/>
    </row>
    <row r="20" spans="1:5" x14ac:dyDescent="0.15">
      <c r="A20" s="10" t="s">
        <v>327</v>
      </c>
      <c r="B20" s="10" t="s">
        <v>304</v>
      </c>
      <c r="C20" s="10" t="s">
        <v>323</v>
      </c>
      <c r="D20" s="10" t="s">
        <v>324</v>
      </c>
      <c r="E20" s="10" t="s">
        <v>325</v>
      </c>
    </row>
    <row r="21" spans="1:5" x14ac:dyDescent="0.15">
      <c r="A21" s="14" t="s">
        <v>328</v>
      </c>
      <c r="B21" s="14" t="s">
        <v>329</v>
      </c>
      <c r="C21" s="14">
        <v>450</v>
      </c>
      <c r="D21" s="14">
        <v>400</v>
      </c>
      <c r="E21" s="14">
        <v>350</v>
      </c>
    </row>
    <row r="22" spans="1:5" x14ac:dyDescent="0.15">
      <c r="A22" s="14" t="s">
        <v>330</v>
      </c>
      <c r="B22" s="14" t="s">
        <v>331</v>
      </c>
      <c r="C22" s="14">
        <v>500</v>
      </c>
      <c r="D22" s="14">
        <v>450</v>
      </c>
      <c r="E22" s="14">
        <v>400</v>
      </c>
    </row>
    <row r="23" spans="1:5" x14ac:dyDescent="0.15">
      <c r="A23" s="14" t="s">
        <v>332</v>
      </c>
      <c r="B23" s="14" t="s">
        <v>333</v>
      </c>
      <c r="C23" s="14">
        <v>600</v>
      </c>
      <c r="D23" s="14">
        <v>550</v>
      </c>
      <c r="E23" s="14">
        <v>500</v>
      </c>
    </row>
    <row r="25" spans="1:5" ht="16" x14ac:dyDescent="0.2">
      <c r="A25" s="18" t="s">
        <v>75</v>
      </c>
    </row>
    <row r="26" spans="1:5" x14ac:dyDescent="0.15">
      <c r="A26" s="12" t="s">
        <v>239</v>
      </c>
    </row>
    <row r="27" spans="1:5" x14ac:dyDescent="0.15">
      <c r="A27" s="12" t="s">
        <v>575</v>
      </c>
    </row>
    <row r="28" spans="1:5" x14ac:dyDescent="0.15">
      <c r="A28" s="12" t="s">
        <v>576</v>
      </c>
    </row>
    <row r="29" spans="1:5" x14ac:dyDescent="0.15">
      <c r="A29" s="12" t="s">
        <v>577</v>
      </c>
    </row>
    <row r="30" spans="1:5" x14ac:dyDescent="0.15">
      <c r="A30" s="12" t="s">
        <v>578</v>
      </c>
    </row>
    <row r="31" spans="1:5" x14ac:dyDescent="0.15">
      <c r="A31" s="12" t="s">
        <v>579</v>
      </c>
    </row>
    <row r="32" spans="1:5" x14ac:dyDescent="0.15">
      <c r="A32" s="12" t="s">
        <v>580</v>
      </c>
    </row>
    <row r="33" spans="1:1" x14ac:dyDescent="0.15">
      <c r="A33" s="12" t="s">
        <v>581</v>
      </c>
    </row>
    <row r="34" spans="1:1" x14ac:dyDescent="0.15">
      <c r="A34" s="12"/>
    </row>
    <row r="35" spans="1:1" x14ac:dyDescent="0.15">
      <c r="A35" s="12"/>
    </row>
    <row r="36" spans="1:1" x14ac:dyDescent="0.15">
      <c r="A36" s="12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</sheetData>
  <mergeCells count="3">
    <mergeCell ref="A15:D15"/>
    <mergeCell ref="A19:E19"/>
    <mergeCell ref="A1:H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E4" sqref="E4"/>
    </sheetView>
  </sheetViews>
  <sheetFormatPr baseColWidth="10" defaultRowHeight="13" x14ac:dyDescent="0.15"/>
  <sheetData>
    <row r="2" spans="2:7" ht="15" customHeight="1" x14ac:dyDescent="0.15"/>
    <row r="3" spans="2:7" ht="32" customHeight="1" x14ac:dyDescent="0.15">
      <c r="B3" s="71" t="s">
        <v>303</v>
      </c>
      <c r="C3" s="71" t="s">
        <v>322</v>
      </c>
      <c r="D3" s="71" t="s">
        <v>304</v>
      </c>
      <c r="G3" s="71" t="s">
        <v>304</v>
      </c>
    </row>
    <row r="4" spans="2:7" x14ac:dyDescent="0.15">
      <c r="B4" s="14" t="s">
        <v>307</v>
      </c>
      <c r="C4" s="14" t="s">
        <v>324</v>
      </c>
      <c r="D4" s="14" t="s">
        <v>331</v>
      </c>
      <c r="G4" s="14" t="s">
        <v>331</v>
      </c>
    </row>
    <row r="5" spans="2:7" x14ac:dyDescent="0.15">
      <c r="B5" s="14" t="s">
        <v>309</v>
      </c>
      <c r="C5" s="14" t="s">
        <v>325</v>
      </c>
      <c r="D5" s="14" t="s">
        <v>331</v>
      </c>
    </row>
    <row r="6" spans="2:7" x14ac:dyDescent="0.15">
      <c r="B6" s="14" t="s">
        <v>311</v>
      </c>
      <c r="C6" s="14" t="s">
        <v>323</v>
      </c>
      <c r="D6" s="14" t="s">
        <v>331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125" workbookViewId="0">
      <selection activeCell="F6" sqref="F6"/>
    </sheetView>
  </sheetViews>
  <sheetFormatPr baseColWidth="10" defaultColWidth="8.83203125" defaultRowHeight="13" x14ac:dyDescent="0.15"/>
  <cols>
    <col min="2" max="2" width="9.5" bestFit="1" customWidth="1"/>
    <col min="4" max="4" width="9.5" bestFit="1" customWidth="1"/>
    <col min="5" max="5" width="11.5" bestFit="1" customWidth="1"/>
    <col min="6" max="7" width="9.6640625" customWidth="1"/>
    <col min="8" max="8" width="14.33203125" customWidth="1"/>
    <col min="9" max="9" width="13.5" customWidth="1"/>
  </cols>
  <sheetData>
    <row r="1" spans="1:18" ht="20" x14ac:dyDescent="0.15">
      <c r="A1" s="113" t="s">
        <v>366</v>
      </c>
      <c r="B1" s="113"/>
      <c r="C1" s="113"/>
      <c r="D1" s="113"/>
      <c r="E1" s="113"/>
      <c r="F1" s="113"/>
      <c r="G1" s="113"/>
      <c r="H1" s="113"/>
      <c r="I1" s="11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15">
      <c r="A2" s="97" t="s">
        <v>114</v>
      </c>
      <c r="B2" s="97" t="s">
        <v>335</v>
      </c>
      <c r="C2" s="97" t="s">
        <v>336</v>
      </c>
      <c r="D2" s="97"/>
      <c r="E2" s="97" t="s">
        <v>337</v>
      </c>
      <c r="F2" s="97" t="s">
        <v>30</v>
      </c>
      <c r="G2" s="96" t="s">
        <v>338</v>
      </c>
      <c r="H2" s="96" t="s">
        <v>7</v>
      </c>
      <c r="I2" s="114" t="s">
        <v>339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15">
      <c r="A3" s="97"/>
      <c r="B3" s="97"/>
      <c r="C3" s="7" t="s">
        <v>180</v>
      </c>
      <c r="D3" s="7" t="s">
        <v>181</v>
      </c>
      <c r="E3" s="97"/>
      <c r="F3" s="97"/>
      <c r="G3" s="96"/>
      <c r="H3" s="96"/>
      <c r="I3" s="115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15">
      <c r="A4" s="14">
        <v>1</v>
      </c>
      <c r="B4" s="14" t="s">
        <v>340</v>
      </c>
      <c r="C4" s="14" t="str">
        <f>LEFT(B4,1)</f>
        <v>D</v>
      </c>
      <c r="D4" s="14" t="str">
        <f>VLOOKUP(C4,$A$16:$B$18,2,1)</f>
        <v>Dầu</v>
      </c>
      <c r="E4" s="14" t="str">
        <f>IF(RIGHT(B4,2) = "TN","Nội Địa",HLOOKUP(RIGHT(B4,2),$F$15:$I$16,2,FALSE) )</f>
        <v>Nội Địa</v>
      </c>
      <c r="F4" s="73">
        <f>VLOOKUP(C4,$A$16:$C$18,3,FALSE)</f>
        <v>6000</v>
      </c>
      <c r="G4" s="14">
        <v>2000</v>
      </c>
      <c r="H4" s="73">
        <f>IF(E4 = "Nội Địa",G4*F4/100,IF(E4 = "Castril",G4*F4*2.5%,G4*F4*4%))</f>
        <v>120000</v>
      </c>
      <c r="I4" s="73">
        <f t="shared" ref="I4:I11" si="0">G4*F4+H4</f>
        <v>12120000</v>
      </c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15">
      <c r="A5" s="14">
        <v>2</v>
      </c>
      <c r="B5" s="14" t="s">
        <v>341</v>
      </c>
      <c r="C5" s="14" t="str">
        <f t="shared" ref="C5:C11" si="1">LEFT(B5,1)</f>
        <v>D</v>
      </c>
      <c r="D5" s="14" t="str">
        <f t="shared" ref="D5:D11" si="2">VLOOKUP(C5,$A$16:$B$18,2,1)</f>
        <v>Dầu</v>
      </c>
      <c r="E5" s="14" t="str">
        <f t="shared" ref="E5:E11" si="3">IF(RIGHT(B5,2) = "TN","Nội Địa",HLOOKUP(RIGHT(B5,2),$F$15:$I$16,2,FALSE) )</f>
        <v>Esso</v>
      </c>
      <c r="F5" s="73">
        <f t="shared" ref="F5:F11" si="4">VLOOKUP(C5,$A$16:$C$18,3,FALSE)</f>
        <v>6000</v>
      </c>
      <c r="G5" s="14">
        <v>3000</v>
      </c>
      <c r="H5" s="73">
        <f t="shared" ref="H5:H11" si="5">IF(E5 = "Nội Địa",G5*F5/100,IF(E5 = "Castril",G5*F5*2.5%,G5*F5*4%))</f>
        <v>720000</v>
      </c>
      <c r="I5" s="73">
        <f t="shared" si="0"/>
        <v>18720000</v>
      </c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15">
      <c r="A6" s="14">
        <v>3</v>
      </c>
      <c r="B6" s="14" t="s">
        <v>342</v>
      </c>
      <c r="C6" s="14" t="str">
        <f t="shared" si="1"/>
        <v>X</v>
      </c>
      <c r="D6" s="14" t="str">
        <f t="shared" si="2"/>
        <v>Nhớt</v>
      </c>
      <c r="E6" s="14" t="str">
        <f t="shared" si="3"/>
        <v>Shell</v>
      </c>
      <c r="F6" s="73">
        <f t="shared" si="4"/>
        <v>11000</v>
      </c>
      <c r="G6" s="14">
        <v>2500</v>
      </c>
      <c r="H6" s="73">
        <f t="shared" si="5"/>
        <v>1100000</v>
      </c>
      <c r="I6" s="73">
        <f t="shared" si="0"/>
        <v>28600000</v>
      </c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15">
      <c r="A7" s="14">
        <v>4</v>
      </c>
      <c r="B7" s="14" t="s">
        <v>343</v>
      </c>
      <c r="C7" s="14" t="str">
        <f t="shared" si="1"/>
        <v>N</v>
      </c>
      <c r="D7" s="14" t="str">
        <f t="shared" si="2"/>
        <v>Nhớt</v>
      </c>
      <c r="E7" s="14" t="str">
        <f t="shared" si="3"/>
        <v>Shell</v>
      </c>
      <c r="F7" s="73">
        <f t="shared" si="4"/>
        <v>5000</v>
      </c>
      <c r="G7" s="14">
        <v>1500</v>
      </c>
      <c r="H7" s="73">
        <f t="shared" si="5"/>
        <v>300000</v>
      </c>
      <c r="I7" s="73">
        <f t="shared" si="0"/>
        <v>7800000</v>
      </c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15">
      <c r="A8" s="14">
        <v>5</v>
      </c>
      <c r="B8" s="14" t="s">
        <v>340</v>
      </c>
      <c r="C8" s="14" t="str">
        <f t="shared" si="1"/>
        <v>D</v>
      </c>
      <c r="D8" s="14" t="str">
        <f t="shared" si="2"/>
        <v>Dầu</v>
      </c>
      <c r="E8" s="14" t="str">
        <f t="shared" si="3"/>
        <v>Nội Địa</v>
      </c>
      <c r="F8" s="73">
        <f t="shared" si="4"/>
        <v>6000</v>
      </c>
      <c r="G8" s="14">
        <v>2000</v>
      </c>
      <c r="H8" s="73">
        <f t="shared" si="5"/>
        <v>120000</v>
      </c>
      <c r="I8" s="73">
        <f t="shared" si="0"/>
        <v>12120000</v>
      </c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15">
      <c r="A9" s="14">
        <v>6</v>
      </c>
      <c r="B9" s="14" t="s">
        <v>344</v>
      </c>
      <c r="C9" s="14" t="str">
        <f t="shared" si="1"/>
        <v>N</v>
      </c>
      <c r="D9" s="14" t="str">
        <f t="shared" si="2"/>
        <v>Nhớt</v>
      </c>
      <c r="E9" s="14" t="str">
        <f t="shared" si="3"/>
        <v>Castrol</v>
      </c>
      <c r="F9" s="73">
        <f t="shared" si="4"/>
        <v>5000</v>
      </c>
      <c r="G9" s="14">
        <v>4000</v>
      </c>
      <c r="H9" s="73">
        <f t="shared" si="5"/>
        <v>800000</v>
      </c>
      <c r="I9" s="73">
        <f t="shared" si="0"/>
        <v>20800000</v>
      </c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15">
      <c r="A10" s="14">
        <v>7</v>
      </c>
      <c r="B10" s="14" t="s">
        <v>345</v>
      </c>
      <c r="C10" s="14" t="str">
        <f t="shared" si="1"/>
        <v>X</v>
      </c>
      <c r="D10" s="14" t="str">
        <f t="shared" si="2"/>
        <v>Nhớt</v>
      </c>
      <c r="E10" s="14" t="str">
        <f t="shared" si="3"/>
        <v>Esso</v>
      </c>
      <c r="F10" s="73">
        <f t="shared" si="4"/>
        <v>11000</v>
      </c>
      <c r="G10" s="14">
        <v>3200</v>
      </c>
      <c r="H10" s="73">
        <f t="shared" si="5"/>
        <v>1408000</v>
      </c>
      <c r="I10" s="73">
        <f t="shared" si="0"/>
        <v>36608000</v>
      </c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15">
      <c r="A11" s="14">
        <v>8</v>
      </c>
      <c r="B11" s="14" t="s">
        <v>346</v>
      </c>
      <c r="C11" s="14" t="str">
        <f t="shared" si="1"/>
        <v>N</v>
      </c>
      <c r="D11" s="14" t="str">
        <f t="shared" si="2"/>
        <v>Nhớt</v>
      </c>
      <c r="E11" s="14" t="str">
        <f t="shared" si="3"/>
        <v>Petro</v>
      </c>
      <c r="F11" s="73">
        <f t="shared" si="4"/>
        <v>5000</v>
      </c>
      <c r="G11" s="14">
        <v>3500</v>
      </c>
      <c r="H11" s="73">
        <f t="shared" si="5"/>
        <v>700000</v>
      </c>
      <c r="I11" s="73">
        <f t="shared" si="0"/>
        <v>18200000</v>
      </c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15"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15"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15">
      <c r="A14" s="100" t="s">
        <v>21</v>
      </c>
      <c r="B14" s="100"/>
      <c r="C14" s="100"/>
      <c r="E14" s="100" t="s">
        <v>25</v>
      </c>
      <c r="F14" s="100"/>
      <c r="G14" s="100"/>
      <c r="H14" s="100"/>
      <c r="I14" s="100"/>
      <c r="J14" s="34"/>
      <c r="K14" s="23"/>
      <c r="L14" s="23"/>
      <c r="M14" s="23"/>
      <c r="N14" s="23"/>
      <c r="O14" s="23"/>
      <c r="P14" s="23"/>
      <c r="Q14" s="23"/>
      <c r="R14" s="23"/>
    </row>
    <row r="15" spans="1:18" ht="26" x14ac:dyDescent="0.15">
      <c r="A15" s="7" t="s">
        <v>180</v>
      </c>
      <c r="B15" s="7" t="s">
        <v>181</v>
      </c>
      <c r="C15" s="8" t="s">
        <v>349</v>
      </c>
      <c r="E15" s="7" t="s">
        <v>350</v>
      </c>
      <c r="F15" s="33" t="s">
        <v>352</v>
      </c>
      <c r="G15" s="33" t="s">
        <v>353</v>
      </c>
      <c r="H15" s="33" t="s">
        <v>354</v>
      </c>
      <c r="I15" s="33" t="s">
        <v>355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15">
      <c r="A16" s="13" t="s">
        <v>347</v>
      </c>
      <c r="B16" s="13" t="s">
        <v>360</v>
      </c>
      <c r="C16" s="14">
        <v>11000</v>
      </c>
      <c r="E16" s="7" t="s">
        <v>351</v>
      </c>
      <c r="F16" s="33" t="s">
        <v>356</v>
      </c>
      <c r="G16" s="33" t="s">
        <v>357</v>
      </c>
      <c r="H16" s="33" t="s">
        <v>358</v>
      </c>
      <c r="I16" s="33" t="s">
        <v>359</v>
      </c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15">
      <c r="A17" s="24" t="s">
        <v>348</v>
      </c>
      <c r="B17" s="13" t="s">
        <v>361</v>
      </c>
      <c r="C17" s="14">
        <v>6000</v>
      </c>
      <c r="J17" s="23"/>
      <c r="K17" s="23"/>
      <c r="L17" s="23"/>
      <c r="M17" s="23"/>
      <c r="N17" s="23"/>
      <c r="O17" s="23"/>
      <c r="P17" s="23"/>
      <c r="Q17" s="23"/>
      <c r="R17" s="23"/>
    </row>
    <row r="18" spans="1:18" x14ac:dyDescent="0.15">
      <c r="A18" s="24" t="s">
        <v>294</v>
      </c>
      <c r="B18" s="24" t="s">
        <v>362</v>
      </c>
      <c r="C18" s="14">
        <v>5000</v>
      </c>
      <c r="J18" s="23"/>
      <c r="K18" s="23"/>
      <c r="L18" s="23"/>
      <c r="M18" s="23"/>
      <c r="N18" s="23"/>
      <c r="O18" s="23"/>
      <c r="P18" s="23"/>
      <c r="Q18" s="23"/>
      <c r="R18" s="23"/>
    </row>
    <row r="19" spans="1:18" x14ac:dyDescent="0.15"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15"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6" x14ac:dyDescent="0.2">
      <c r="A21" s="18" t="s">
        <v>75</v>
      </c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15">
      <c r="A22" s="12" t="s">
        <v>582</v>
      </c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15">
      <c r="A23" s="12" t="s">
        <v>583</v>
      </c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15">
      <c r="A24" s="12" t="s">
        <v>584</v>
      </c>
      <c r="J24" s="23"/>
      <c r="K24" s="23"/>
      <c r="L24" s="23"/>
      <c r="M24" s="23"/>
      <c r="N24" s="23"/>
      <c r="O24" s="23"/>
      <c r="P24" s="23"/>
      <c r="Q24" s="23"/>
      <c r="R24" s="23"/>
    </row>
    <row r="25" spans="1:18" x14ac:dyDescent="0.15">
      <c r="A25" s="25" t="s">
        <v>585</v>
      </c>
      <c r="J25" s="23"/>
      <c r="K25" s="23"/>
      <c r="L25" s="23"/>
      <c r="M25" s="23"/>
      <c r="N25" s="23"/>
      <c r="O25" s="23"/>
      <c r="P25" s="23"/>
      <c r="Q25" s="23"/>
      <c r="R25" s="23"/>
    </row>
    <row r="26" spans="1:18" x14ac:dyDescent="0.15">
      <c r="A26" s="12" t="s">
        <v>586</v>
      </c>
      <c r="J26" s="23"/>
      <c r="K26" s="23"/>
      <c r="L26" s="23"/>
      <c r="M26" s="23"/>
      <c r="N26" s="23"/>
      <c r="O26" s="23"/>
      <c r="P26" s="23"/>
      <c r="Q26" s="23"/>
      <c r="R26" s="23"/>
    </row>
    <row r="27" spans="1:18" x14ac:dyDescent="0.15">
      <c r="A27" s="12" t="s">
        <v>587</v>
      </c>
      <c r="J27" s="23"/>
      <c r="K27" s="23"/>
      <c r="L27" s="23"/>
      <c r="M27" s="23"/>
      <c r="N27" s="23"/>
      <c r="O27" s="23"/>
      <c r="P27" s="23"/>
      <c r="Q27" s="23"/>
      <c r="R27" s="23"/>
    </row>
    <row r="28" spans="1:18" x14ac:dyDescent="0.15">
      <c r="A28" s="25" t="s">
        <v>363</v>
      </c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15">
      <c r="A29" s="25" t="s">
        <v>364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15">
      <c r="A30" s="25" t="s">
        <v>365</v>
      </c>
      <c r="J30" s="23"/>
      <c r="K30" s="23"/>
      <c r="L30" s="23"/>
      <c r="M30" s="23"/>
      <c r="N30" s="23"/>
      <c r="O30" s="23"/>
      <c r="P30" s="23"/>
      <c r="Q30" s="23"/>
      <c r="R30" s="23"/>
    </row>
    <row r="31" spans="1:18" x14ac:dyDescent="0.15">
      <c r="A31" s="12" t="s">
        <v>588</v>
      </c>
      <c r="J31" s="23"/>
      <c r="K31" s="23"/>
      <c r="L31" s="23"/>
      <c r="M31" s="23"/>
      <c r="N31" s="23"/>
      <c r="O31" s="23"/>
      <c r="P31" s="23"/>
      <c r="Q31" s="23"/>
      <c r="R31" s="23"/>
    </row>
    <row r="32" spans="1:18" x14ac:dyDescent="0.15">
      <c r="A32" s="12" t="s">
        <v>589</v>
      </c>
      <c r="J32" s="23"/>
      <c r="K32" s="23"/>
      <c r="L32" s="23"/>
      <c r="M32" s="23"/>
      <c r="N32" s="23"/>
      <c r="O32" s="23"/>
      <c r="P32" s="23"/>
      <c r="Q32" s="23"/>
      <c r="R32" s="23"/>
    </row>
    <row r="33" spans="1:18" x14ac:dyDescent="0.15">
      <c r="J33" s="23"/>
      <c r="K33" s="23"/>
      <c r="L33" s="23"/>
      <c r="M33" s="23"/>
      <c r="N33" s="23"/>
      <c r="O33" s="23"/>
      <c r="P33" s="23"/>
      <c r="Q33" s="23"/>
      <c r="R33" s="23"/>
    </row>
    <row r="34" spans="1:18" x14ac:dyDescent="0.15"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6" x14ac:dyDescent="0.2">
      <c r="A35" s="18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15">
      <c r="A36" s="12"/>
      <c r="J36" s="23"/>
      <c r="K36" s="23"/>
      <c r="L36" s="23"/>
      <c r="M36" s="23"/>
      <c r="N36" s="23"/>
      <c r="O36" s="23"/>
      <c r="P36" s="23"/>
      <c r="Q36" s="23"/>
      <c r="R36" s="23"/>
    </row>
    <row r="37" spans="1:18" x14ac:dyDescent="0.15">
      <c r="A37" s="12"/>
      <c r="J37" s="23"/>
      <c r="K37" s="23"/>
      <c r="L37" s="23"/>
      <c r="M37" s="23"/>
      <c r="N37" s="23"/>
      <c r="O37" s="23"/>
      <c r="P37" s="23"/>
      <c r="Q37" s="23"/>
      <c r="R37" s="23"/>
    </row>
    <row r="38" spans="1:18" x14ac:dyDescent="0.15">
      <c r="A38" s="12"/>
      <c r="J38" s="23"/>
      <c r="K38" s="23"/>
      <c r="L38" s="23"/>
      <c r="M38" s="23"/>
      <c r="N38" s="23"/>
      <c r="O38" s="23"/>
      <c r="P38" s="23"/>
      <c r="Q38" s="23"/>
      <c r="R38" s="23"/>
    </row>
    <row r="39" spans="1:18" x14ac:dyDescent="0.15">
      <c r="A39" s="12"/>
      <c r="J39" s="23"/>
      <c r="K39" s="23"/>
      <c r="L39" s="23"/>
      <c r="M39" s="23"/>
      <c r="N39" s="23"/>
      <c r="O39" s="23"/>
      <c r="P39" s="23"/>
      <c r="Q39" s="23"/>
      <c r="R39" s="23"/>
    </row>
    <row r="40" spans="1:18" x14ac:dyDescent="0.15">
      <c r="A40" s="12"/>
      <c r="J40" s="23"/>
      <c r="K40" s="23"/>
      <c r="L40" s="23"/>
      <c r="M40" s="23"/>
      <c r="N40" s="23"/>
      <c r="O40" s="23"/>
      <c r="P40" s="23"/>
      <c r="Q40" s="23"/>
      <c r="R40" s="23"/>
    </row>
    <row r="41" spans="1:18" x14ac:dyDescent="0.15">
      <c r="A41" s="12"/>
      <c r="J41" s="23"/>
      <c r="K41" s="23"/>
      <c r="L41" s="23"/>
      <c r="M41" s="23"/>
      <c r="N41" s="23"/>
      <c r="O41" s="23"/>
      <c r="P41" s="23"/>
      <c r="Q41" s="23"/>
      <c r="R41" s="23"/>
    </row>
    <row r="42" spans="1:18" x14ac:dyDescent="0.15">
      <c r="J42" s="23"/>
      <c r="K42" s="23"/>
      <c r="L42" s="23"/>
      <c r="M42" s="23"/>
      <c r="N42" s="23"/>
      <c r="O42" s="23"/>
      <c r="P42" s="23"/>
      <c r="Q42" s="23"/>
      <c r="R42" s="23"/>
    </row>
    <row r="43" spans="1:18" x14ac:dyDescent="0.15"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15">
      <c r="J44" s="23"/>
      <c r="K44" s="23"/>
      <c r="L44" s="23"/>
      <c r="M44" s="23"/>
      <c r="N44" s="23"/>
      <c r="O44" s="23"/>
      <c r="P44" s="23"/>
      <c r="Q44" s="23"/>
      <c r="R44" s="23"/>
    </row>
    <row r="45" spans="1:18" x14ac:dyDescent="0.15">
      <c r="J45" s="23"/>
      <c r="K45" s="23"/>
      <c r="L45" s="23"/>
      <c r="M45" s="23"/>
      <c r="N45" s="23"/>
      <c r="O45" s="23"/>
      <c r="P45" s="23"/>
      <c r="Q45" s="23"/>
      <c r="R45" s="23"/>
    </row>
    <row r="46" spans="1:18" x14ac:dyDescent="0.15">
      <c r="J46" s="23"/>
      <c r="K46" s="23"/>
      <c r="L46" s="23"/>
      <c r="M46" s="23"/>
      <c r="N46" s="23"/>
      <c r="O46" s="23"/>
      <c r="P46" s="23"/>
      <c r="Q46" s="23"/>
      <c r="R46" s="23"/>
    </row>
    <row r="47" spans="1:18" x14ac:dyDescent="0.15">
      <c r="J47" s="23"/>
      <c r="K47" s="23"/>
      <c r="L47" s="23"/>
      <c r="M47" s="23"/>
      <c r="N47" s="23"/>
      <c r="O47" s="23"/>
      <c r="P47" s="23"/>
      <c r="Q47" s="23"/>
      <c r="R47" s="23"/>
    </row>
    <row r="48" spans="1:18" x14ac:dyDescent="0.15"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15"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15">
      <c r="J50" s="23"/>
      <c r="K50" s="23"/>
      <c r="L50" s="23"/>
      <c r="M50" s="23"/>
      <c r="N50" s="23"/>
      <c r="O50" s="23"/>
      <c r="P50" s="23"/>
      <c r="Q50" s="23"/>
      <c r="R50" s="23"/>
    </row>
    <row r="51" spans="1:18" x14ac:dyDescent="0.15">
      <c r="J51" s="23"/>
      <c r="K51" s="23"/>
      <c r="L51" s="23"/>
      <c r="M51" s="23"/>
      <c r="N51" s="23"/>
      <c r="O51" s="23"/>
      <c r="P51" s="23"/>
      <c r="Q51" s="23"/>
      <c r="R51" s="23"/>
    </row>
    <row r="52" spans="1:18" x14ac:dyDescent="0.15">
      <c r="J52" s="23"/>
      <c r="K52" s="23"/>
      <c r="L52" s="23"/>
      <c r="M52" s="23"/>
      <c r="N52" s="23"/>
      <c r="O52" s="23"/>
      <c r="P52" s="23"/>
      <c r="Q52" s="23"/>
      <c r="R52" s="23"/>
    </row>
    <row r="53" spans="1:18" x14ac:dyDescent="0.15">
      <c r="J53" s="23"/>
      <c r="K53" s="23"/>
      <c r="L53" s="23"/>
      <c r="M53" s="23"/>
      <c r="N53" s="23"/>
      <c r="O53" s="23"/>
      <c r="P53" s="23"/>
      <c r="Q53" s="23"/>
      <c r="R53" s="23"/>
    </row>
    <row r="54" spans="1:18" x14ac:dyDescent="0.15">
      <c r="J54" s="23"/>
      <c r="K54" s="23"/>
      <c r="L54" s="23"/>
      <c r="M54" s="23"/>
      <c r="N54" s="23"/>
      <c r="O54" s="23"/>
      <c r="P54" s="23"/>
      <c r="Q54" s="23"/>
      <c r="R54" s="23"/>
    </row>
    <row r="55" spans="1:18" x14ac:dyDescent="0.15">
      <c r="J55" s="23"/>
      <c r="K55" s="23"/>
      <c r="L55" s="23"/>
      <c r="M55" s="23"/>
      <c r="N55" s="23"/>
      <c r="O55" s="23"/>
      <c r="P55" s="23"/>
      <c r="Q55" s="23"/>
      <c r="R55" s="23"/>
    </row>
    <row r="56" spans="1:18" x14ac:dyDescent="0.15">
      <c r="J56" s="23"/>
      <c r="K56" s="23"/>
      <c r="L56" s="23"/>
      <c r="M56" s="23"/>
      <c r="N56" s="23"/>
      <c r="O56" s="23"/>
      <c r="P56" s="23"/>
      <c r="Q56" s="23"/>
      <c r="R56" s="23"/>
    </row>
    <row r="57" spans="1:18" x14ac:dyDescent="0.15">
      <c r="J57" s="23"/>
      <c r="K57" s="23"/>
      <c r="L57" s="23"/>
      <c r="M57" s="23"/>
      <c r="N57" s="23"/>
      <c r="O57" s="23"/>
      <c r="P57" s="23"/>
      <c r="Q57" s="23"/>
      <c r="R57" s="23"/>
    </row>
    <row r="58" spans="1:18" x14ac:dyDescent="0.15">
      <c r="J58" s="23"/>
      <c r="K58" s="23"/>
      <c r="L58" s="23"/>
      <c r="M58" s="23"/>
      <c r="N58" s="23"/>
      <c r="O58" s="23"/>
      <c r="P58" s="23"/>
      <c r="Q58" s="23"/>
      <c r="R58" s="23"/>
    </row>
    <row r="59" spans="1:18" x14ac:dyDescent="0.15">
      <c r="J59" s="23"/>
      <c r="K59" s="23"/>
      <c r="L59" s="23"/>
      <c r="M59" s="23"/>
      <c r="N59" s="23"/>
      <c r="O59" s="23"/>
      <c r="P59" s="23"/>
      <c r="Q59" s="23"/>
      <c r="R59" s="23"/>
    </row>
    <row r="60" spans="1:18" x14ac:dyDescent="0.15">
      <c r="J60" s="23"/>
      <c r="K60" s="23"/>
      <c r="L60" s="23"/>
      <c r="M60" s="23"/>
      <c r="N60" s="23"/>
      <c r="O60" s="23"/>
      <c r="P60" s="23"/>
      <c r="Q60" s="23"/>
      <c r="R60" s="23"/>
    </row>
    <row r="61" spans="1:18" x14ac:dyDescent="0.15">
      <c r="A61" s="23"/>
      <c r="B61" s="23"/>
      <c r="C61" s="23"/>
      <c r="D61" s="23"/>
      <c r="E61" s="23"/>
      <c r="F61" s="23"/>
      <c r="G61" s="23"/>
      <c r="H61" s="23"/>
      <c r="I61" s="23"/>
    </row>
    <row r="62" spans="1:18" x14ac:dyDescent="0.15">
      <c r="A62" s="23"/>
      <c r="B62" s="23"/>
      <c r="C62" s="23"/>
      <c r="D62" s="23"/>
      <c r="E62" s="23"/>
      <c r="F62" s="23"/>
      <c r="G62" s="23"/>
      <c r="H62" s="23"/>
      <c r="I62" s="23"/>
    </row>
    <row r="63" spans="1:18" x14ac:dyDescent="0.15">
      <c r="A63" s="23"/>
      <c r="B63" s="23"/>
      <c r="C63" s="23"/>
      <c r="D63" s="23"/>
      <c r="E63" s="23"/>
      <c r="F63" s="23"/>
      <c r="G63" s="23"/>
      <c r="H63" s="23"/>
      <c r="I63" s="23"/>
    </row>
    <row r="64" spans="1:18" x14ac:dyDescent="0.1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1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1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1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1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1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1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1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1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1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1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1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1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1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1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1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1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1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1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1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1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1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1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1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1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1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1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1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1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1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1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1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1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1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1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1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1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1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1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1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1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1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1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1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1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1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1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1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1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1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1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1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1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1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1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1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1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1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15">
      <c r="A122" s="23"/>
      <c r="B122" s="23"/>
      <c r="C122" s="23"/>
      <c r="D122" s="23"/>
      <c r="E122" s="23"/>
      <c r="F122" s="23"/>
      <c r="G122" s="23"/>
      <c r="H122" s="23"/>
      <c r="I122" s="23"/>
    </row>
  </sheetData>
  <mergeCells count="11">
    <mergeCell ref="A14:C14"/>
    <mergeCell ref="E14:I14"/>
    <mergeCell ref="A1:I1"/>
    <mergeCell ref="C2:D2"/>
    <mergeCell ref="A2:A3"/>
    <mergeCell ref="B2:B3"/>
    <mergeCell ref="E2:E3"/>
    <mergeCell ref="F2:F3"/>
    <mergeCell ref="G2:G3"/>
    <mergeCell ref="H2:H3"/>
    <mergeCell ref="I2:I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0" sqref="D10"/>
    </sheetView>
  </sheetViews>
  <sheetFormatPr baseColWidth="10" defaultColWidth="8.83203125" defaultRowHeight="13" x14ac:dyDescent="0.15"/>
  <cols>
    <col min="4" max="4" width="10.5" customWidth="1"/>
    <col min="6" max="6" width="8.83203125" customWidth="1"/>
    <col min="8" max="9" width="8.83203125" customWidth="1"/>
  </cols>
  <sheetData>
    <row r="1" spans="1:9" ht="21" customHeight="1" x14ac:dyDescent="0.15">
      <c r="A1" s="113" t="s">
        <v>395</v>
      </c>
      <c r="B1" s="113"/>
      <c r="C1" s="113"/>
      <c r="D1" s="113"/>
      <c r="E1" s="113"/>
      <c r="F1" s="113"/>
      <c r="G1" s="113"/>
      <c r="H1" s="113"/>
      <c r="I1" s="113"/>
    </row>
    <row r="2" spans="1:9" ht="86" customHeight="1" x14ac:dyDescent="0.15">
      <c r="A2" s="7" t="s">
        <v>368</v>
      </c>
      <c r="B2" s="7" t="s">
        <v>367</v>
      </c>
      <c r="C2" s="8" t="s">
        <v>369</v>
      </c>
      <c r="D2" s="7" t="s">
        <v>30</v>
      </c>
      <c r="E2" s="8" t="s">
        <v>370</v>
      </c>
      <c r="F2" s="66" t="s">
        <v>632</v>
      </c>
      <c r="G2" s="8" t="s">
        <v>110</v>
      </c>
      <c r="H2" s="8" t="s">
        <v>7</v>
      </c>
      <c r="I2" s="8" t="s">
        <v>277</v>
      </c>
    </row>
    <row r="3" spans="1:9" x14ac:dyDescent="0.15">
      <c r="A3" s="13" t="s">
        <v>371</v>
      </c>
      <c r="B3" s="14" t="str">
        <f>LEFT(A3,2)</f>
        <v>P1</v>
      </c>
      <c r="C3" s="14" t="str">
        <f>RIGHT(A3,3)</f>
        <v>JAP</v>
      </c>
      <c r="D3" s="73">
        <f>VLOOKUP(B3,$A$18:$D$20,HLOOKUP(C3,$B$16:$D$17,2,FALSE),FALSE)</f>
        <v>450</v>
      </c>
      <c r="E3" s="14" t="s">
        <v>378</v>
      </c>
      <c r="F3" s="73">
        <f>VLOOKUP(E3,$G$18:$I$20,2,FALSE) *D3</f>
        <v>36</v>
      </c>
      <c r="G3" s="14">
        <v>40</v>
      </c>
      <c r="H3" s="73">
        <f>IF(AND(C3 = "USA",G3&gt;20),3%*D3,IF(AND(C3 = "USA",G3&lt;=20),5%*D3,7%*D3))</f>
        <v>31.500000000000004</v>
      </c>
      <c r="I3" s="73">
        <f>(D3+F3+H3)*G3</f>
        <v>20700</v>
      </c>
    </row>
    <row r="4" spans="1:9" x14ac:dyDescent="0.15">
      <c r="A4" s="13" t="s">
        <v>372</v>
      </c>
      <c r="B4" s="14" t="str">
        <f t="shared" ref="B4:B12" si="0">LEFT(A4,2)</f>
        <v>P1</v>
      </c>
      <c r="C4" s="14" t="str">
        <f t="shared" ref="C4:C12" si="1">RIGHT(A4,3)</f>
        <v>KOR</v>
      </c>
      <c r="D4" s="73">
        <f t="shared" ref="D4:D12" si="2">VLOOKUP(B4,$A$18:$D$20,HLOOKUP(C4,$B$16:$D$17,2,FALSE),FALSE)</f>
        <v>300</v>
      </c>
      <c r="E4" s="14" t="s">
        <v>379</v>
      </c>
      <c r="F4" s="73">
        <f t="shared" ref="F4:F12" si="3">VLOOKUP(E4,$G$18:$I$20,2,FALSE) *D4</f>
        <v>15</v>
      </c>
      <c r="G4" s="14">
        <v>50</v>
      </c>
      <c r="H4" s="73">
        <f t="shared" ref="H4:H12" si="4">IF(AND(C4 = "USA",G4&gt;20),3%*D4,IF(AND(C4 = "USA",G4&lt;=20),5%*D4,7%*D4))</f>
        <v>21.000000000000004</v>
      </c>
      <c r="I4" s="73">
        <f t="shared" ref="I4:I12" si="5">(D4+F4+H4)*G4</f>
        <v>16800</v>
      </c>
    </row>
    <row r="5" spans="1:9" x14ac:dyDescent="0.15">
      <c r="A5" s="13" t="s">
        <v>373</v>
      </c>
      <c r="B5" s="14" t="str">
        <f t="shared" si="0"/>
        <v>P2</v>
      </c>
      <c r="C5" s="14" t="str">
        <f t="shared" si="1"/>
        <v>USA</v>
      </c>
      <c r="D5" s="73">
        <f t="shared" si="2"/>
        <v>600</v>
      </c>
      <c r="E5" s="14" t="s">
        <v>380</v>
      </c>
      <c r="F5" s="73">
        <f t="shared" si="3"/>
        <v>12</v>
      </c>
      <c r="G5" s="14">
        <v>20</v>
      </c>
      <c r="H5" s="73">
        <f t="shared" si="4"/>
        <v>30</v>
      </c>
      <c r="I5" s="73">
        <f t="shared" si="5"/>
        <v>12840</v>
      </c>
    </row>
    <row r="6" spans="1:9" x14ac:dyDescent="0.15">
      <c r="A6" s="13" t="s">
        <v>374</v>
      </c>
      <c r="B6" s="14" t="str">
        <f t="shared" si="0"/>
        <v>P2</v>
      </c>
      <c r="C6" s="14" t="str">
        <f t="shared" si="1"/>
        <v>JAP</v>
      </c>
      <c r="D6" s="73">
        <f t="shared" si="2"/>
        <v>560</v>
      </c>
      <c r="E6" s="14" t="s">
        <v>380</v>
      </c>
      <c r="F6" s="73">
        <f t="shared" si="3"/>
        <v>11.200000000000001</v>
      </c>
      <c r="G6" s="14">
        <v>10</v>
      </c>
      <c r="H6" s="73">
        <f t="shared" si="4"/>
        <v>39.200000000000003</v>
      </c>
      <c r="I6" s="73">
        <f t="shared" si="5"/>
        <v>6104.0000000000009</v>
      </c>
    </row>
    <row r="7" spans="1:9" x14ac:dyDescent="0.15">
      <c r="A7" s="13" t="s">
        <v>375</v>
      </c>
      <c r="B7" s="14" t="str">
        <f t="shared" si="0"/>
        <v>P2</v>
      </c>
      <c r="C7" s="14" t="str">
        <f t="shared" si="1"/>
        <v>KOR</v>
      </c>
      <c r="D7" s="73">
        <f>VLOOKUP(B7,$A$18:$D$20,HLOOKUP(C7,$B$16:$D$17,2,FALSE),FALSE)</f>
        <v>350</v>
      </c>
      <c r="E7" s="14" t="s">
        <v>380</v>
      </c>
      <c r="F7" s="73">
        <f t="shared" si="3"/>
        <v>7</v>
      </c>
      <c r="G7" s="14">
        <v>15</v>
      </c>
      <c r="H7" s="73">
        <f t="shared" si="4"/>
        <v>24.500000000000004</v>
      </c>
      <c r="I7" s="73">
        <f t="shared" si="5"/>
        <v>5722.5</v>
      </c>
    </row>
    <row r="8" spans="1:9" x14ac:dyDescent="0.15">
      <c r="A8" s="13" t="s">
        <v>376</v>
      </c>
      <c r="B8" s="14" t="str">
        <f t="shared" si="0"/>
        <v>P3</v>
      </c>
      <c r="C8" s="14" t="str">
        <f t="shared" si="1"/>
        <v>USA</v>
      </c>
      <c r="D8" s="73">
        <f t="shared" si="2"/>
        <v>800</v>
      </c>
      <c r="E8" s="14" t="s">
        <v>380</v>
      </c>
      <c r="F8" s="73">
        <f t="shared" si="3"/>
        <v>16</v>
      </c>
      <c r="G8" s="14">
        <v>30</v>
      </c>
      <c r="H8" s="73">
        <f t="shared" si="4"/>
        <v>24</v>
      </c>
      <c r="I8" s="73">
        <f t="shared" si="5"/>
        <v>25200</v>
      </c>
    </row>
    <row r="9" spans="1:9" x14ac:dyDescent="0.15">
      <c r="A9" s="13" t="s">
        <v>377</v>
      </c>
      <c r="B9" s="14" t="str">
        <f t="shared" si="0"/>
        <v>P3</v>
      </c>
      <c r="C9" s="14" t="str">
        <f t="shared" si="1"/>
        <v>JAP</v>
      </c>
      <c r="D9" s="73">
        <f>VLOOKUP(B9,$A$18:$D$20,HLOOKUP(C9,$B$16:$D$17,2,FALSE),FALSE)</f>
        <v>700</v>
      </c>
      <c r="E9" s="14" t="s">
        <v>378</v>
      </c>
      <c r="F9" s="73">
        <f t="shared" si="3"/>
        <v>56</v>
      </c>
      <c r="G9" s="14">
        <v>20</v>
      </c>
      <c r="H9" s="73">
        <f t="shared" si="4"/>
        <v>49.000000000000007</v>
      </c>
      <c r="I9" s="73">
        <f t="shared" si="5"/>
        <v>16100</v>
      </c>
    </row>
    <row r="10" spans="1:9" x14ac:dyDescent="0.15">
      <c r="A10" s="13" t="s">
        <v>373</v>
      </c>
      <c r="B10" s="14" t="str">
        <f t="shared" si="0"/>
        <v>P2</v>
      </c>
      <c r="C10" s="14" t="str">
        <f t="shared" si="1"/>
        <v>USA</v>
      </c>
      <c r="D10" s="73">
        <f t="shared" si="2"/>
        <v>600</v>
      </c>
      <c r="E10" s="14" t="s">
        <v>379</v>
      </c>
      <c r="F10" s="73">
        <f t="shared" si="3"/>
        <v>30</v>
      </c>
      <c r="G10" s="14">
        <v>24</v>
      </c>
      <c r="H10" s="73">
        <f t="shared" si="4"/>
        <v>18</v>
      </c>
      <c r="I10" s="73">
        <f t="shared" si="5"/>
        <v>15552</v>
      </c>
    </row>
    <row r="11" spans="1:9" x14ac:dyDescent="0.15">
      <c r="A11" s="13" t="s">
        <v>376</v>
      </c>
      <c r="B11" s="14" t="str">
        <f t="shared" si="0"/>
        <v>P3</v>
      </c>
      <c r="C11" s="14" t="str">
        <f t="shared" si="1"/>
        <v>USA</v>
      </c>
      <c r="D11" s="73">
        <f t="shared" si="2"/>
        <v>800</v>
      </c>
      <c r="E11" s="14" t="s">
        <v>378</v>
      </c>
      <c r="F11" s="73">
        <f t="shared" si="3"/>
        <v>64</v>
      </c>
      <c r="G11" s="14">
        <v>16</v>
      </c>
      <c r="H11" s="73">
        <f t="shared" si="4"/>
        <v>40</v>
      </c>
      <c r="I11" s="73">
        <f t="shared" si="5"/>
        <v>14464</v>
      </c>
    </row>
    <row r="12" spans="1:9" x14ac:dyDescent="0.15">
      <c r="A12" s="13" t="s">
        <v>377</v>
      </c>
      <c r="B12" s="14" t="str">
        <f t="shared" si="0"/>
        <v>P3</v>
      </c>
      <c r="C12" s="14" t="str">
        <f t="shared" si="1"/>
        <v>JAP</v>
      </c>
      <c r="D12" s="73">
        <f t="shared" si="2"/>
        <v>700</v>
      </c>
      <c r="E12" s="14" t="s">
        <v>379</v>
      </c>
      <c r="F12" s="73">
        <f t="shared" si="3"/>
        <v>35</v>
      </c>
      <c r="G12" s="14">
        <v>5</v>
      </c>
      <c r="H12" s="73">
        <f t="shared" si="4"/>
        <v>49.000000000000007</v>
      </c>
      <c r="I12" s="73">
        <f t="shared" si="5"/>
        <v>3920</v>
      </c>
    </row>
    <row r="15" spans="1:9" x14ac:dyDescent="0.15">
      <c r="A15" s="100" t="s">
        <v>273</v>
      </c>
      <c r="B15" s="100"/>
      <c r="C15" s="100"/>
      <c r="D15" s="100"/>
      <c r="G15" s="94" t="s">
        <v>389</v>
      </c>
      <c r="H15" s="94"/>
      <c r="I15" s="94"/>
    </row>
    <row r="16" spans="1:9" x14ac:dyDescent="0.15">
      <c r="A16" s="10" t="s">
        <v>367</v>
      </c>
      <c r="B16" s="10" t="s">
        <v>381</v>
      </c>
      <c r="C16" s="10" t="s">
        <v>382</v>
      </c>
      <c r="D16" s="10" t="s">
        <v>383</v>
      </c>
      <c r="G16" s="10" t="s">
        <v>387</v>
      </c>
      <c r="H16" s="104" t="s">
        <v>388</v>
      </c>
      <c r="I16" s="104"/>
    </row>
    <row r="17" spans="1:9" x14ac:dyDescent="0.15">
      <c r="A17" s="68"/>
      <c r="B17" s="68">
        <v>2</v>
      </c>
      <c r="C17" s="68">
        <v>3</v>
      </c>
      <c r="D17" s="68">
        <v>4</v>
      </c>
      <c r="G17" s="68"/>
      <c r="H17" s="68"/>
      <c r="I17" s="68"/>
    </row>
    <row r="18" spans="1:9" x14ac:dyDescent="0.15">
      <c r="A18" s="15" t="s">
        <v>384</v>
      </c>
      <c r="B18" s="14">
        <v>500</v>
      </c>
      <c r="C18" s="14">
        <v>450</v>
      </c>
      <c r="D18" s="14">
        <v>300</v>
      </c>
      <c r="G18" s="13" t="s">
        <v>380</v>
      </c>
      <c r="H18" s="117">
        <v>0.02</v>
      </c>
      <c r="I18" s="118"/>
    </row>
    <row r="19" spans="1:9" x14ac:dyDescent="0.15">
      <c r="A19" s="15" t="s">
        <v>385</v>
      </c>
      <c r="B19" s="14">
        <v>600</v>
      </c>
      <c r="C19" s="14">
        <v>560</v>
      </c>
      <c r="D19" s="14">
        <v>350</v>
      </c>
      <c r="G19" s="13" t="s">
        <v>379</v>
      </c>
      <c r="H19" s="117">
        <v>0.05</v>
      </c>
      <c r="I19" s="118"/>
    </row>
    <row r="20" spans="1:9" x14ac:dyDescent="0.15">
      <c r="A20" s="15" t="s">
        <v>386</v>
      </c>
      <c r="B20" s="14">
        <v>800</v>
      </c>
      <c r="C20" s="14">
        <v>700</v>
      </c>
      <c r="D20" s="14">
        <v>400</v>
      </c>
      <c r="G20" s="13" t="s">
        <v>378</v>
      </c>
      <c r="H20" s="117">
        <v>0.08</v>
      </c>
      <c r="I20" s="118"/>
    </row>
    <row r="22" spans="1:9" x14ac:dyDescent="0.15">
      <c r="A22" s="116" t="s">
        <v>212</v>
      </c>
      <c r="B22" s="116"/>
      <c r="C22" s="116"/>
      <c r="D22" s="116"/>
    </row>
    <row r="23" spans="1:9" x14ac:dyDescent="0.15">
      <c r="A23" s="15" t="s">
        <v>367</v>
      </c>
      <c r="B23" s="13" t="s">
        <v>384</v>
      </c>
      <c r="C23" s="13" t="s">
        <v>385</v>
      </c>
      <c r="D23" s="13" t="s">
        <v>386</v>
      </c>
    </row>
    <row r="24" spans="1:9" x14ac:dyDescent="0.15">
      <c r="A24" s="15" t="s">
        <v>390</v>
      </c>
      <c r="B24" s="73">
        <f>IF(COUNTIF($B$3:$B$12,"P1"),SUMIF($B$3:$B$12,B23:D23,$I$3:$I$12))</f>
        <v>37500</v>
      </c>
      <c r="C24" s="73">
        <f t="shared" ref="C24:D24" si="6">IF(COUNTIF($B$3:$B$12,"P1"),SUMIF($B$3:$B$12,C23:E23,$I$3:$I$12))</f>
        <v>40218.5</v>
      </c>
      <c r="D24" s="73">
        <f t="shared" si="6"/>
        <v>59684</v>
      </c>
    </row>
    <row r="27" spans="1:9" ht="16" x14ac:dyDescent="0.2">
      <c r="A27" s="18" t="s">
        <v>75</v>
      </c>
    </row>
    <row r="28" spans="1:9" x14ac:dyDescent="0.15">
      <c r="A28" s="12" t="s">
        <v>391</v>
      </c>
    </row>
    <row r="29" spans="1:9" x14ac:dyDescent="0.15">
      <c r="A29" s="12" t="s">
        <v>590</v>
      </c>
    </row>
    <row r="30" spans="1:9" x14ac:dyDescent="0.15">
      <c r="A30" s="12" t="s">
        <v>591</v>
      </c>
    </row>
    <row r="31" spans="1:9" x14ac:dyDescent="0.15">
      <c r="A31" s="12" t="s">
        <v>592</v>
      </c>
    </row>
    <row r="32" spans="1:9" x14ac:dyDescent="0.15">
      <c r="A32" s="12" t="s">
        <v>593</v>
      </c>
    </row>
    <row r="33" spans="1:1" x14ac:dyDescent="0.15">
      <c r="A33" s="25" t="s">
        <v>594</v>
      </c>
    </row>
    <row r="34" spans="1:1" x14ac:dyDescent="0.15">
      <c r="A34" s="12" t="s">
        <v>595</v>
      </c>
    </row>
    <row r="35" spans="1:1" x14ac:dyDescent="0.15">
      <c r="A35" s="25" t="s">
        <v>392</v>
      </c>
    </row>
    <row r="36" spans="1:1" x14ac:dyDescent="0.15">
      <c r="A36" s="25" t="s">
        <v>393</v>
      </c>
    </row>
    <row r="37" spans="1:1" x14ac:dyDescent="0.15">
      <c r="A37" s="25" t="s">
        <v>394</v>
      </c>
    </row>
    <row r="38" spans="1:1" x14ac:dyDescent="0.15">
      <c r="A38" s="12" t="s">
        <v>596</v>
      </c>
    </row>
    <row r="39" spans="1:1" x14ac:dyDescent="0.15">
      <c r="A39" s="12" t="s">
        <v>597</v>
      </c>
    </row>
    <row r="42" spans="1:1" ht="16" x14ac:dyDescent="0.2">
      <c r="A42" s="18"/>
    </row>
    <row r="43" spans="1:1" x14ac:dyDescent="0.15">
      <c r="A43" s="12"/>
    </row>
    <row r="44" spans="1:1" x14ac:dyDescent="0.15">
      <c r="A44" s="12"/>
    </row>
    <row r="45" spans="1:1" x14ac:dyDescent="0.15">
      <c r="A45" s="12"/>
    </row>
    <row r="46" spans="1:1" x14ac:dyDescent="0.15">
      <c r="A46" s="12"/>
    </row>
    <row r="47" spans="1:1" x14ac:dyDescent="0.15">
      <c r="A47" s="12"/>
    </row>
    <row r="48" spans="1:1" x14ac:dyDescent="0.15">
      <c r="A48" s="12"/>
    </row>
    <row r="49" spans="1:1" x14ac:dyDescent="0.15">
      <c r="A49" s="12"/>
    </row>
    <row r="50" spans="1:1" x14ac:dyDescent="0.15">
      <c r="A50" s="12"/>
    </row>
  </sheetData>
  <mergeCells count="8">
    <mergeCell ref="A22:D22"/>
    <mergeCell ref="A1:I1"/>
    <mergeCell ref="A15:D15"/>
    <mergeCell ref="H16:I16"/>
    <mergeCell ref="H18:I18"/>
    <mergeCell ref="H19:I19"/>
    <mergeCell ref="H20:I20"/>
    <mergeCell ref="G15:I15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7" sqref="H7"/>
    </sheetView>
  </sheetViews>
  <sheetFormatPr baseColWidth="10" defaultColWidth="8.83203125" defaultRowHeight="13" x14ac:dyDescent="0.15"/>
  <cols>
    <col min="1" max="1" width="5.5" customWidth="1"/>
    <col min="5" max="6" width="8.5" customWidth="1"/>
    <col min="7" max="7" width="10" customWidth="1"/>
    <col min="8" max="8" width="8.5" customWidth="1"/>
    <col min="9" max="9" width="10.33203125" customWidth="1"/>
  </cols>
  <sheetData>
    <row r="1" spans="1:9" ht="20" x14ac:dyDescent="0.2">
      <c r="A1" s="93" t="s">
        <v>417</v>
      </c>
      <c r="B1" s="93"/>
      <c r="C1" s="93"/>
      <c r="D1" s="93"/>
      <c r="E1" s="93"/>
      <c r="F1" s="93"/>
      <c r="G1" s="93"/>
      <c r="H1" s="93"/>
      <c r="I1" s="93"/>
    </row>
    <row r="2" spans="1:9" ht="26" x14ac:dyDescent="0.15">
      <c r="A2" s="7" t="s">
        <v>114</v>
      </c>
      <c r="B2" s="8" t="s">
        <v>399</v>
      </c>
      <c r="C2" s="8" t="s">
        <v>398</v>
      </c>
      <c r="D2" s="8" t="s">
        <v>397</v>
      </c>
      <c r="E2" s="8" t="s">
        <v>396</v>
      </c>
      <c r="F2" s="8" t="s">
        <v>400</v>
      </c>
      <c r="G2" s="8" t="s">
        <v>277</v>
      </c>
      <c r="H2" s="8" t="s">
        <v>278</v>
      </c>
      <c r="I2" s="8" t="s">
        <v>401</v>
      </c>
    </row>
    <row r="3" spans="1:9" x14ac:dyDescent="0.15">
      <c r="A3" s="14">
        <v>3</v>
      </c>
      <c r="B3" s="14" t="s">
        <v>404</v>
      </c>
      <c r="C3" s="14" t="str">
        <f t="shared" ref="C3:C10" si="0">MID(B3,2,1)</f>
        <v>1</v>
      </c>
      <c r="D3" s="14" t="str">
        <f t="shared" ref="D3:D10" si="1">VLOOKUP(LEFT(B3,1),$A$15:$D$18,2,0)</f>
        <v>Văn học</v>
      </c>
      <c r="E3" s="14">
        <f t="shared" ref="E3:E10" si="2">VLOOKUP(B3,$A$15:$D$18,3,1)</f>
        <v>1000</v>
      </c>
      <c r="F3" s="14">
        <v>15</v>
      </c>
      <c r="G3" s="73">
        <f t="shared" ref="G3:G10" si="3">F3*E3</f>
        <v>15000</v>
      </c>
      <c r="H3" s="73">
        <f t="shared" ref="H3:H10" si="4">IF(F3&gt;20,20%*G3,0)</f>
        <v>0</v>
      </c>
      <c r="I3" s="73">
        <f t="shared" ref="I3:I10" si="5">G3-H3</f>
        <v>15000</v>
      </c>
    </row>
    <row r="4" spans="1:9" x14ac:dyDescent="0.15">
      <c r="A4" s="14">
        <v>5</v>
      </c>
      <c r="B4" s="14" t="s">
        <v>406</v>
      </c>
      <c r="C4" s="14" t="str">
        <f t="shared" si="0"/>
        <v>1</v>
      </c>
      <c r="D4" s="14" t="str">
        <f t="shared" si="1"/>
        <v>Kỹ thuật</v>
      </c>
      <c r="E4" s="14">
        <f t="shared" si="2"/>
        <v>3000</v>
      </c>
      <c r="F4" s="14">
        <v>10</v>
      </c>
      <c r="G4" s="73">
        <f t="shared" si="3"/>
        <v>30000</v>
      </c>
      <c r="H4" s="73">
        <f t="shared" si="4"/>
        <v>0</v>
      </c>
      <c r="I4" s="73">
        <f t="shared" si="5"/>
        <v>30000</v>
      </c>
    </row>
    <row r="5" spans="1:9" x14ac:dyDescent="0.15">
      <c r="A5" s="14">
        <v>6</v>
      </c>
      <c r="B5" s="14" t="s">
        <v>407</v>
      </c>
      <c r="C5" s="14" t="str">
        <f t="shared" si="0"/>
        <v>2</v>
      </c>
      <c r="D5" s="14" t="str">
        <f t="shared" si="1"/>
        <v>Kinh tế</v>
      </c>
      <c r="E5" s="14">
        <f t="shared" si="2"/>
        <v>2000</v>
      </c>
      <c r="F5" s="14">
        <v>20</v>
      </c>
      <c r="G5" s="73">
        <f t="shared" si="3"/>
        <v>40000</v>
      </c>
      <c r="H5" s="73">
        <f t="shared" si="4"/>
        <v>0</v>
      </c>
      <c r="I5" s="73">
        <f t="shared" si="5"/>
        <v>40000</v>
      </c>
    </row>
    <row r="6" spans="1:9" x14ac:dyDescent="0.15">
      <c r="A6" s="14">
        <v>1</v>
      </c>
      <c r="B6" s="14" t="s">
        <v>402</v>
      </c>
      <c r="C6" s="14" t="str">
        <f t="shared" si="0"/>
        <v>1</v>
      </c>
      <c r="D6" s="14" t="str">
        <f t="shared" si="1"/>
        <v>Kỹ thuật</v>
      </c>
      <c r="E6" s="14">
        <f t="shared" si="2"/>
        <v>3000</v>
      </c>
      <c r="F6" s="14">
        <v>20</v>
      </c>
      <c r="G6" s="73">
        <f t="shared" si="3"/>
        <v>60000</v>
      </c>
      <c r="H6" s="73">
        <f t="shared" si="4"/>
        <v>0</v>
      </c>
      <c r="I6" s="73">
        <f t="shared" si="5"/>
        <v>60000</v>
      </c>
    </row>
    <row r="7" spans="1:9" x14ac:dyDescent="0.15">
      <c r="A7" s="14">
        <v>2</v>
      </c>
      <c r="B7" s="14" t="s">
        <v>403</v>
      </c>
      <c r="C7" s="14" t="str">
        <f t="shared" si="0"/>
        <v>2</v>
      </c>
      <c r="D7" s="14" t="str">
        <f t="shared" si="1"/>
        <v>Kinh tế</v>
      </c>
      <c r="E7" s="14">
        <f t="shared" si="2"/>
        <v>2000</v>
      </c>
      <c r="F7" s="14">
        <v>30</v>
      </c>
      <c r="G7" s="73">
        <f t="shared" si="3"/>
        <v>60000</v>
      </c>
      <c r="H7" s="73">
        <f t="shared" si="4"/>
        <v>12000</v>
      </c>
      <c r="I7" s="73">
        <f t="shared" si="5"/>
        <v>48000</v>
      </c>
    </row>
    <row r="8" spans="1:9" x14ac:dyDescent="0.15">
      <c r="A8" s="14">
        <v>7</v>
      </c>
      <c r="B8" s="14" t="s">
        <v>404</v>
      </c>
      <c r="C8" s="14" t="str">
        <f t="shared" si="0"/>
        <v>1</v>
      </c>
      <c r="D8" s="14" t="str">
        <f t="shared" si="1"/>
        <v>Văn học</v>
      </c>
      <c r="E8" s="14">
        <f t="shared" si="2"/>
        <v>1000</v>
      </c>
      <c r="F8" s="14">
        <v>70</v>
      </c>
      <c r="G8" s="73">
        <f t="shared" si="3"/>
        <v>70000</v>
      </c>
      <c r="H8" s="73">
        <f t="shared" si="4"/>
        <v>14000</v>
      </c>
      <c r="I8" s="73">
        <f t="shared" si="5"/>
        <v>56000</v>
      </c>
    </row>
    <row r="9" spans="1:9" x14ac:dyDescent="0.15">
      <c r="A9" s="14">
        <v>4</v>
      </c>
      <c r="B9" s="14" t="s">
        <v>405</v>
      </c>
      <c r="C9" s="14" t="str">
        <f t="shared" si="0"/>
        <v>2</v>
      </c>
      <c r="D9" s="14" t="str">
        <f t="shared" si="1"/>
        <v>Y học</v>
      </c>
      <c r="E9" s="14">
        <f t="shared" si="2"/>
        <v>4000</v>
      </c>
      <c r="F9" s="14">
        <v>40</v>
      </c>
      <c r="G9" s="73">
        <f t="shared" si="3"/>
        <v>160000</v>
      </c>
      <c r="H9" s="73">
        <f t="shared" si="4"/>
        <v>32000</v>
      </c>
      <c r="I9" s="73">
        <f t="shared" si="5"/>
        <v>128000</v>
      </c>
    </row>
    <row r="10" spans="1:9" x14ac:dyDescent="0.15">
      <c r="A10" s="14">
        <v>8</v>
      </c>
      <c r="B10" s="14" t="s">
        <v>408</v>
      </c>
      <c r="C10" s="14" t="str">
        <f t="shared" si="0"/>
        <v>1</v>
      </c>
      <c r="D10" s="14" t="str">
        <f t="shared" si="1"/>
        <v>Y học</v>
      </c>
      <c r="E10" s="14">
        <f t="shared" si="2"/>
        <v>4000</v>
      </c>
      <c r="F10" s="14">
        <v>80</v>
      </c>
      <c r="G10" s="73">
        <f t="shared" si="3"/>
        <v>320000</v>
      </c>
      <c r="H10" s="73">
        <f t="shared" si="4"/>
        <v>64000</v>
      </c>
      <c r="I10" s="73">
        <f t="shared" si="5"/>
        <v>256000</v>
      </c>
    </row>
    <row r="13" spans="1:9" x14ac:dyDescent="0.15">
      <c r="A13" s="100" t="s">
        <v>273</v>
      </c>
      <c r="B13" s="100"/>
      <c r="C13" s="100"/>
      <c r="D13" s="100"/>
    </row>
    <row r="14" spans="1:9" ht="26" x14ac:dyDescent="0.15">
      <c r="A14" s="8" t="s">
        <v>399</v>
      </c>
      <c r="B14" s="8" t="s">
        <v>397</v>
      </c>
      <c r="C14" s="8" t="s">
        <v>409</v>
      </c>
      <c r="D14" s="8" t="s">
        <v>410</v>
      </c>
    </row>
    <row r="15" spans="1:9" x14ac:dyDescent="0.15">
      <c r="A15" s="13" t="s">
        <v>231</v>
      </c>
      <c r="B15" s="13" t="s">
        <v>411</v>
      </c>
      <c r="C15" s="14">
        <v>3000</v>
      </c>
      <c r="D15" s="14">
        <v>3500</v>
      </c>
    </row>
    <row r="16" spans="1:9" x14ac:dyDescent="0.15">
      <c r="A16" s="24" t="s">
        <v>233</v>
      </c>
      <c r="B16" s="13" t="s">
        <v>412</v>
      </c>
      <c r="C16" s="14">
        <v>2000</v>
      </c>
      <c r="D16" s="14">
        <v>2500</v>
      </c>
    </row>
    <row r="17" spans="1:4" x14ac:dyDescent="0.15">
      <c r="A17" s="24" t="s">
        <v>232</v>
      </c>
      <c r="B17" s="24" t="s">
        <v>413</v>
      </c>
      <c r="C17" s="14">
        <v>1000</v>
      </c>
      <c r="D17" s="14">
        <v>1500</v>
      </c>
    </row>
    <row r="18" spans="1:4" x14ac:dyDescent="0.15">
      <c r="A18" s="24" t="s">
        <v>348</v>
      </c>
      <c r="B18" s="24" t="s">
        <v>414</v>
      </c>
      <c r="C18" s="14">
        <v>4000</v>
      </c>
      <c r="D18" s="14">
        <v>4500</v>
      </c>
    </row>
    <row r="21" spans="1:4" ht="16" x14ac:dyDescent="0.2">
      <c r="A21" s="18" t="s">
        <v>75</v>
      </c>
    </row>
    <row r="22" spans="1:4" x14ac:dyDescent="0.15">
      <c r="A22" s="12" t="s">
        <v>239</v>
      </c>
    </row>
    <row r="23" spans="1:4" x14ac:dyDescent="0.15">
      <c r="A23" s="16" t="s">
        <v>602</v>
      </c>
    </row>
    <row r="24" spans="1:4" x14ac:dyDescent="0.15">
      <c r="A24" s="12" t="s">
        <v>603</v>
      </c>
    </row>
    <row r="25" spans="1:4" x14ac:dyDescent="0.15">
      <c r="A25" s="12" t="s">
        <v>604</v>
      </c>
    </row>
    <row r="26" spans="1:4" x14ac:dyDescent="0.15">
      <c r="A26" s="25" t="s">
        <v>415</v>
      </c>
    </row>
    <row r="27" spans="1:4" x14ac:dyDescent="0.15">
      <c r="A27" s="12" t="s">
        <v>598</v>
      </c>
    </row>
    <row r="28" spans="1:4" x14ac:dyDescent="0.15">
      <c r="A28" s="12" t="s">
        <v>599</v>
      </c>
    </row>
    <row r="29" spans="1:4" x14ac:dyDescent="0.15">
      <c r="A29" s="12" t="s">
        <v>600</v>
      </c>
    </row>
    <row r="30" spans="1:4" x14ac:dyDescent="0.15">
      <c r="A30" s="12" t="s">
        <v>416</v>
      </c>
    </row>
    <row r="31" spans="1:4" x14ac:dyDescent="0.15">
      <c r="A31" s="12" t="s">
        <v>601</v>
      </c>
    </row>
    <row r="34" spans="1:1" ht="16" x14ac:dyDescent="0.2">
      <c r="A34" s="18"/>
    </row>
    <row r="35" spans="1:1" x14ac:dyDescent="0.15">
      <c r="A35" s="12"/>
    </row>
    <row r="36" spans="1:1" x14ac:dyDescent="0.15">
      <c r="A36" s="12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</sheetData>
  <sortState ref="A3:I10">
    <sortCondition ref="G3"/>
  </sortState>
  <mergeCells count="2">
    <mergeCell ref="A13:D13"/>
    <mergeCell ref="A1:I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13.83203125" customWidth="1"/>
    <col min="2" max="2" width="14.6640625" customWidth="1"/>
    <col min="3" max="3" width="14.5" customWidth="1"/>
    <col min="4" max="4" width="13.6640625" customWidth="1"/>
    <col min="5" max="5" width="9.1640625" customWidth="1"/>
    <col min="6" max="6" width="11.33203125" customWidth="1"/>
    <col min="7" max="7" width="13.5" customWidth="1"/>
  </cols>
  <sheetData>
    <row r="1" spans="1:8" ht="23" x14ac:dyDescent="0.25">
      <c r="C1" s="58" t="s">
        <v>241</v>
      </c>
    </row>
    <row r="2" spans="1:8" x14ac:dyDescent="0.15">
      <c r="A2" s="54" t="s">
        <v>0</v>
      </c>
      <c r="B2" s="55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55" t="s">
        <v>6</v>
      </c>
      <c r="H2" s="56" t="s">
        <v>7</v>
      </c>
    </row>
    <row r="3" spans="1:8" x14ac:dyDescent="0.15">
      <c r="A3" s="52" t="s">
        <v>10</v>
      </c>
      <c r="B3" s="3" t="s">
        <v>16</v>
      </c>
      <c r="C3" s="1" t="s">
        <v>20</v>
      </c>
      <c r="D3" s="48">
        <v>300000</v>
      </c>
      <c r="E3" s="3" t="s">
        <v>642</v>
      </c>
      <c r="F3" s="3">
        <v>2.2400000000000002</v>
      </c>
      <c r="G3" s="3">
        <v>672000.00000000012</v>
      </c>
      <c r="H3" s="53">
        <v>0</v>
      </c>
    </row>
    <row r="10" spans="1:8" x14ac:dyDescent="0.15">
      <c r="C10" s="57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F10" sqref="F10"/>
    </sheetView>
  </sheetViews>
  <sheetFormatPr baseColWidth="10" defaultRowHeight="13" x14ac:dyDescent="0.15"/>
  <sheetData>
    <row r="2" spans="2:9" ht="26" x14ac:dyDescent="0.15">
      <c r="B2" s="66" t="s">
        <v>399</v>
      </c>
      <c r="C2" s="66" t="s">
        <v>398</v>
      </c>
      <c r="D2" s="66" t="s">
        <v>397</v>
      </c>
      <c r="I2" s="66" t="s">
        <v>397</v>
      </c>
    </row>
    <row r="3" spans="2:9" x14ac:dyDescent="0.15">
      <c r="B3" s="14" t="s">
        <v>406</v>
      </c>
      <c r="C3" s="14" t="s">
        <v>647</v>
      </c>
      <c r="D3" s="14" t="s">
        <v>411</v>
      </c>
      <c r="I3" t="s">
        <v>411</v>
      </c>
    </row>
    <row r="4" spans="2:9" x14ac:dyDescent="0.15">
      <c r="B4" s="14" t="s">
        <v>402</v>
      </c>
      <c r="C4" s="14" t="s">
        <v>647</v>
      </c>
      <c r="D4" s="14" t="s">
        <v>411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" sqref="G2"/>
    </sheetView>
  </sheetViews>
  <sheetFormatPr baseColWidth="10" defaultColWidth="8.83203125" defaultRowHeight="13" x14ac:dyDescent="0.15"/>
  <cols>
    <col min="1" max="1" width="7.6640625" customWidth="1"/>
    <col min="3" max="4" width="8.33203125" customWidth="1"/>
    <col min="5" max="5" width="7" customWidth="1"/>
    <col min="6" max="6" width="8.1640625" customWidth="1"/>
    <col min="7" max="7" width="7.5" customWidth="1"/>
    <col min="8" max="8" width="8" customWidth="1"/>
    <col min="9" max="9" width="9.83203125" customWidth="1"/>
    <col min="10" max="10" width="8.6640625" customWidth="1"/>
  </cols>
  <sheetData>
    <row r="1" spans="1:10" ht="20" x14ac:dyDescent="0.2">
      <c r="A1" s="93" t="s">
        <v>395</v>
      </c>
      <c r="B1" s="93"/>
      <c r="C1" s="93"/>
      <c r="D1" s="93"/>
      <c r="E1" s="93"/>
      <c r="F1" s="93"/>
      <c r="G1" s="93"/>
      <c r="H1" s="93"/>
      <c r="I1" s="93"/>
    </row>
    <row r="2" spans="1:10" ht="39" x14ac:dyDescent="0.15">
      <c r="A2" s="7" t="s">
        <v>114</v>
      </c>
      <c r="B2" s="7" t="s">
        <v>179</v>
      </c>
      <c r="C2" s="8" t="s">
        <v>429</v>
      </c>
      <c r="D2" s="8" t="s">
        <v>418</v>
      </c>
      <c r="E2" s="8" t="s">
        <v>493</v>
      </c>
      <c r="F2" s="8" t="s">
        <v>400</v>
      </c>
      <c r="G2" s="8" t="s">
        <v>339</v>
      </c>
      <c r="H2" s="8" t="s">
        <v>420</v>
      </c>
      <c r="I2" s="8" t="s">
        <v>401</v>
      </c>
    </row>
    <row r="3" spans="1:10" x14ac:dyDescent="0.15">
      <c r="A3" s="20">
        <v>3</v>
      </c>
      <c r="B3" s="14" t="s">
        <v>423</v>
      </c>
      <c r="C3" s="14" t="str">
        <f t="shared" ref="C3:C11" si="0">LEFT(B3,1)</f>
        <v>S</v>
      </c>
      <c r="D3" s="14" t="str">
        <f t="shared" ref="D3:D11" si="1">VLOOKUP(C3,$A$15:$B$19,2,1)</f>
        <v>Song hỷ</v>
      </c>
      <c r="E3" s="14" t="str">
        <f t="shared" ref="E3:E11" si="2">MID(B3,2,1)</f>
        <v>2</v>
      </c>
      <c r="F3" s="14">
        <v>27</v>
      </c>
      <c r="G3" s="73">
        <f t="shared" ref="G3:G11" si="3">IF(VALUE(RIGHT(B3,1))= 1,VLOOKUP(C3,$A$15:$D$19,3,1)*F3,VLOOKUP(C3,$A$15:$D$19,4,1)*F3)</f>
        <v>8640</v>
      </c>
      <c r="H3" s="74">
        <f t="shared" ref="H3:H11" si="4">HLOOKUP(VALUE(RIGHT(B3,1)),$G$14:$J$15,2,1) *G3</f>
        <v>86.4</v>
      </c>
      <c r="I3" s="74">
        <f t="shared" ref="I3:I11" si="5">G3-H3</f>
        <v>8553.6</v>
      </c>
    </row>
    <row r="4" spans="1:10" x14ac:dyDescent="0.15">
      <c r="A4" s="20">
        <v>1</v>
      </c>
      <c r="B4" s="14" t="s">
        <v>421</v>
      </c>
      <c r="C4" s="14" t="str">
        <f t="shared" si="0"/>
        <v>S</v>
      </c>
      <c r="D4" s="14" t="str">
        <f t="shared" si="1"/>
        <v>Song hỷ</v>
      </c>
      <c r="E4" s="14" t="str">
        <f t="shared" si="2"/>
        <v>1</v>
      </c>
      <c r="F4" s="14">
        <v>24</v>
      </c>
      <c r="G4" s="73">
        <f t="shared" si="3"/>
        <v>7680</v>
      </c>
      <c r="H4" s="74">
        <f t="shared" si="4"/>
        <v>76.8</v>
      </c>
      <c r="I4" s="74">
        <f t="shared" si="5"/>
        <v>7603.2</v>
      </c>
    </row>
    <row r="5" spans="1:10" x14ac:dyDescent="0.15">
      <c r="A5" s="20">
        <v>8</v>
      </c>
      <c r="B5" s="14" t="s">
        <v>427</v>
      </c>
      <c r="C5" s="14" t="str">
        <f t="shared" si="0"/>
        <v>N</v>
      </c>
      <c r="D5" s="14" t="str">
        <f t="shared" si="1"/>
        <v>Nitaku</v>
      </c>
      <c r="E5" s="14" t="str">
        <f t="shared" si="2"/>
        <v>2</v>
      </c>
      <c r="F5" s="14">
        <v>18</v>
      </c>
      <c r="G5" s="73">
        <f t="shared" si="3"/>
        <v>3780</v>
      </c>
      <c r="H5" s="74">
        <f t="shared" si="4"/>
        <v>75.600000000000009</v>
      </c>
      <c r="I5" s="74">
        <f t="shared" si="5"/>
        <v>3704.4</v>
      </c>
    </row>
    <row r="6" spans="1:10" x14ac:dyDescent="0.15">
      <c r="A6" s="20">
        <v>2</v>
      </c>
      <c r="B6" s="14" t="s">
        <v>422</v>
      </c>
      <c r="C6" s="14" t="str">
        <f t="shared" si="0"/>
        <v>Y</v>
      </c>
      <c r="D6" s="14" t="str">
        <f t="shared" si="1"/>
        <v>Yasaka</v>
      </c>
      <c r="E6" s="14" t="str">
        <f t="shared" si="2"/>
        <v>3</v>
      </c>
      <c r="F6" s="14">
        <v>16</v>
      </c>
      <c r="G6" s="73">
        <f t="shared" si="3"/>
        <v>3520</v>
      </c>
      <c r="H6" s="74">
        <f t="shared" si="4"/>
        <v>70.400000000000006</v>
      </c>
      <c r="I6" s="74">
        <f t="shared" si="5"/>
        <v>3449.6</v>
      </c>
    </row>
    <row r="7" spans="1:10" x14ac:dyDescent="0.15">
      <c r="A7" s="20">
        <v>6</v>
      </c>
      <c r="B7" s="14" t="s">
        <v>421</v>
      </c>
      <c r="C7" s="14" t="str">
        <f t="shared" si="0"/>
        <v>S</v>
      </c>
      <c r="D7" s="14" t="str">
        <f t="shared" si="1"/>
        <v>Song hỷ</v>
      </c>
      <c r="E7" s="14" t="str">
        <f t="shared" si="2"/>
        <v>1</v>
      </c>
      <c r="F7" s="14">
        <v>11</v>
      </c>
      <c r="G7" s="73">
        <f t="shared" si="3"/>
        <v>3520</v>
      </c>
      <c r="H7" s="74">
        <f t="shared" si="4"/>
        <v>35.200000000000003</v>
      </c>
      <c r="I7" s="74">
        <f t="shared" si="5"/>
        <v>3484.8</v>
      </c>
    </row>
    <row r="8" spans="1:10" x14ac:dyDescent="0.15">
      <c r="A8" s="20">
        <v>9</v>
      </c>
      <c r="B8" s="14" t="s">
        <v>428</v>
      </c>
      <c r="C8" s="14" t="str">
        <f t="shared" si="0"/>
        <v>Y</v>
      </c>
      <c r="D8" s="14" t="str">
        <f t="shared" si="1"/>
        <v>Yasaka</v>
      </c>
      <c r="E8" s="14" t="str">
        <f t="shared" si="2"/>
        <v>1</v>
      </c>
      <c r="F8" s="14">
        <v>12</v>
      </c>
      <c r="G8" s="73">
        <f t="shared" si="3"/>
        <v>3360</v>
      </c>
      <c r="H8" s="74">
        <f t="shared" si="4"/>
        <v>33.6</v>
      </c>
      <c r="I8" s="74">
        <f t="shared" si="5"/>
        <v>3326.4</v>
      </c>
    </row>
    <row r="9" spans="1:10" x14ac:dyDescent="0.15">
      <c r="A9" s="20">
        <v>4</v>
      </c>
      <c r="B9" s="14" t="s">
        <v>424</v>
      </c>
      <c r="C9" s="14" t="str">
        <f t="shared" si="0"/>
        <v>N</v>
      </c>
      <c r="D9" s="14" t="str">
        <f t="shared" si="1"/>
        <v>Nitaku</v>
      </c>
      <c r="E9" s="14" t="str">
        <f t="shared" si="2"/>
        <v>4</v>
      </c>
      <c r="F9" s="14">
        <v>14</v>
      </c>
      <c r="G9" s="73">
        <f t="shared" si="3"/>
        <v>2800</v>
      </c>
      <c r="H9" s="74">
        <f t="shared" si="4"/>
        <v>28</v>
      </c>
      <c r="I9" s="74">
        <f t="shared" si="5"/>
        <v>2772</v>
      </c>
    </row>
    <row r="10" spans="1:10" x14ac:dyDescent="0.15">
      <c r="A10" s="20">
        <v>7</v>
      </c>
      <c r="B10" s="14" t="s">
        <v>426</v>
      </c>
      <c r="C10" s="14" t="str">
        <f t="shared" si="0"/>
        <v>W</v>
      </c>
      <c r="D10" s="14" t="str">
        <f t="shared" si="1"/>
        <v>Song hỷ</v>
      </c>
      <c r="E10" s="14" t="str">
        <f t="shared" si="2"/>
        <v>4</v>
      </c>
      <c r="F10" s="14">
        <v>16</v>
      </c>
      <c r="G10" s="73">
        <f t="shared" si="3"/>
        <v>2240</v>
      </c>
      <c r="H10" s="74">
        <f t="shared" si="4"/>
        <v>44.800000000000004</v>
      </c>
      <c r="I10" s="74">
        <f t="shared" si="5"/>
        <v>2195.1999999999998</v>
      </c>
    </row>
    <row r="11" spans="1:10" x14ac:dyDescent="0.15">
      <c r="A11" s="20">
        <v>5</v>
      </c>
      <c r="B11" s="14" t="s">
        <v>425</v>
      </c>
      <c r="C11" s="14" t="str">
        <f t="shared" si="0"/>
        <v>B</v>
      </c>
      <c r="D11" s="14" t="str">
        <f t="shared" si="1"/>
        <v>Butterfly</v>
      </c>
      <c r="E11" s="14" t="str">
        <f t="shared" si="2"/>
        <v>3</v>
      </c>
      <c r="F11" s="14">
        <v>12</v>
      </c>
      <c r="G11" s="73">
        <f t="shared" si="3"/>
        <v>1920</v>
      </c>
      <c r="H11" s="74">
        <f t="shared" si="4"/>
        <v>38.4</v>
      </c>
      <c r="I11" s="74">
        <f t="shared" si="5"/>
        <v>1881.6</v>
      </c>
    </row>
    <row r="13" spans="1:10" x14ac:dyDescent="0.15">
      <c r="A13" s="91" t="s">
        <v>273</v>
      </c>
      <c r="B13" s="91"/>
      <c r="C13" s="91"/>
      <c r="D13" s="91"/>
      <c r="F13" s="91" t="s">
        <v>431</v>
      </c>
      <c r="G13" s="91"/>
      <c r="H13" s="91"/>
      <c r="I13" s="91"/>
      <c r="J13" s="91"/>
    </row>
    <row r="14" spans="1:10" ht="39" x14ac:dyDescent="0.15">
      <c r="A14" s="7" t="s">
        <v>429</v>
      </c>
      <c r="B14" s="8" t="s">
        <v>430</v>
      </c>
      <c r="C14" s="8" t="s">
        <v>633</v>
      </c>
      <c r="D14" s="8" t="s">
        <v>634</v>
      </c>
      <c r="F14" s="8" t="s">
        <v>419</v>
      </c>
      <c r="G14" s="21">
        <v>1</v>
      </c>
      <c r="H14" s="14">
        <v>2</v>
      </c>
      <c r="I14" s="14">
        <v>3</v>
      </c>
      <c r="J14" s="14">
        <v>4</v>
      </c>
    </row>
    <row r="15" spans="1:10" ht="39" x14ac:dyDescent="0.15">
      <c r="A15" s="13" t="s">
        <v>233</v>
      </c>
      <c r="B15" s="14" t="s">
        <v>436</v>
      </c>
      <c r="C15" s="14">
        <v>260</v>
      </c>
      <c r="D15" s="14">
        <v>160</v>
      </c>
      <c r="F15" s="8" t="s">
        <v>432</v>
      </c>
      <c r="G15" s="32">
        <v>0.01</v>
      </c>
      <c r="H15" s="32">
        <v>0.02</v>
      </c>
      <c r="I15" s="32">
        <v>0.04</v>
      </c>
      <c r="J15" s="32">
        <v>0.05</v>
      </c>
    </row>
    <row r="16" spans="1:10" x14ac:dyDescent="0.15">
      <c r="A16" s="24" t="s">
        <v>294</v>
      </c>
      <c r="B16" s="14" t="s">
        <v>437</v>
      </c>
      <c r="C16" s="14">
        <v>200</v>
      </c>
      <c r="D16" s="14">
        <v>210</v>
      </c>
    </row>
    <row r="17" spans="1:4" x14ac:dyDescent="0.15">
      <c r="A17" s="24" t="s">
        <v>433</v>
      </c>
      <c r="B17" s="13" t="s">
        <v>440</v>
      </c>
      <c r="C17" s="14">
        <v>320</v>
      </c>
      <c r="D17" s="14">
        <v>140</v>
      </c>
    </row>
    <row r="18" spans="1:4" x14ac:dyDescent="0.15">
      <c r="A18" s="24" t="s">
        <v>434</v>
      </c>
      <c r="B18" s="14" t="s">
        <v>438</v>
      </c>
      <c r="C18" s="14">
        <v>280</v>
      </c>
      <c r="D18" s="14">
        <v>220</v>
      </c>
    </row>
    <row r="19" spans="1:4" x14ac:dyDescent="0.15">
      <c r="A19" s="24" t="s">
        <v>435</v>
      </c>
      <c r="B19" s="14" t="s">
        <v>439</v>
      </c>
      <c r="C19" s="14">
        <v>190</v>
      </c>
      <c r="D19" s="14">
        <v>130</v>
      </c>
    </row>
    <row r="22" spans="1:4" ht="16" x14ac:dyDescent="0.2">
      <c r="A22" s="18" t="s">
        <v>75</v>
      </c>
    </row>
    <row r="23" spans="1:4" x14ac:dyDescent="0.15">
      <c r="A23" s="12" t="s">
        <v>239</v>
      </c>
    </row>
    <row r="24" spans="1:4" x14ac:dyDescent="0.15">
      <c r="A24" s="12" t="s">
        <v>607</v>
      </c>
    </row>
    <row r="25" spans="1:4" x14ac:dyDescent="0.15">
      <c r="A25" s="12" t="s">
        <v>605</v>
      </c>
    </row>
    <row r="26" spans="1:4" x14ac:dyDescent="0.15">
      <c r="A26" s="12" t="s">
        <v>606</v>
      </c>
    </row>
    <row r="27" spans="1:4" x14ac:dyDescent="0.15">
      <c r="A27" s="12" t="s">
        <v>608</v>
      </c>
    </row>
    <row r="28" spans="1:4" x14ac:dyDescent="0.15">
      <c r="A28" s="12" t="s">
        <v>635</v>
      </c>
    </row>
    <row r="29" spans="1:4" x14ac:dyDescent="0.15">
      <c r="A29" s="12" t="s">
        <v>636</v>
      </c>
    </row>
    <row r="30" spans="1:4" x14ac:dyDescent="0.15">
      <c r="A30" s="12" t="s">
        <v>609</v>
      </c>
    </row>
    <row r="31" spans="1:4" x14ac:dyDescent="0.15">
      <c r="A31" s="12" t="s">
        <v>610</v>
      </c>
    </row>
    <row r="32" spans="1:4" x14ac:dyDescent="0.15">
      <c r="A32" s="12" t="s">
        <v>611</v>
      </c>
    </row>
    <row r="35" spans="1:1" ht="16" x14ac:dyDescent="0.2">
      <c r="A35" s="18"/>
    </row>
    <row r="36" spans="1:1" x14ac:dyDescent="0.15">
      <c r="A36" s="12"/>
    </row>
    <row r="37" spans="1:1" x14ac:dyDescent="0.15">
      <c r="A37" s="12"/>
    </row>
    <row r="38" spans="1:1" x14ac:dyDescent="0.15">
      <c r="A38" s="12"/>
    </row>
    <row r="39" spans="1:1" x14ac:dyDescent="0.15">
      <c r="A39" s="12"/>
    </row>
    <row r="40" spans="1:1" x14ac:dyDescent="0.15">
      <c r="A40" s="12"/>
    </row>
    <row r="41" spans="1:1" x14ac:dyDescent="0.15">
      <c r="A41" s="12"/>
    </row>
  </sheetData>
  <sortState ref="A3:I11">
    <sortCondition descending="1" ref="G3"/>
  </sortState>
  <mergeCells count="3">
    <mergeCell ref="A1:I1"/>
    <mergeCell ref="A13:D13"/>
    <mergeCell ref="F13:J1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Roman,Regular"14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L12" sqref="L12"/>
    </sheetView>
  </sheetViews>
  <sheetFormatPr baseColWidth="10" defaultRowHeight="13" x14ac:dyDescent="0.15"/>
  <cols>
    <col min="12" max="12" width="12" bestFit="1" customWidth="1"/>
  </cols>
  <sheetData>
    <row r="2" spans="2:13" ht="26" x14ac:dyDescent="0.15">
      <c r="B2" s="67" t="s">
        <v>114</v>
      </c>
      <c r="C2" s="67" t="s">
        <v>179</v>
      </c>
      <c r="D2" s="66" t="s">
        <v>429</v>
      </c>
      <c r="E2" s="66" t="s">
        <v>418</v>
      </c>
      <c r="F2" s="66" t="s">
        <v>493</v>
      </c>
      <c r="G2" s="66" t="s">
        <v>400</v>
      </c>
      <c r="H2" s="66" t="s">
        <v>339</v>
      </c>
      <c r="I2" s="66" t="s">
        <v>420</v>
      </c>
      <c r="J2" s="66" t="s">
        <v>401</v>
      </c>
      <c r="L2" s="66" t="s">
        <v>429</v>
      </c>
      <c r="M2" s="66" t="s">
        <v>400</v>
      </c>
    </row>
    <row r="3" spans="2:13" ht="20" x14ac:dyDescent="0.2">
      <c r="B3" s="20">
        <v>3</v>
      </c>
      <c r="C3" s="14" t="s">
        <v>423</v>
      </c>
      <c r="D3" s="14" t="s">
        <v>433</v>
      </c>
      <c r="E3" s="14" t="s">
        <v>440</v>
      </c>
      <c r="F3" s="14" t="s">
        <v>642</v>
      </c>
      <c r="G3" s="14">
        <v>27</v>
      </c>
      <c r="H3" s="73">
        <v>8640</v>
      </c>
      <c r="I3" s="74">
        <v>86.4</v>
      </c>
      <c r="J3" s="74">
        <v>8553.6</v>
      </c>
      <c r="L3" s="76" t="s">
        <v>433</v>
      </c>
      <c r="M3" s="75" t="s">
        <v>646</v>
      </c>
    </row>
    <row r="4" spans="2:13" x14ac:dyDescent="0.15">
      <c r="B4" s="20">
        <v>1</v>
      </c>
      <c r="C4" s="14" t="s">
        <v>421</v>
      </c>
      <c r="D4" s="14" t="s">
        <v>433</v>
      </c>
      <c r="E4" s="14" t="s">
        <v>440</v>
      </c>
      <c r="F4" s="14" t="s">
        <v>647</v>
      </c>
      <c r="G4" s="14">
        <v>24</v>
      </c>
      <c r="H4" s="73">
        <v>7680</v>
      </c>
      <c r="I4" s="74">
        <v>76.8</v>
      </c>
      <c r="J4" s="74">
        <v>7603.2</v>
      </c>
      <c r="L4" s="23"/>
      <c r="M4" s="23"/>
    </row>
    <row r="5" spans="2:13" x14ac:dyDescent="0.15">
      <c r="L5" s="23"/>
      <c r="M5" s="23"/>
    </row>
    <row r="6" spans="2:13" x14ac:dyDescent="0.15">
      <c r="L6" s="23"/>
      <c r="M6" s="23"/>
    </row>
    <row r="7" spans="2:13" x14ac:dyDescent="0.15">
      <c r="L7" s="23"/>
      <c r="M7" s="23"/>
    </row>
    <row r="8" spans="2:13" x14ac:dyDescent="0.15">
      <c r="L8" s="23"/>
      <c r="M8" s="23"/>
    </row>
    <row r="9" spans="2:13" x14ac:dyDescent="0.15">
      <c r="L9" s="23"/>
      <c r="M9" s="23"/>
    </row>
    <row r="10" spans="2:13" x14ac:dyDescent="0.15">
      <c r="L10" s="23"/>
      <c r="M10" s="23"/>
    </row>
    <row r="11" spans="2:13" x14ac:dyDescent="0.15">
      <c r="L11" s="23"/>
      <c r="M11" s="23"/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14" sqref="I14"/>
    </sheetView>
  </sheetViews>
  <sheetFormatPr baseColWidth="10" defaultColWidth="8.83203125" defaultRowHeight="13" x14ac:dyDescent="0.15"/>
  <cols>
    <col min="1" max="1" width="7.6640625" bestFit="1" customWidth="1"/>
    <col min="2" max="2" width="14.33203125" bestFit="1" customWidth="1"/>
    <col min="3" max="3" width="6.33203125" bestFit="1" customWidth="1"/>
    <col min="4" max="4" width="6.33203125" customWidth="1"/>
    <col min="5" max="5" width="8.33203125" customWidth="1"/>
    <col min="6" max="6" width="9.33203125" bestFit="1" customWidth="1"/>
    <col min="7" max="7" width="5.83203125" bestFit="1" customWidth="1"/>
    <col min="8" max="8" width="6" bestFit="1" customWidth="1"/>
    <col min="9" max="9" width="4.83203125" customWidth="1"/>
    <col min="10" max="10" width="5.33203125" customWidth="1"/>
    <col min="11" max="11" width="12.33203125" customWidth="1"/>
  </cols>
  <sheetData>
    <row r="1" spans="1:11" ht="23" x14ac:dyDescent="0.25">
      <c r="A1" s="84" t="s">
        <v>487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15">
      <c r="A2" s="97" t="s">
        <v>445</v>
      </c>
      <c r="B2" s="97" t="s">
        <v>446</v>
      </c>
      <c r="C2" s="97"/>
      <c r="D2" s="96" t="s">
        <v>637</v>
      </c>
      <c r="E2" s="98" t="s">
        <v>638</v>
      </c>
      <c r="F2" s="104" t="s">
        <v>484</v>
      </c>
      <c r="G2" s="104"/>
      <c r="H2" s="104"/>
      <c r="I2" s="97" t="s">
        <v>449</v>
      </c>
      <c r="J2" s="96" t="s">
        <v>639</v>
      </c>
      <c r="K2" s="97" t="s">
        <v>214</v>
      </c>
    </row>
    <row r="3" spans="1:11" x14ac:dyDescent="0.15">
      <c r="A3" s="97"/>
      <c r="B3" s="97"/>
      <c r="C3" s="97"/>
      <c r="D3" s="97"/>
      <c r="E3" s="115"/>
      <c r="F3" s="10" t="s">
        <v>495</v>
      </c>
      <c r="G3" s="11" t="s">
        <v>447</v>
      </c>
      <c r="H3" s="11" t="s">
        <v>448</v>
      </c>
      <c r="I3" s="97"/>
      <c r="J3" s="97"/>
      <c r="K3" s="97"/>
    </row>
    <row r="4" spans="1:11" x14ac:dyDescent="0.15">
      <c r="A4" s="14" t="s">
        <v>485</v>
      </c>
      <c r="B4" s="14" t="s">
        <v>471</v>
      </c>
      <c r="C4" s="14" t="s">
        <v>472</v>
      </c>
      <c r="D4" s="14" t="str">
        <f t="shared" ref="D4:D12" si="0">RIGHT(LEFT(A4,3),2)</f>
        <v>ST</v>
      </c>
      <c r="E4" s="14" t="str">
        <f t="shared" ref="E4:E12" si="1">LEFT(A4,1)</f>
        <v>B</v>
      </c>
      <c r="F4" s="14">
        <v>9</v>
      </c>
      <c r="G4" s="14">
        <v>7</v>
      </c>
      <c r="H4" s="14">
        <v>9</v>
      </c>
      <c r="I4" s="70">
        <f t="shared" ref="I4:I12" si="2">IF(F4*10%+G4*20%+H4*70% &lt; 5,INDEX($C$17:$C$21,MATCH(D4,$A$17:$A$21,0))+F4*10%+G4*20%+H4*70%,F4*10%+G4*20%+H4*70%)</f>
        <v>8.6</v>
      </c>
      <c r="J4" s="14" t="str">
        <f t="shared" ref="J4:J12" si="3">IF(AND(I4&gt;=5,F4&lt;&gt;0,G4&lt;&gt;0,H4&lt;&gt;0),"Đậu","Rớt")</f>
        <v>Đậu</v>
      </c>
      <c r="K4" s="14" t="str">
        <f t="shared" ref="K4:K12" si="4">IF(AND(I4&gt;=9,F4&gt;=8,G4&gt;=8,H4&gt;=8),"Giỏi",IF(AND(I4&gt;=8,F4&gt;=6.5,G4&gt;=6.5,H4&gt;=6.5),"Khá",IF(AND(I4&gt;=6.5,F4&gt;=5,G4&gt;=5,H4&gt;=5),"TB-Khá",IF(AND(I4&gt;=5,F4&gt;0,G4&gt;0,H4&gt;0),"TB","Không xếp loại"))))</f>
        <v>Khá</v>
      </c>
    </row>
    <row r="5" spans="1:11" x14ac:dyDescent="0.15">
      <c r="A5" s="14" t="s">
        <v>455</v>
      </c>
      <c r="B5" s="14" t="s">
        <v>468</v>
      </c>
      <c r="C5" s="14" t="s">
        <v>469</v>
      </c>
      <c r="D5" s="14" t="str">
        <f t="shared" si="0"/>
        <v>LA</v>
      </c>
      <c r="E5" s="14" t="str">
        <f t="shared" si="1"/>
        <v>B</v>
      </c>
      <c r="F5" s="14">
        <v>7</v>
      </c>
      <c r="G5" s="14">
        <v>9</v>
      </c>
      <c r="H5" s="14">
        <v>8</v>
      </c>
      <c r="I5" s="70">
        <f t="shared" si="2"/>
        <v>8.1</v>
      </c>
      <c r="J5" s="14" t="str">
        <f t="shared" si="3"/>
        <v>Đậu</v>
      </c>
      <c r="K5" s="14" t="str">
        <f t="shared" si="4"/>
        <v>Khá</v>
      </c>
    </row>
    <row r="6" spans="1:11" x14ac:dyDescent="0.15">
      <c r="A6" s="14" t="s">
        <v>456</v>
      </c>
      <c r="B6" s="14" t="s">
        <v>470</v>
      </c>
      <c r="C6" s="14" t="s">
        <v>263</v>
      </c>
      <c r="D6" s="14" t="str">
        <f t="shared" si="0"/>
        <v>TP</v>
      </c>
      <c r="E6" s="14" t="str">
        <f t="shared" si="1"/>
        <v>B</v>
      </c>
      <c r="F6" s="14">
        <v>8</v>
      </c>
      <c r="G6" s="14">
        <v>6</v>
      </c>
      <c r="H6" s="14">
        <v>7</v>
      </c>
      <c r="I6" s="70">
        <f t="shared" si="2"/>
        <v>6.8999999999999995</v>
      </c>
      <c r="J6" s="14" t="str">
        <f t="shared" si="3"/>
        <v>Đậu</v>
      </c>
      <c r="K6" s="14" t="str">
        <f t="shared" si="4"/>
        <v>TB-Khá</v>
      </c>
    </row>
    <row r="7" spans="1:11" x14ac:dyDescent="0.15">
      <c r="A7" s="14" t="s">
        <v>486</v>
      </c>
      <c r="B7" s="14" t="s">
        <v>464</v>
      </c>
      <c r="C7" s="14" t="s">
        <v>465</v>
      </c>
      <c r="D7" s="14" t="str">
        <f t="shared" si="0"/>
        <v>CT</v>
      </c>
      <c r="E7" s="14" t="str">
        <f t="shared" si="1"/>
        <v>A</v>
      </c>
      <c r="F7" s="14">
        <v>7</v>
      </c>
      <c r="G7" s="14">
        <v>7</v>
      </c>
      <c r="H7" s="14">
        <v>6.5</v>
      </c>
      <c r="I7" s="70">
        <f t="shared" si="2"/>
        <v>6.65</v>
      </c>
      <c r="J7" s="14" t="str">
        <f t="shared" si="3"/>
        <v>Đậu</v>
      </c>
      <c r="K7" s="14" t="str">
        <f t="shared" si="4"/>
        <v>TB-Khá</v>
      </c>
    </row>
    <row r="8" spans="1:11" x14ac:dyDescent="0.15">
      <c r="A8" s="14" t="s">
        <v>452</v>
      </c>
      <c r="B8" s="14" t="s">
        <v>14</v>
      </c>
      <c r="C8" s="14" t="s">
        <v>459</v>
      </c>
      <c r="D8" s="14" t="str">
        <f t="shared" si="0"/>
        <v>TG</v>
      </c>
      <c r="E8" s="14" t="str">
        <f t="shared" si="1"/>
        <v>A</v>
      </c>
      <c r="F8" s="14">
        <v>6</v>
      </c>
      <c r="G8" s="14">
        <v>7.5</v>
      </c>
      <c r="H8" s="14">
        <v>6</v>
      </c>
      <c r="I8" s="70">
        <f t="shared" si="2"/>
        <v>6.2999999999999989</v>
      </c>
      <c r="J8" s="14" t="str">
        <f t="shared" si="3"/>
        <v>Đậu</v>
      </c>
      <c r="K8" s="14" t="str">
        <f t="shared" si="4"/>
        <v>TB</v>
      </c>
    </row>
    <row r="9" spans="1:11" x14ac:dyDescent="0.15">
      <c r="A9" s="14" t="s">
        <v>450</v>
      </c>
      <c r="B9" s="14" t="s">
        <v>457</v>
      </c>
      <c r="C9" s="14" t="s">
        <v>458</v>
      </c>
      <c r="D9" s="14" t="str">
        <f t="shared" si="0"/>
        <v>LA</v>
      </c>
      <c r="E9" s="14" t="str">
        <f t="shared" si="1"/>
        <v>A</v>
      </c>
      <c r="F9" s="14">
        <v>5</v>
      </c>
      <c r="G9" s="14">
        <v>7</v>
      </c>
      <c r="H9" s="14">
        <v>4</v>
      </c>
      <c r="I9" s="70">
        <f t="shared" si="2"/>
        <v>6.2</v>
      </c>
      <c r="J9" s="14" t="str">
        <f t="shared" si="3"/>
        <v>Đậu</v>
      </c>
      <c r="K9" s="14" t="str">
        <f t="shared" si="4"/>
        <v>TB</v>
      </c>
    </row>
    <row r="10" spans="1:11" x14ac:dyDescent="0.15">
      <c r="A10" s="14" t="s">
        <v>453</v>
      </c>
      <c r="B10" s="14" t="s">
        <v>460</v>
      </c>
      <c r="C10" s="14" t="s">
        <v>461</v>
      </c>
      <c r="D10" s="14" t="str">
        <f t="shared" si="0"/>
        <v>ST</v>
      </c>
      <c r="E10" s="14" t="str">
        <f t="shared" si="1"/>
        <v>A</v>
      </c>
      <c r="F10" s="14">
        <v>0</v>
      </c>
      <c r="G10" s="14">
        <v>8</v>
      </c>
      <c r="H10" s="14">
        <v>6.5</v>
      </c>
      <c r="I10" s="70">
        <f t="shared" si="2"/>
        <v>6.15</v>
      </c>
      <c r="J10" s="14" t="str">
        <f t="shared" si="3"/>
        <v>Rớt</v>
      </c>
      <c r="K10" s="14" t="str">
        <f t="shared" si="4"/>
        <v>Không xếp loại</v>
      </c>
    </row>
    <row r="11" spans="1:11" x14ac:dyDescent="0.15">
      <c r="A11" s="14" t="s">
        <v>451</v>
      </c>
      <c r="B11" s="14" t="s">
        <v>462</v>
      </c>
      <c r="C11" s="14" t="s">
        <v>463</v>
      </c>
      <c r="D11" s="14" t="str">
        <f t="shared" si="0"/>
        <v>LA</v>
      </c>
      <c r="E11" s="14" t="str">
        <f t="shared" si="1"/>
        <v>A</v>
      </c>
      <c r="F11" s="14">
        <v>6</v>
      </c>
      <c r="G11" s="14">
        <v>8</v>
      </c>
      <c r="H11" s="14">
        <v>3</v>
      </c>
      <c r="I11" s="70">
        <f t="shared" si="2"/>
        <v>5.8</v>
      </c>
      <c r="J11" s="14" t="str">
        <f t="shared" si="3"/>
        <v>Đậu</v>
      </c>
      <c r="K11" s="14" t="str">
        <f t="shared" si="4"/>
        <v>TB</v>
      </c>
    </row>
    <row r="12" spans="1:11" x14ac:dyDescent="0.15">
      <c r="A12" s="14" t="s">
        <v>454</v>
      </c>
      <c r="B12" s="14" t="s">
        <v>466</v>
      </c>
      <c r="C12" s="14" t="s">
        <v>467</v>
      </c>
      <c r="D12" s="14" t="str">
        <f t="shared" si="0"/>
        <v>TG</v>
      </c>
      <c r="E12" s="14" t="str">
        <f t="shared" si="1"/>
        <v>A</v>
      </c>
      <c r="F12" s="14">
        <v>2</v>
      </c>
      <c r="G12" s="14">
        <v>3.5</v>
      </c>
      <c r="H12" s="14">
        <v>3</v>
      </c>
      <c r="I12" s="70">
        <f t="shared" si="2"/>
        <v>3.9999999999999996</v>
      </c>
      <c r="J12" s="14" t="str">
        <f t="shared" si="3"/>
        <v>Rớt</v>
      </c>
      <c r="K12" s="14" t="str">
        <f t="shared" si="4"/>
        <v>Không xếp loại</v>
      </c>
    </row>
    <row r="15" spans="1:11" x14ac:dyDescent="0.15">
      <c r="A15" s="91" t="s">
        <v>21</v>
      </c>
      <c r="B15" s="91"/>
      <c r="C15" s="91"/>
    </row>
    <row r="16" spans="1:11" x14ac:dyDescent="0.15">
      <c r="A16" s="10" t="s">
        <v>473</v>
      </c>
      <c r="B16" s="10" t="s">
        <v>474</v>
      </c>
      <c r="C16" s="10" t="s">
        <v>488</v>
      </c>
    </row>
    <row r="17" spans="1:11" x14ac:dyDescent="0.15">
      <c r="A17" s="14" t="s">
        <v>475</v>
      </c>
      <c r="B17" s="14" t="s">
        <v>476</v>
      </c>
      <c r="C17" s="14">
        <v>1.5</v>
      </c>
    </row>
    <row r="18" spans="1:11" x14ac:dyDescent="0.15">
      <c r="A18" s="14" t="s">
        <v>477</v>
      </c>
      <c r="B18" s="14" t="s">
        <v>478</v>
      </c>
      <c r="C18" s="14">
        <v>1</v>
      </c>
    </row>
    <row r="19" spans="1:11" x14ac:dyDescent="0.15">
      <c r="A19" s="14" t="s">
        <v>479</v>
      </c>
      <c r="B19" s="14" t="s">
        <v>480</v>
      </c>
      <c r="C19" s="14">
        <v>2</v>
      </c>
    </row>
    <row r="20" spans="1:11" x14ac:dyDescent="0.15">
      <c r="A20" s="14" t="s">
        <v>481</v>
      </c>
      <c r="B20" s="14" t="s">
        <v>482</v>
      </c>
      <c r="C20" s="14">
        <v>1</v>
      </c>
    </row>
    <row r="21" spans="1:11" x14ac:dyDescent="0.15">
      <c r="A21" s="14" t="s">
        <v>496</v>
      </c>
      <c r="B21" s="14" t="s">
        <v>483</v>
      </c>
      <c r="C21" s="14">
        <v>1</v>
      </c>
    </row>
    <row r="24" spans="1:11" x14ac:dyDescent="0.15">
      <c r="A24" s="36" t="s">
        <v>75</v>
      </c>
    </row>
    <row r="25" spans="1:11" x14ac:dyDescent="0.15">
      <c r="A25" s="119" t="s">
        <v>612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x14ac:dyDescent="0.15">
      <c r="A26" s="12" t="s">
        <v>613</v>
      </c>
    </row>
    <row r="27" spans="1:11" x14ac:dyDescent="0.15">
      <c r="A27" s="12" t="s">
        <v>618</v>
      </c>
    </row>
    <row r="28" spans="1:11" x14ac:dyDescent="0.15">
      <c r="A28" s="12" t="s">
        <v>497</v>
      </c>
    </row>
    <row r="29" spans="1:11" x14ac:dyDescent="0.15">
      <c r="A29" s="12" t="s">
        <v>614</v>
      </c>
    </row>
    <row r="30" spans="1:11" x14ac:dyDescent="0.15">
      <c r="A30" s="12" t="s">
        <v>615</v>
      </c>
    </row>
    <row r="31" spans="1:11" x14ac:dyDescent="0.15">
      <c r="A31" s="25" t="s">
        <v>489</v>
      </c>
    </row>
    <row r="32" spans="1:11" x14ac:dyDescent="0.15">
      <c r="A32" s="25" t="s">
        <v>490</v>
      </c>
    </row>
    <row r="33" spans="1:1" x14ac:dyDescent="0.15">
      <c r="A33" s="25" t="s">
        <v>492</v>
      </c>
    </row>
    <row r="34" spans="1:1" x14ac:dyDescent="0.15">
      <c r="A34" s="25" t="s">
        <v>494</v>
      </c>
    </row>
    <row r="35" spans="1:1" x14ac:dyDescent="0.15">
      <c r="A35" s="12" t="s">
        <v>491</v>
      </c>
    </row>
  </sheetData>
  <sortState ref="A1:K12">
    <sortCondition descending="1" ref="I4:I12"/>
  </sortState>
  <mergeCells count="11">
    <mergeCell ref="A15:C15"/>
    <mergeCell ref="A25:K25"/>
    <mergeCell ref="F2:H2"/>
    <mergeCell ref="A1:K1"/>
    <mergeCell ref="D2:D3"/>
    <mergeCell ref="A2:A3"/>
    <mergeCell ref="B2:C3"/>
    <mergeCell ref="I2:I3"/>
    <mergeCell ref="J2:J3"/>
    <mergeCell ref="K2:K3"/>
    <mergeCell ref="E2:E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3" workbookViewId="0">
      <selection activeCell="E14" sqref="E14"/>
    </sheetView>
  </sheetViews>
  <sheetFormatPr baseColWidth="10" defaultColWidth="9.1640625" defaultRowHeight="13" x14ac:dyDescent="0.15"/>
  <cols>
    <col min="1" max="1" width="13.1640625" style="1" bestFit="1" customWidth="1"/>
    <col min="2" max="2" width="11.6640625" style="1" bestFit="1" customWidth="1"/>
    <col min="3" max="3" width="10.83203125" style="1" customWidth="1"/>
    <col min="4" max="4" width="10.33203125" style="1" customWidth="1"/>
    <col min="5" max="5" width="11.83203125" style="1" customWidth="1"/>
    <col min="6" max="6" width="11.5" style="1" customWidth="1"/>
    <col min="7" max="7" width="7.83203125" style="2" bestFit="1" customWidth="1"/>
    <col min="8" max="8" width="6" style="1" customWidth="1"/>
    <col min="9" max="9" width="6.83203125" style="1" customWidth="1"/>
    <col min="10" max="10" width="10.5" style="1" customWidth="1"/>
    <col min="11" max="16384" width="9.1640625" style="1"/>
  </cols>
  <sheetData>
    <row r="1" spans="1:10" ht="23" x14ac:dyDescent="0.25">
      <c r="A1" s="84" t="s">
        <v>443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x14ac:dyDescent="0.15">
      <c r="I2" s="1" t="s">
        <v>76</v>
      </c>
      <c r="J2" s="1">
        <v>18100</v>
      </c>
    </row>
    <row r="3" spans="1:10" ht="39" x14ac:dyDescent="0.15">
      <c r="A3" s="7" t="s">
        <v>27</v>
      </c>
      <c r="B3" s="7" t="s">
        <v>28</v>
      </c>
      <c r="C3" s="8" t="s">
        <v>623</v>
      </c>
      <c r="D3" s="7" t="s">
        <v>30</v>
      </c>
      <c r="E3" s="8" t="s">
        <v>624</v>
      </c>
      <c r="F3" s="8" t="s">
        <v>67</v>
      </c>
      <c r="G3" s="7" t="s">
        <v>32</v>
      </c>
      <c r="H3" s="8" t="s">
        <v>59</v>
      </c>
      <c r="I3" s="8" t="s">
        <v>60</v>
      </c>
      <c r="J3" s="8" t="s">
        <v>61</v>
      </c>
    </row>
    <row r="4" spans="1:10" x14ac:dyDescent="0.15">
      <c r="A4" s="3" t="s">
        <v>33</v>
      </c>
      <c r="B4" s="3" t="s">
        <v>17</v>
      </c>
      <c r="C4" s="13" t="str">
        <f>MID(A4,5,4)</f>
        <v>1SAO</v>
      </c>
      <c r="D4" s="3">
        <f>VLOOKUP(C4,$A$22:$B$25,2,0)</f>
        <v>8</v>
      </c>
      <c r="E4" s="3" t="str">
        <f>VLOOKUP(LEFT(A4,3),$D$22:$H$24,2,0)</f>
        <v>Nha Trang</v>
      </c>
      <c r="F4" s="3">
        <f>VLOOKUP(LEFT(A4,3),$D$22:$H$24,4,0)</f>
        <v>4</v>
      </c>
      <c r="G4" s="4">
        <f>VLOOKUP(LEFT(A4,3),$D$22:$H$24,5,0)</f>
        <v>22</v>
      </c>
      <c r="H4" s="3">
        <f>IF(E4="Nha Trang",7,IF(E4="Đà Lạt",5,10))</f>
        <v>7</v>
      </c>
      <c r="I4" s="3">
        <f>D4*F4+G4+H4</f>
        <v>61</v>
      </c>
      <c r="J4" s="3">
        <f>I4*$J$2</f>
        <v>1104100</v>
      </c>
    </row>
    <row r="5" spans="1:10" x14ac:dyDescent="0.15">
      <c r="A5" s="3" t="s">
        <v>34</v>
      </c>
      <c r="B5" s="3" t="s">
        <v>46</v>
      </c>
      <c r="C5" s="13" t="str">
        <f t="shared" ref="C5:C17" si="0">MID(A5,5,4)</f>
        <v>MINI</v>
      </c>
      <c r="D5" s="3">
        <f t="shared" ref="D5:D17" si="1">VLOOKUP(C5,$A$22:$B$25,2,0)</f>
        <v>5</v>
      </c>
      <c r="E5" s="3" t="str">
        <f t="shared" ref="E5:E17" si="2">VLOOKUP(LEFT(A5,3),$D$22:$H$24,2,0)</f>
        <v>Nha Trang</v>
      </c>
      <c r="F5" s="3">
        <f t="shared" ref="F5:F17" si="3">VLOOKUP(LEFT(A5,3),$D$22:$H$24,4,0)</f>
        <v>4</v>
      </c>
      <c r="G5" s="4">
        <f t="shared" ref="G5:G17" si="4">VLOOKUP(LEFT(A5,3),$D$22:$H$24,5,0)</f>
        <v>22</v>
      </c>
      <c r="H5" s="3">
        <f t="shared" ref="H5:H17" si="5">IF(E5="Nha Trang",7,IF(E5="Đà Lạt",5,10))</f>
        <v>7</v>
      </c>
      <c r="I5" s="3">
        <f t="shared" ref="I5:I17" si="6">D5*F5+G5+H5</f>
        <v>49</v>
      </c>
      <c r="J5" s="3">
        <f t="shared" ref="J5:J17" si="7">I5*$J$2</f>
        <v>886900</v>
      </c>
    </row>
    <row r="6" spans="1:10" x14ac:dyDescent="0.15">
      <c r="A6" s="13" t="s">
        <v>442</v>
      </c>
      <c r="B6" s="3" t="s">
        <v>47</v>
      </c>
      <c r="C6" s="13" t="str">
        <f t="shared" si="0"/>
        <v>1SAO</v>
      </c>
      <c r="D6" s="3">
        <f t="shared" si="1"/>
        <v>8</v>
      </c>
      <c r="E6" s="3" t="str">
        <f t="shared" si="2"/>
        <v>Nha Trang</v>
      </c>
      <c r="F6" s="3">
        <f t="shared" si="3"/>
        <v>4</v>
      </c>
      <c r="G6" s="4">
        <f t="shared" si="4"/>
        <v>22</v>
      </c>
      <c r="H6" s="3">
        <f t="shared" si="5"/>
        <v>7</v>
      </c>
      <c r="I6" s="3">
        <f t="shared" si="6"/>
        <v>61</v>
      </c>
      <c r="J6" s="3">
        <f t="shared" si="7"/>
        <v>1104100</v>
      </c>
    </row>
    <row r="7" spans="1:10" x14ac:dyDescent="0.15">
      <c r="A7" s="3" t="s">
        <v>35</v>
      </c>
      <c r="B7" s="3" t="s">
        <v>48</v>
      </c>
      <c r="C7" s="13" t="str">
        <f t="shared" si="0"/>
        <v>2SAO</v>
      </c>
      <c r="D7" s="3">
        <f t="shared" si="1"/>
        <v>12</v>
      </c>
      <c r="E7" s="3" t="str">
        <f t="shared" si="2"/>
        <v>Nha Trang</v>
      </c>
      <c r="F7" s="3">
        <f t="shared" si="3"/>
        <v>4</v>
      </c>
      <c r="G7" s="4">
        <f t="shared" si="4"/>
        <v>22</v>
      </c>
      <c r="H7" s="3">
        <f t="shared" si="5"/>
        <v>7</v>
      </c>
      <c r="I7" s="3">
        <f t="shared" si="6"/>
        <v>77</v>
      </c>
      <c r="J7" s="3">
        <f t="shared" si="7"/>
        <v>1393700</v>
      </c>
    </row>
    <row r="8" spans="1:10" x14ac:dyDescent="0.15">
      <c r="A8" s="3" t="s">
        <v>36</v>
      </c>
      <c r="B8" s="3" t="s">
        <v>49</v>
      </c>
      <c r="C8" s="13" t="str">
        <f t="shared" si="0"/>
        <v>MINI</v>
      </c>
      <c r="D8" s="3">
        <f t="shared" si="1"/>
        <v>5</v>
      </c>
      <c r="E8" s="3" t="str">
        <f t="shared" si="2"/>
        <v>Nha Trang</v>
      </c>
      <c r="F8" s="3">
        <f t="shared" si="3"/>
        <v>4</v>
      </c>
      <c r="G8" s="4">
        <f t="shared" si="4"/>
        <v>22</v>
      </c>
      <c r="H8" s="3">
        <f t="shared" si="5"/>
        <v>7</v>
      </c>
      <c r="I8" s="3">
        <f t="shared" si="6"/>
        <v>49</v>
      </c>
      <c r="J8" s="3">
        <f t="shared" si="7"/>
        <v>886900</v>
      </c>
    </row>
    <row r="9" spans="1:10" x14ac:dyDescent="0.15">
      <c r="A9" s="3" t="s">
        <v>37</v>
      </c>
      <c r="B9" s="3" t="s">
        <v>50</v>
      </c>
      <c r="C9" s="13" t="str">
        <f t="shared" si="0"/>
        <v>MINI</v>
      </c>
      <c r="D9" s="3">
        <f t="shared" si="1"/>
        <v>5</v>
      </c>
      <c r="E9" s="3" t="str">
        <f t="shared" si="2"/>
        <v>Đà Lạt</v>
      </c>
      <c r="F9" s="3">
        <f t="shared" si="3"/>
        <v>3</v>
      </c>
      <c r="G9" s="4">
        <f t="shared" si="4"/>
        <v>15</v>
      </c>
      <c r="H9" s="3">
        <f t="shared" si="5"/>
        <v>5</v>
      </c>
      <c r="I9" s="3">
        <f t="shared" si="6"/>
        <v>35</v>
      </c>
      <c r="J9" s="3">
        <f t="shared" si="7"/>
        <v>633500</v>
      </c>
    </row>
    <row r="10" spans="1:10" x14ac:dyDescent="0.15">
      <c r="A10" s="3" t="s">
        <v>38</v>
      </c>
      <c r="B10" s="3" t="s">
        <v>51</v>
      </c>
      <c r="C10" s="13" t="str">
        <f t="shared" si="0"/>
        <v>MINI</v>
      </c>
      <c r="D10" s="3">
        <f t="shared" si="1"/>
        <v>5</v>
      </c>
      <c r="E10" s="3" t="str">
        <f t="shared" si="2"/>
        <v>Đà Lạt</v>
      </c>
      <c r="F10" s="3">
        <f t="shared" si="3"/>
        <v>3</v>
      </c>
      <c r="G10" s="4">
        <f t="shared" si="4"/>
        <v>15</v>
      </c>
      <c r="H10" s="3">
        <f t="shared" si="5"/>
        <v>5</v>
      </c>
      <c r="I10" s="3">
        <f t="shared" si="6"/>
        <v>35</v>
      </c>
      <c r="J10" s="3">
        <f t="shared" si="7"/>
        <v>633500</v>
      </c>
    </row>
    <row r="11" spans="1:10" x14ac:dyDescent="0.15">
      <c r="A11" s="3" t="s">
        <v>39</v>
      </c>
      <c r="B11" s="3" t="s">
        <v>52</v>
      </c>
      <c r="C11" s="13" t="str">
        <f t="shared" si="0"/>
        <v>2SAO</v>
      </c>
      <c r="D11" s="3">
        <f t="shared" si="1"/>
        <v>12</v>
      </c>
      <c r="E11" s="3" t="str">
        <f t="shared" si="2"/>
        <v>Đà Lạt</v>
      </c>
      <c r="F11" s="3">
        <f t="shared" si="3"/>
        <v>3</v>
      </c>
      <c r="G11" s="4">
        <f t="shared" si="4"/>
        <v>15</v>
      </c>
      <c r="H11" s="3">
        <f t="shared" si="5"/>
        <v>5</v>
      </c>
      <c r="I11" s="3">
        <f t="shared" si="6"/>
        <v>56</v>
      </c>
      <c r="J11" s="3">
        <f t="shared" si="7"/>
        <v>1013600</v>
      </c>
    </row>
    <row r="12" spans="1:10" x14ac:dyDescent="0.15">
      <c r="A12" s="3" t="s">
        <v>40</v>
      </c>
      <c r="B12" s="3" t="s">
        <v>53</v>
      </c>
      <c r="C12" s="13" t="str">
        <f t="shared" si="0"/>
        <v>2SAO</v>
      </c>
      <c r="D12" s="3">
        <f t="shared" si="1"/>
        <v>12</v>
      </c>
      <c r="E12" s="3" t="str">
        <f t="shared" si="2"/>
        <v>Đà Lạt</v>
      </c>
      <c r="F12" s="3">
        <f t="shared" si="3"/>
        <v>3</v>
      </c>
      <c r="G12" s="4">
        <f t="shared" si="4"/>
        <v>15</v>
      </c>
      <c r="H12" s="3">
        <f t="shared" si="5"/>
        <v>5</v>
      </c>
      <c r="I12" s="3">
        <f t="shared" si="6"/>
        <v>56</v>
      </c>
      <c r="J12" s="3">
        <f t="shared" si="7"/>
        <v>1013600</v>
      </c>
    </row>
    <row r="13" spans="1:10" x14ac:dyDescent="0.15">
      <c r="A13" s="3" t="s">
        <v>41</v>
      </c>
      <c r="B13" s="3" t="s">
        <v>54</v>
      </c>
      <c r="C13" s="13" t="str">
        <f t="shared" si="0"/>
        <v>3SAO</v>
      </c>
      <c r="D13" s="3">
        <f t="shared" si="1"/>
        <v>17</v>
      </c>
      <c r="E13" s="3" t="str">
        <f t="shared" si="2"/>
        <v>Đà Lạt</v>
      </c>
      <c r="F13" s="3">
        <f t="shared" si="3"/>
        <v>3</v>
      </c>
      <c r="G13" s="4">
        <f t="shared" si="4"/>
        <v>15</v>
      </c>
      <c r="H13" s="3">
        <f t="shared" si="5"/>
        <v>5</v>
      </c>
      <c r="I13" s="3">
        <f t="shared" si="6"/>
        <v>71</v>
      </c>
      <c r="J13" s="3">
        <f t="shared" si="7"/>
        <v>1285100</v>
      </c>
    </row>
    <row r="14" spans="1:10" x14ac:dyDescent="0.15">
      <c r="A14" s="3" t="s">
        <v>42</v>
      </c>
      <c r="B14" s="3" t="s">
        <v>55</v>
      </c>
      <c r="C14" s="13" t="str">
        <f t="shared" si="0"/>
        <v>1SAO</v>
      </c>
      <c r="D14" s="3">
        <f t="shared" si="1"/>
        <v>8</v>
      </c>
      <c r="E14" s="3" t="str">
        <f t="shared" si="2"/>
        <v>Huế</v>
      </c>
      <c r="F14" s="3">
        <f t="shared" si="3"/>
        <v>6</v>
      </c>
      <c r="G14" s="4">
        <f t="shared" si="4"/>
        <v>27</v>
      </c>
      <c r="H14" s="3">
        <f t="shared" si="5"/>
        <v>10</v>
      </c>
      <c r="I14" s="3">
        <f t="shared" si="6"/>
        <v>85</v>
      </c>
      <c r="J14" s="3">
        <f t="shared" si="7"/>
        <v>1538500</v>
      </c>
    </row>
    <row r="15" spans="1:10" x14ac:dyDescent="0.15">
      <c r="A15" s="3" t="s">
        <v>43</v>
      </c>
      <c r="B15" s="3" t="s">
        <v>56</v>
      </c>
      <c r="C15" s="13" t="str">
        <f t="shared" si="0"/>
        <v>3SAO</v>
      </c>
      <c r="D15" s="3">
        <f t="shared" si="1"/>
        <v>17</v>
      </c>
      <c r="E15" s="3" t="str">
        <f t="shared" si="2"/>
        <v>Huế</v>
      </c>
      <c r="F15" s="3">
        <f t="shared" si="3"/>
        <v>6</v>
      </c>
      <c r="G15" s="4">
        <f t="shared" si="4"/>
        <v>27</v>
      </c>
      <c r="H15" s="3">
        <f t="shared" si="5"/>
        <v>10</v>
      </c>
      <c r="I15" s="3">
        <f t="shared" si="6"/>
        <v>139</v>
      </c>
      <c r="J15" s="3">
        <f t="shared" si="7"/>
        <v>2515900</v>
      </c>
    </row>
    <row r="16" spans="1:10" x14ac:dyDescent="0.15">
      <c r="A16" s="3" t="s">
        <v>44</v>
      </c>
      <c r="B16" s="3" t="s">
        <v>57</v>
      </c>
      <c r="C16" s="13" t="str">
        <f t="shared" si="0"/>
        <v>3SAO</v>
      </c>
      <c r="D16" s="3">
        <f t="shared" si="1"/>
        <v>17</v>
      </c>
      <c r="E16" s="3" t="str">
        <f t="shared" si="2"/>
        <v>Huế</v>
      </c>
      <c r="F16" s="3">
        <f t="shared" si="3"/>
        <v>6</v>
      </c>
      <c r="G16" s="4">
        <f t="shared" si="4"/>
        <v>27</v>
      </c>
      <c r="H16" s="3">
        <f t="shared" si="5"/>
        <v>10</v>
      </c>
      <c r="I16" s="3">
        <f t="shared" si="6"/>
        <v>139</v>
      </c>
      <c r="J16" s="3">
        <f t="shared" si="7"/>
        <v>2515900</v>
      </c>
    </row>
    <row r="17" spans="1:10" x14ac:dyDescent="0.15">
      <c r="A17" s="3" t="s">
        <v>45</v>
      </c>
      <c r="B17" s="3" t="s">
        <v>58</v>
      </c>
      <c r="C17" s="13" t="str">
        <f t="shared" si="0"/>
        <v>2SAO</v>
      </c>
      <c r="D17" s="3">
        <f t="shared" si="1"/>
        <v>12</v>
      </c>
      <c r="E17" s="3" t="str">
        <f t="shared" si="2"/>
        <v>Huế</v>
      </c>
      <c r="F17" s="3">
        <f t="shared" si="3"/>
        <v>6</v>
      </c>
      <c r="G17" s="4">
        <f t="shared" si="4"/>
        <v>27</v>
      </c>
      <c r="H17" s="3">
        <f t="shared" si="5"/>
        <v>10</v>
      </c>
      <c r="I17" s="3">
        <f t="shared" si="6"/>
        <v>109</v>
      </c>
      <c r="J17" s="3">
        <f t="shared" si="7"/>
        <v>1972900</v>
      </c>
    </row>
    <row r="20" spans="1:10" x14ac:dyDescent="0.15">
      <c r="A20" s="5" t="s">
        <v>21</v>
      </c>
      <c r="D20" s="1" t="s">
        <v>25</v>
      </c>
    </row>
    <row r="21" spans="1:10" ht="39" x14ac:dyDescent="0.15">
      <c r="A21" s="7" t="s">
        <v>29</v>
      </c>
      <c r="B21" s="8" t="s">
        <v>30</v>
      </c>
      <c r="D21" s="8" t="s">
        <v>66</v>
      </c>
      <c r="E21" s="85" t="s">
        <v>31</v>
      </c>
      <c r="F21" s="86"/>
      <c r="G21" s="8" t="s">
        <v>67</v>
      </c>
      <c r="H21" s="8" t="s">
        <v>68</v>
      </c>
    </row>
    <row r="22" spans="1:10" x14ac:dyDescent="0.15">
      <c r="A22" s="6" t="s">
        <v>62</v>
      </c>
      <c r="B22" s="3">
        <v>5</v>
      </c>
      <c r="D22" s="3" t="s">
        <v>69</v>
      </c>
      <c r="E22" s="87" t="s">
        <v>70</v>
      </c>
      <c r="F22" s="88"/>
      <c r="G22" s="4">
        <v>3</v>
      </c>
      <c r="H22" s="3">
        <v>15</v>
      </c>
    </row>
    <row r="23" spans="1:10" x14ac:dyDescent="0.15">
      <c r="A23" s="6" t="s">
        <v>63</v>
      </c>
      <c r="B23" s="3">
        <v>8</v>
      </c>
      <c r="D23" s="6" t="s">
        <v>71</v>
      </c>
      <c r="E23" s="87" t="s">
        <v>72</v>
      </c>
      <c r="F23" s="88"/>
      <c r="G23" s="4">
        <v>4</v>
      </c>
      <c r="H23" s="3">
        <v>22</v>
      </c>
    </row>
    <row r="24" spans="1:10" x14ac:dyDescent="0.15">
      <c r="A24" s="6" t="s">
        <v>64</v>
      </c>
      <c r="B24" s="3">
        <v>12</v>
      </c>
      <c r="D24" s="6" t="s">
        <v>73</v>
      </c>
      <c r="E24" s="82" t="s">
        <v>74</v>
      </c>
      <c r="F24" s="83"/>
      <c r="G24" s="4">
        <v>6</v>
      </c>
      <c r="H24" s="3">
        <v>27</v>
      </c>
    </row>
    <row r="25" spans="1:10" x14ac:dyDescent="0.15">
      <c r="A25" s="6" t="s">
        <v>65</v>
      </c>
      <c r="B25" s="3">
        <v>17</v>
      </c>
    </row>
    <row r="28" spans="1:10" ht="16" x14ac:dyDescent="0.2">
      <c r="A28" s="31" t="s">
        <v>75</v>
      </c>
    </row>
    <row r="29" spans="1:10" x14ac:dyDescent="0.15">
      <c r="A29" s="16" t="s">
        <v>504</v>
      </c>
      <c r="B29" s="12"/>
      <c r="C29" s="12"/>
      <c r="D29" s="12"/>
      <c r="E29" s="12"/>
    </row>
    <row r="30" spans="1:10" x14ac:dyDescent="0.15">
      <c r="A30" s="16" t="s">
        <v>505</v>
      </c>
      <c r="B30" s="12"/>
      <c r="C30" s="12"/>
      <c r="D30" s="12"/>
      <c r="E30" s="12"/>
    </row>
    <row r="31" spans="1:10" x14ac:dyDescent="0.15">
      <c r="A31" s="16" t="s">
        <v>506</v>
      </c>
      <c r="B31" s="12"/>
      <c r="C31" s="12"/>
      <c r="D31" s="12"/>
      <c r="E31" s="12"/>
    </row>
    <row r="32" spans="1:10" x14ac:dyDescent="0.15">
      <c r="A32" s="16" t="s">
        <v>507</v>
      </c>
      <c r="B32" s="12"/>
      <c r="C32" s="12"/>
      <c r="D32" s="12"/>
      <c r="E32" s="12"/>
    </row>
    <row r="33" spans="1:5" x14ac:dyDescent="0.15">
      <c r="A33" s="16" t="s">
        <v>508</v>
      </c>
      <c r="B33" s="12"/>
      <c r="C33" s="12"/>
      <c r="D33" s="12"/>
      <c r="E33" s="12"/>
    </row>
    <row r="34" spans="1:5" x14ac:dyDescent="0.15">
      <c r="A34" s="16" t="s">
        <v>511</v>
      </c>
      <c r="B34" s="12"/>
      <c r="C34" s="12"/>
      <c r="D34" s="12"/>
      <c r="E34" s="12"/>
    </row>
    <row r="35" spans="1:5" x14ac:dyDescent="0.15">
      <c r="A35" s="16" t="s">
        <v>509</v>
      </c>
      <c r="B35" s="12"/>
      <c r="C35" s="12"/>
      <c r="D35" s="12"/>
      <c r="E35" s="12"/>
    </row>
    <row r="36" spans="1:5" x14ac:dyDescent="0.15">
      <c r="A36" s="16" t="s">
        <v>510</v>
      </c>
      <c r="B36" s="12"/>
      <c r="C36" s="12"/>
      <c r="D36" s="12"/>
      <c r="E36" s="12"/>
    </row>
    <row r="40" spans="1:5" ht="16" x14ac:dyDescent="0.2">
      <c r="A40" s="18"/>
    </row>
    <row r="47" spans="1:5" x14ac:dyDescent="0.15">
      <c r="A47" s="9"/>
      <c r="B47" s="9"/>
      <c r="C47" s="9"/>
    </row>
    <row r="48" spans="1:5" x14ac:dyDescent="0.15">
      <c r="A48" s="9"/>
      <c r="B48" s="9"/>
      <c r="C48" s="9"/>
    </row>
    <row r="49" spans="1:3" x14ac:dyDescent="0.15">
      <c r="A49" s="9"/>
      <c r="B49" s="9"/>
      <c r="C49" s="9"/>
    </row>
  </sheetData>
  <mergeCells count="5">
    <mergeCell ref="E24:F24"/>
    <mergeCell ref="A1:J1"/>
    <mergeCell ref="E21:F21"/>
    <mergeCell ref="E22:F22"/>
    <mergeCell ref="E23:F23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7"/>
  <sheetViews>
    <sheetView workbookViewId="0">
      <selection activeCell="H2" sqref="H2"/>
    </sheetView>
  </sheetViews>
  <sheetFormatPr baseColWidth="10" defaultColWidth="9.1640625" defaultRowHeight="13" x14ac:dyDescent="0.15"/>
  <cols>
    <col min="1" max="1" width="8.1640625" style="23" customWidth="1"/>
    <col min="2" max="2" width="13.33203125" style="23" customWidth="1"/>
    <col min="3" max="3" width="6.6640625" style="23" customWidth="1"/>
    <col min="4" max="4" width="9.5" style="23" customWidth="1"/>
    <col min="5" max="5" width="8" style="23" bestFit="1" customWidth="1"/>
    <col min="6" max="6" width="9.33203125" style="23" customWidth="1"/>
    <col min="7" max="7" width="9" style="23" customWidth="1"/>
    <col min="8" max="8" width="11.5" style="23" customWidth="1"/>
    <col min="9" max="10" width="8.5" style="23" customWidth="1"/>
    <col min="11" max="16384" width="9.1640625" style="23"/>
  </cols>
  <sheetData>
    <row r="1" spans="1:11" ht="23" x14ac:dyDescent="0.15">
      <c r="A1" s="90" t="s">
        <v>113</v>
      </c>
      <c r="B1" s="90"/>
      <c r="C1" s="90"/>
      <c r="D1" s="90"/>
      <c r="E1" s="90"/>
      <c r="F1" s="90"/>
      <c r="G1" s="90"/>
      <c r="H1" s="90"/>
      <c r="I1" s="90"/>
      <c r="J1" s="90"/>
    </row>
    <row r="2" spans="1:11" ht="26" x14ac:dyDescent="0.15">
      <c r="A2" s="8" t="s">
        <v>77</v>
      </c>
      <c r="B2" s="8" t="s">
        <v>78</v>
      </c>
      <c r="C2" s="8" t="s">
        <v>97</v>
      </c>
      <c r="D2" s="8" t="s">
        <v>98</v>
      </c>
      <c r="E2" s="8" t="s">
        <v>99</v>
      </c>
      <c r="F2" s="8" t="s">
        <v>81</v>
      </c>
      <c r="G2" s="8" t="s">
        <v>100</v>
      </c>
      <c r="H2" s="8" t="s">
        <v>101</v>
      </c>
      <c r="I2" s="51" t="s">
        <v>644</v>
      </c>
      <c r="J2" s="8" t="s">
        <v>643</v>
      </c>
      <c r="K2" s="40"/>
    </row>
    <row r="3" spans="1:11" hidden="1" x14ac:dyDescent="0.15">
      <c r="A3" s="13" t="s">
        <v>88</v>
      </c>
      <c r="B3" s="13" t="s">
        <v>95</v>
      </c>
      <c r="C3" s="14" t="str">
        <f t="shared" ref="C3:C9" si="0">MID(A3,3,1)</f>
        <v>K</v>
      </c>
      <c r="D3" s="14" t="str">
        <f t="shared" ref="D3:D9" si="1">VLOOKUP(C3,$A$15:$C$17,2,0)</f>
        <v>Tham khảo</v>
      </c>
      <c r="E3" s="14">
        <v>450</v>
      </c>
      <c r="F3" s="14">
        <f t="shared" ref="F3:F9" si="2">VLOOKUP(C3,$A$15:$C$17,3,0)</f>
        <v>3000</v>
      </c>
      <c r="G3" s="14">
        <f t="shared" ref="G3:G9" si="3">E3*F3</f>
        <v>1350000</v>
      </c>
      <c r="H3" s="14">
        <f t="shared" ref="H3:H9" si="4">HLOOKUP(E3,$G$14:$J$15,2,1)</f>
        <v>50000</v>
      </c>
      <c r="I3" s="14">
        <f t="shared" ref="I3:I9" si="5">IF(LEFT(A3,1)="A",G3*8%,IF(LEFT(A3,1)="B",G3*5%,0))</f>
        <v>0</v>
      </c>
      <c r="J3" s="14">
        <f t="shared" ref="J3:J9" si="6">G3-I3+H3</f>
        <v>1400000</v>
      </c>
    </row>
    <row r="4" spans="1:11" hidden="1" x14ac:dyDescent="0.15">
      <c r="A4" s="13" t="s">
        <v>86</v>
      </c>
      <c r="B4" s="13" t="s">
        <v>93</v>
      </c>
      <c r="C4" s="14" t="str">
        <f t="shared" si="0"/>
        <v>K</v>
      </c>
      <c r="D4" s="14" t="str">
        <f t="shared" si="1"/>
        <v>Tham khảo</v>
      </c>
      <c r="E4" s="14">
        <v>600</v>
      </c>
      <c r="F4" s="14">
        <f t="shared" si="2"/>
        <v>3000</v>
      </c>
      <c r="G4" s="14">
        <f t="shared" si="3"/>
        <v>1800000</v>
      </c>
      <c r="H4" s="14">
        <f t="shared" si="4"/>
        <v>50000</v>
      </c>
      <c r="I4" s="14">
        <f t="shared" si="5"/>
        <v>90000</v>
      </c>
      <c r="J4" s="14">
        <f t="shared" si="6"/>
        <v>1760000</v>
      </c>
    </row>
    <row r="5" spans="1:11" hidden="1" x14ac:dyDescent="0.15">
      <c r="A5" s="13" t="s">
        <v>85</v>
      </c>
      <c r="B5" s="13" t="s">
        <v>92</v>
      </c>
      <c r="C5" s="14" t="str">
        <f t="shared" si="0"/>
        <v>T</v>
      </c>
      <c r="D5" s="14" t="str">
        <f t="shared" si="1"/>
        <v>Truyện</v>
      </c>
      <c r="E5" s="14">
        <v>700</v>
      </c>
      <c r="F5" s="14">
        <f t="shared" si="2"/>
        <v>3500</v>
      </c>
      <c r="G5" s="14">
        <f t="shared" si="3"/>
        <v>2450000</v>
      </c>
      <c r="H5" s="14">
        <f t="shared" si="4"/>
        <v>50000</v>
      </c>
      <c r="I5" s="14">
        <f t="shared" si="5"/>
        <v>0</v>
      </c>
      <c r="J5" s="14">
        <f t="shared" si="6"/>
        <v>2500000</v>
      </c>
    </row>
    <row r="6" spans="1:11" x14ac:dyDescent="0.15">
      <c r="A6" s="13" t="s">
        <v>83</v>
      </c>
      <c r="B6" s="13" t="s">
        <v>90</v>
      </c>
      <c r="C6" s="14" t="str">
        <f t="shared" si="0"/>
        <v>G</v>
      </c>
      <c r="D6" s="14" t="str">
        <f t="shared" si="1"/>
        <v>Giáo khoa</v>
      </c>
      <c r="E6" s="14">
        <v>1500</v>
      </c>
      <c r="F6" s="14">
        <f t="shared" si="2"/>
        <v>2800</v>
      </c>
      <c r="G6" s="14">
        <f t="shared" si="3"/>
        <v>4200000</v>
      </c>
      <c r="H6" s="14">
        <f t="shared" si="4"/>
        <v>15000</v>
      </c>
      <c r="I6" s="14">
        <f t="shared" si="5"/>
        <v>336000</v>
      </c>
      <c r="J6" s="14">
        <f t="shared" si="6"/>
        <v>3879000</v>
      </c>
    </row>
    <row r="7" spans="1:11" hidden="1" x14ac:dyDescent="0.15">
      <c r="A7" s="13" t="s">
        <v>89</v>
      </c>
      <c r="B7" s="13" t="s">
        <v>96</v>
      </c>
      <c r="C7" s="14" t="str">
        <f t="shared" si="0"/>
        <v>T</v>
      </c>
      <c r="D7" s="14" t="str">
        <f t="shared" si="1"/>
        <v>Truyện</v>
      </c>
      <c r="E7" s="14">
        <v>1500</v>
      </c>
      <c r="F7" s="14">
        <f t="shared" si="2"/>
        <v>3500</v>
      </c>
      <c r="G7" s="14">
        <f t="shared" si="3"/>
        <v>5250000</v>
      </c>
      <c r="H7" s="14">
        <f t="shared" si="4"/>
        <v>15000</v>
      </c>
      <c r="I7" s="14">
        <f t="shared" si="5"/>
        <v>0</v>
      </c>
      <c r="J7" s="14">
        <f t="shared" si="6"/>
        <v>5265000</v>
      </c>
    </row>
    <row r="8" spans="1:11" x14ac:dyDescent="0.15">
      <c r="A8" s="13" t="s">
        <v>87</v>
      </c>
      <c r="B8" s="13" t="s">
        <v>94</v>
      </c>
      <c r="C8" s="14" t="str">
        <f t="shared" si="0"/>
        <v>G</v>
      </c>
      <c r="D8" s="14" t="str">
        <f t="shared" si="1"/>
        <v>Giáo khoa</v>
      </c>
      <c r="E8" s="14">
        <v>2000</v>
      </c>
      <c r="F8" s="14">
        <f t="shared" si="2"/>
        <v>2800</v>
      </c>
      <c r="G8" s="14">
        <f t="shared" si="3"/>
        <v>5600000</v>
      </c>
      <c r="H8" s="14">
        <f t="shared" si="4"/>
        <v>15000</v>
      </c>
      <c r="I8" s="14">
        <f t="shared" si="5"/>
        <v>448000</v>
      </c>
      <c r="J8" s="14">
        <f t="shared" si="6"/>
        <v>5167000</v>
      </c>
    </row>
    <row r="9" spans="1:11" x14ac:dyDescent="0.15">
      <c r="A9" s="13" t="s">
        <v>84</v>
      </c>
      <c r="B9" s="13" t="s">
        <v>91</v>
      </c>
      <c r="C9" s="14" t="str">
        <f t="shared" si="0"/>
        <v>G</v>
      </c>
      <c r="D9" s="14" t="str">
        <f t="shared" si="1"/>
        <v>Giáo khoa</v>
      </c>
      <c r="E9" s="14">
        <v>2100</v>
      </c>
      <c r="F9" s="14">
        <f t="shared" si="2"/>
        <v>2800</v>
      </c>
      <c r="G9" s="14">
        <f t="shared" si="3"/>
        <v>5880000</v>
      </c>
      <c r="H9" s="14">
        <f t="shared" si="4"/>
        <v>15000</v>
      </c>
      <c r="I9" s="14">
        <f t="shared" si="5"/>
        <v>470400</v>
      </c>
      <c r="J9" s="14">
        <f t="shared" si="6"/>
        <v>5424600</v>
      </c>
    </row>
    <row r="13" spans="1:11" x14ac:dyDescent="0.15">
      <c r="A13" s="89" t="s">
        <v>102</v>
      </c>
      <c r="B13" s="89"/>
      <c r="C13" s="89"/>
      <c r="F13" s="91" t="s">
        <v>517</v>
      </c>
      <c r="G13" s="91"/>
      <c r="H13" s="91"/>
      <c r="I13" s="91"/>
      <c r="J13" s="91"/>
    </row>
    <row r="14" spans="1:11" x14ac:dyDescent="0.15">
      <c r="A14" s="11" t="s">
        <v>79</v>
      </c>
      <c r="B14" s="11" t="s">
        <v>80</v>
      </c>
      <c r="C14" s="11" t="s">
        <v>103</v>
      </c>
      <c r="F14" s="11" t="s">
        <v>110</v>
      </c>
      <c r="G14" s="14">
        <v>0</v>
      </c>
      <c r="H14" s="14">
        <v>1000</v>
      </c>
      <c r="I14" s="14"/>
      <c r="J14" s="14">
        <v>1500</v>
      </c>
    </row>
    <row r="15" spans="1:11" x14ac:dyDescent="0.15">
      <c r="A15" s="13" t="s">
        <v>104</v>
      </c>
      <c r="B15" s="13" t="s">
        <v>107</v>
      </c>
      <c r="C15" s="14">
        <v>2800</v>
      </c>
      <c r="F15" s="15" t="s">
        <v>111</v>
      </c>
      <c r="G15" s="14">
        <v>50000</v>
      </c>
      <c r="H15" s="14">
        <v>30000</v>
      </c>
      <c r="I15" s="14"/>
      <c r="J15" s="14">
        <v>15000</v>
      </c>
    </row>
    <row r="16" spans="1:11" x14ac:dyDescent="0.15">
      <c r="A16" s="13" t="s">
        <v>105</v>
      </c>
      <c r="B16" s="13" t="s">
        <v>108</v>
      </c>
      <c r="C16" s="14">
        <v>3500</v>
      </c>
    </row>
    <row r="17" spans="1:3" x14ac:dyDescent="0.15">
      <c r="A17" s="13" t="s">
        <v>106</v>
      </c>
      <c r="B17" s="13" t="s">
        <v>109</v>
      </c>
      <c r="C17" s="14">
        <v>3000</v>
      </c>
    </row>
    <row r="20" spans="1:3" ht="16" x14ac:dyDescent="0.2">
      <c r="A20" s="42" t="s">
        <v>75</v>
      </c>
    </row>
    <row r="21" spans="1:3" x14ac:dyDescent="0.15">
      <c r="A21" s="16" t="s">
        <v>512</v>
      </c>
    </row>
    <row r="22" spans="1:3" x14ac:dyDescent="0.15">
      <c r="A22" s="16" t="s">
        <v>513</v>
      </c>
    </row>
    <row r="23" spans="1:3" x14ac:dyDescent="0.15">
      <c r="A23" s="16" t="s">
        <v>514</v>
      </c>
    </row>
    <row r="24" spans="1:3" x14ac:dyDescent="0.15">
      <c r="A24" s="16" t="s">
        <v>515</v>
      </c>
    </row>
    <row r="25" spans="1:3" x14ac:dyDescent="0.15">
      <c r="A25" s="16" t="s">
        <v>516</v>
      </c>
    </row>
    <row r="26" spans="1:3" x14ac:dyDescent="0.15">
      <c r="A26" s="16" t="s">
        <v>518</v>
      </c>
    </row>
    <row r="27" spans="1:3" x14ac:dyDescent="0.15">
      <c r="A27" s="16" t="s">
        <v>519</v>
      </c>
    </row>
    <row r="28" spans="1:3" x14ac:dyDescent="0.15">
      <c r="A28" s="17" t="s">
        <v>520</v>
      </c>
    </row>
    <row r="29" spans="1:3" x14ac:dyDescent="0.15">
      <c r="A29" s="17" t="s">
        <v>521</v>
      </c>
    </row>
    <row r="30" spans="1:3" x14ac:dyDescent="0.15">
      <c r="A30" s="17" t="s">
        <v>112</v>
      </c>
    </row>
    <row r="31" spans="1:3" x14ac:dyDescent="0.15">
      <c r="A31" s="16" t="s">
        <v>522</v>
      </c>
    </row>
    <row r="32" spans="1:3" x14ac:dyDescent="0.15">
      <c r="A32" s="17" t="s">
        <v>523</v>
      </c>
    </row>
    <row r="33" spans="1:1" x14ac:dyDescent="0.15">
      <c r="A33" s="16" t="s">
        <v>524</v>
      </c>
    </row>
    <row r="34" spans="1:1" x14ac:dyDescent="0.15">
      <c r="A34" s="16" t="s">
        <v>525</v>
      </c>
    </row>
    <row r="37" spans="1:1" ht="16" x14ac:dyDescent="0.2">
      <c r="A37" s="42"/>
    </row>
    <row r="38" spans="1:1" x14ac:dyDescent="0.15">
      <c r="A38" s="41"/>
    </row>
    <row r="39" spans="1:1" x14ac:dyDescent="0.15">
      <c r="A39" s="41"/>
    </row>
    <row r="40" spans="1:1" x14ac:dyDescent="0.15">
      <c r="A40" s="41"/>
    </row>
    <row r="41" spans="1:1" x14ac:dyDescent="0.15">
      <c r="A41" s="43"/>
    </row>
    <row r="42" spans="1:1" x14ac:dyDescent="0.15">
      <c r="A42" s="41"/>
    </row>
    <row r="43" spans="1:1" x14ac:dyDescent="0.15">
      <c r="A43" s="41"/>
    </row>
    <row r="44" spans="1:1" x14ac:dyDescent="0.15">
      <c r="A44" s="41"/>
    </row>
    <row r="45" spans="1:1" x14ac:dyDescent="0.15">
      <c r="A45" s="41"/>
    </row>
    <row r="46" spans="1:1" x14ac:dyDescent="0.15">
      <c r="A46" s="41"/>
    </row>
    <row r="47" spans="1:1" x14ac:dyDescent="0.15">
      <c r="A47" s="41"/>
    </row>
  </sheetData>
  <autoFilter ref="A2:J9">
    <filterColumn colId="3">
      <filters>
        <filter val="Giáo khoa"/>
      </filters>
    </filterColumn>
    <sortState ref="A3:J9">
      <sortCondition ref="E2:E9"/>
    </sortState>
  </autoFilter>
  <mergeCells count="3">
    <mergeCell ref="A13:C13"/>
    <mergeCell ref="A1:J1"/>
    <mergeCell ref="F13:J13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K28" sqref="K28"/>
    </sheetView>
  </sheetViews>
  <sheetFormatPr baseColWidth="10" defaultColWidth="8.83203125" defaultRowHeight="13" x14ac:dyDescent="0.15"/>
  <sheetData>
    <row r="1" spans="1:10" x14ac:dyDescent="0.15">
      <c r="A1" s="12" t="s">
        <v>106</v>
      </c>
    </row>
    <row r="4" spans="1:10" ht="33" x14ac:dyDescent="0.35">
      <c r="D4" s="59" t="s">
        <v>113</v>
      </c>
    </row>
    <row r="6" spans="1:10" ht="26" x14ac:dyDescent="0.15">
      <c r="A6" s="51" t="s">
        <v>77</v>
      </c>
      <c r="B6" s="51" t="s">
        <v>78</v>
      </c>
      <c r="C6" s="51" t="s">
        <v>97</v>
      </c>
      <c r="D6" s="51" t="s">
        <v>98</v>
      </c>
      <c r="E6" s="51" t="s">
        <v>99</v>
      </c>
      <c r="F6" s="51" t="s">
        <v>81</v>
      </c>
      <c r="G6" s="51" t="s">
        <v>100</v>
      </c>
      <c r="H6" s="51" t="s">
        <v>101</v>
      </c>
      <c r="I6" s="51" t="s">
        <v>644</v>
      </c>
      <c r="J6" s="51" t="s">
        <v>643</v>
      </c>
    </row>
    <row r="7" spans="1:10" x14ac:dyDescent="0.15">
      <c r="A7" s="13" t="s">
        <v>83</v>
      </c>
      <c r="B7" s="13" t="s">
        <v>90</v>
      </c>
      <c r="C7" s="14" t="s">
        <v>104</v>
      </c>
      <c r="D7" s="14" t="s">
        <v>107</v>
      </c>
      <c r="E7" s="14">
        <v>1500</v>
      </c>
      <c r="F7" s="14">
        <v>2800</v>
      </c>
      <c r="G7" s="14">
        <v>4200000</v>
      </c>
      <c r="H7" s="14">
        <v>15000</v>
      </c>
      <c r="I7" s="14">
        <v>336000</v>
      </c>
      <c r="J7" s="14">
        <v>3879000</v>
      </c>
    </row>
    <row r="8" spans="1:10" x14ac:dyDescent="0.15">
      <c r="A8" s="13" t="s">
        <v>87</v>
      </c>
      <c r="B8" s="13" t="s">
        <v>94</v>
      </c>
      <c r="C8" s="14" t="s">
        <v>104</v>
      </c>
      <c r="D8" s="14" t="s">
        <v>107</v>
      </c>
      <c r="E8" s="14">
        <v>2000</v>
      </c>
      <c r="F8" s="14">
        <v>2800</v>
      </c>
      <c r="G8" s="14">
        <v>5600000</v>
      </c>
      <c r="H8" s="14">
        <v>15000</v>
      </c>
      <c r="I8" s="14">
        <v>448000</v>
      </c>
      <c r="J8" s="14">
        <v>5167000</v>
      </c>
    </row>
    <row r="9" spans="1:10" x14ac:dyDescent="0.15">
      <c r="A9" s="13" t="s">
        <v>84</v>
      </c>
      <c r="B9" s="13" t="s">
        <v>91</v>
      </c>
      <c r="C9" s="14" t="s">
        <v>104</v>
      </c>
      <c r="D9" s="14" t="s">
        <v>107</v>
      </c>
      <c r="E9" s="14">
        <v>2100</v>
      </c>
      <c r="F9" s="14">
        <v>2800</v>
      </c>
      <c r="G9" s="14">
        <v>5880000</v>
      </c>
      <c r="H9" s="14">
        <v>15000</v>
      </c>
      <c r="I9" s="14">
        <v>470400</v>
      </c>
      <c r="J9" s="14">
        <v>5424600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4" sqref="G4"/>
    </sheetView>
  </sheetViews>
  <sheetFormatPr baseColWidth="10" defaultColWidth="8.83203125" defaultRowHeight="13" x14ac:dyDescent="0.15"/>
  <cols>
    <col min="1" max="1" width="4.5" bestFit="1" customWidth="1"/>
    <col min="4" max="4" width="11.5" customWidth="1"/>
    <col min="5" max="5" width="9.33203125" customWidth="1"/>
  </cols>
  <sheetData>
    <row r="1" spans="1:14" ht="20" x14ac:dyDescent="0.2">
      <c r="A1" s="93" t="s">
        <v>149</v>
      </c>
      <c r="B1" s="93"/>
      <c r="C1" s="93"/>
      <c r="D1" s="93"/>
      <c r="E1" s="93"/>
      <c r="F1" s="93"/>
      <c r="G1" s="93"/>
      <c r="H1" s="93"/>
      <c r="I1" s="93"/>
      <c r="J1" s="93"/>
    </row>
    <row r="2" spans="1:14" ht="26" x14ac:dyDescent="0.15">
      <c r="A2" s="8" t="s">
        <v>114</v>
      </c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8" t="s">
        <v>120</v>
      </c>
      <c r="H2" s="8" t="s">
        <v>82</v>
      </c>
      <c r="I2" s="8" t="s">
        <v>121</v>
      </c>
      <c r="J2" s="8" t="s">
        <v>122</v>
      </c>
    </row>
    <row r="3" spans="1:14" x14ac:dyDescent="0.15">
      <c r="A3" s="20">
        <v>4</v>
      </c>
      <c r="B3" s="45" t="s">
        <v>126</v>
      </c>
      <c r="C3" s="14" t="str">
        <f t="shared" ref="C3:C12" si="0">LEFT(B3,2)</f>
        <v>DG</v>
      </c>
      <c r="D3" s="14" t="str">
        <f t="shared" ref="D3:D12" si="1">VLOOKUP(C3,$B$21:$D$25,2,0)</f>
        <v>Đường</v>
      </c>
      <c r="E3" s="14" t="str">
        <f t="shared" ref="E3:E12" si="2">MID(B3,3,1)</f>
        <v>1</v>
      </c>
      <c r="F3" s="14">
        <v>47</v>
      </c>
      <c r="G3" s="14">
        <f t="shared" ref="G3:G12" si="3">VLOOKUP(C3,$B$21:$D$25,3,0)</f>
        <v>5000</v>
      </c>
      <c r="H3" s="14">
        <f t="shared" ref="H3:H12" si="4">F3*G3</f>
        <v>235000</v>
      </c>
      <c r="I3" s="14">
        <f t="shared" ref="I3:I12" si="5">IF(LEFT(B3,2)="TH",H3*20%,IF(LEFT(B3,2)="RU",H3*10%,0))</f>
        <v>0</v>
      </c>
      <c r="J3" s="14">
        <f t="shared" ref="J3:J12" si="6">H3+I3</f>
        <v>235000</v>
      </c>
    </row>
    <row r="4" spans="1:14" x14ac:dyDescent="0.15">
      <c r="A4" s="20">
        <v>6</v>
      </c>
      <c r="B4" s="45" t="s">
        <v>128</v>
      </c>
      <c r="C4" s="14" t="str">
        <f t="shared" si="0"/>
        <v>RU</v>
      </c>
      <c r="D4" s="14" t="str">
        <f t="shared" si="1"/>
        <v>Rượu</v>
      </c>
      <c r="E4" s="14" t="str">
        <f t="shared" si="2"/>
        <v>1</v>
      </c>
      <c r="F4" s="14">
        <v>90</v>
      </c>
      <c r="G4" s="14">
        <f>VLOOKUP(C4,$B$21:$D$25,3,0)</f>
        <v>150000</v>
      </c>
      <c r="H4" s="14">
        <f t="shared" si="4"/>
        <v>13500000</v>
      </c>
      <c r="I4" s="14">
        <f t="shared" si="5"/>
        <v>1350000</v>
      </c>
      <c r="J4" s="14">
        <f t="shared" si="6"/>
        <v>14850000</v>
      </c>
    </row>
    <row r="5" spans="1:14" x14ac:dyDescent="0.15">
      <c r="A5" s="20">
        <v>1</v>
      </c>
      <c r="B5" s="44" t="s">
        <v>123</v>
      </c>
      <c r="C5" s="14" t="str">
        <f t="shared" si="0"/>
        <v>SB</v>
      </c>
      <c r="D5" s="14" t="str">
        <f t="shared" si="1"/>
        <v>Sữa bột</v>
      </c>
      <c r="E5" s="14" t="str">
        <f t="shared" si="2"/>
        <v>2</v>
      </c>
      <c r="F5" s="14">
        <v>50</v>
      </c>
      <c r="G5" s="14">
        <f t="shared" si="3"/>
        <v>25000</v>
      </c>
      <c r="H5" s="14">
        <f t="shared" si="4"/>
        <v>1250000</v>
      </c>
      <c r="I5" s="14">
        <f t="shared" si="5"/>
        <v>0</v>
      </c>
      <c r="J5" s="14">
        <f t="shared" si="6"/>
        <v>1250000</v>
      </c>
    </row>
    <row r="6" spans="1:14" x14ac:dyDescent="0.15">
      <c r="A6" s="20">
        <v>5</v>
      </c>
      <c r="B6" s="45" t="s">
        <v>127</v>
      </c>
      <c r="C6" s="14" t="str">
        <f t="shared" si="0"/>
        <v>DG</v>
      </c>
      <c r="D6" s="14" t="str">
        <f t="shared" si="1"/>
        <v>Đường</v>
      </c>
      <c r="E6" s="14" t="str">
        <f t="shared" si="2"/>
        <v>2</v>
      </c>
      <c r="F6" s="14">
        <v>80</v>
      </c>
      <c r="G6" s="14">
        <f t="shared" si="3"/>
        <v>5000</v>
      </c>
      <c r="H6" s="14">
        <f t="shared" si="4"/>
        <v>400000</v>
      </c>
      <c r="I6" s="14">
        <f t="shared" si="5"/>
        <v>0</v>
      </c>
      <c r="J6" s="14">
        <f t="shared" si="6"/>
        <v>400000</v>
      </c>
    </row>
    <row r="7" spans="1:14" x14ac:dyDescent="0.15">
      <c r="A7" s="20">
        <v>9</v>
      </c>
      <c r="B7" s="45" t="s">
        <v>131</v>
      </c>
      <c r="C7" s="14" t="str">
        <f t="shared" si="0"/>
        <v>RU</v>
      </c>
      <c r="D7" s="14" t="str">
        <f t="shared" si="1"/>
        <v>Rượu</v>
      </c>
      <c r="E7" s="14" t="str">
        <f t="shared" si="2"/>
        <v>2</v>
      </c>
      <c r="F7" s="14">
        <v>50</v>
      </c>
      <c r="G7" s="14">
        <f t="shared" si="3"/>
        <v>150000</v>
      </c>
      <c r="H7" s="14">
        <f t="shared" si="4"/>
        <v>7500000</v>
      </c>
      <c r="I7" s="14">
        <f t="shared" si="5"/>
        <v>750000</v>
      </c>
      <c r="J7" s="14">
        <f t="shared" si="6"/>
        <v>8250000</v>
      </c>
    </row>
    <row r="8" spans="1:14" x14ac:dyDescent="0.15">
      <c r="A8" s="20">
        <v>8</v>
      </c>
      <c r="B8" s="45" t="s">
        <v>130</v>
      </c>
      <c r="C8" s="14" t="str">
        <f t="shared" si="0"/>
        <v>SB</v>
      </c>
      <c r="D8" s="14" t="str">
        <f t="shared" si="1"/>
        <v>Sữa bột</v>
      </c>
      <c r="E8" s="14" t="str">
        <f t="shared" si="2"/>
        <v>3</v>
      </c>
      <c r="F8" s="14">
        <v>48</v>
      </c>
      <c r="G8" s="14">
        <f t="shared" si="3"/>
        <v>25000</v>
      </c>
      <c r="H8" s="14">
        <f t="shared" si="4"/>
        <v>1200000</v>
      </c>
      <c r="I8" s="14">
        <f t="shared" si="5"/>
        <v>0</v>
      </c>
      <c r="J8" s="14">
        <f t="shared" si="6"/>
        <v>1200000</v>
      </c>
    </row>
    <row r="9" spans="1:14" x14ac:dyDescent="0.15">
      <c r="A9" s="20">
        <v>2</v>
      </c>
      <c r="B9" s="44" t="s">
        <v>124</v>
      </c>
      <c r="C9" s="14" t="str">
        <f t="shared" si="0"/>
        <v>TL</v>
      </c>
      <c r="D9" s="14" t="str">
        <f t="shared" si="1"/>
        <v>Thuốc lá</v>
      </c>
      <c r="E9" s="14" t="str">
        <f t="shared" si="2"/>
        <v>4</v>
      </c>
      <c r="F9" s="14">
        <v>100</v>
      </c>
      <c r="G9" s="14">
        <f t="shared" si="3"/>
        <v>10000</v>
      </c>
      <c r="H9" s="14">
        <f t="shared" si="4"/>
        <v>1000000</v>
      </c>
      <c r="I9" s="14">
        <f t="shared" si="5"/>
        <v>0</v>
      </c>
      <c r="J9" s="14">
        <f t="shared" si="6"/>
        <v>1000000</v>
      </c>
    </row>
    <row r="10" spans="1:14" x14ac:dyDescent="0.15">
      <c r="A10" s="20">
        <v>3</v>
      </c>
      <c r="B10" s="45" t="s">
        <v>125</v>
      </c>
      <c r="C10" s="14" t="str">
        <f t="shared" si="0"/>
        <v>SB</v>
      </c>
      <c r="D10" s="14" t="str">
        <f t="shared" si="1"/>
        <v>Sữa bột</v>
      </c>
      <c r="E10" s="14" t="str">
        <f t="shared" si="2"/>
        <v>4</v>
      </c>
      <c r="F10" s="14">
        <v>125</v>
      </c>
      <c r="G10" s="14">
        <f t="shared" si="3"/>
        <v>25000</v>
      </c>
      <c r="H10" s="14">
        <f t="shared" si="4"/>
        <v>3125000</v>
      </c>
      <c r="I10" s="14">
        <f t="shared" si="5"/>
        <v>0</v>
      </c>
      <c r="J10" s="14">
        <f t="shared" si="6"/>
        <v>3125000</v>
      </c>
    </row>
    <row r="11" spans="1:14" x14ac:dyDescent="0.15">
      <c r="A11" s="20">
        <v>7</v>
      </c>
      <c r="B11" s="45" t="s">
        <v>129</v>
      </c>
      <c r="C11" s="14" t="str">
        <f t="shared" si="0"/>
        <v>BN</v>
      </c>
      <c r="D11" s="14" t="str">
        <f t="shared" si="1"/>
        <v>Bột ngọt</v>
      </c>
      <c r="E11" s="14" t="str">
        <f t="shared" si="2"/>
        <v>5</v>
      </c>
      <c r="F11" s="14">
        <v>120</v>
      </c>
      <c r="G11" s="14">
        <f t="shared" si="3"/>
        <v>20000</v>
      </c>
      <c r="H11" s="14">
        <f t="shared" si="4"/>
        <v>2400000</v>
      </c>
      <c r="I11" s="14">
        <f t="shared" si="5"/>
        <v>0</v>
      </c>
      <c r="J11" s="14">
        <f t="shared" si="6"/>
        <v>2400000</v>
      </c>
    </row>
    <row r="12" spans="1:14" x14ac:dyDescent="0.15">
      <c r="A12" s="20">
        <v>10</v>
      </c>
      <c r="B12" s="45" t="s">
        <v>132</v>
      </c>
      <c r="C12" s="14" t="str">
        <f t="shared" si="0"/>
        <v>SB</v>
      </c>
      <c r="D12" s="14" t="str">
        <f t="shared" si="1"/>
        <v>Sữa bột</v>
      </c>
      <c r="E12" s="14" t="str">
        <f t="shared" si="2"/>
        <v>5</v>
      </c>
      <c r="F12" s="14">
        <v>60</v>
      </c>
      <c r="G12" s="14">
        <f t="shared" si="3"/>
        <v>25000</v>
      </c>
      <c r="H12" s="14">
        <f t="shared" si="4"/>
        <v>1500000</v>
      </c>
      <c r="I12" s="14">
        <f t="shared" si="5"/>
        <v>0</v>
      </c>
      <c r="J12" s="14">
        <f t="shared" si="6"/>
        <v>1500000</v>
      </c>
    </row>
    <row r="13" spans="1:14" x14ac:dyDescent="0.15">
      <c r="A13" s="92" t="s">
        <v>133</v>
      </c>
      <c r="B13" s="92"/>
      <c r="C13" s="92"/>
      <c r="D13" s="92"/>
      <c r="E13" s="92"/>
      <c r="F13" s="14">
        <f>SUM($H$3:$H$12)</f>
        <v>32110000</v>
      </c>
      <c r="G13" s="14"/>
      <c r="H13" s="14"/>
      <c r="I13" s="14"/>
      <c r="J13" s="14"/>
      <c r="N13" s="12"/>
    </row>
    <row r="14" spans="1:14" x14ac:dyDescent="0.15">
      <c r="A14" s="92" t="s">
        <v>134</v>
      </c>
      <c r="B14" s="92"/>
      <c r="C14" s="92"/>
      <c r="D14" s="92"/>
      <c r="E14" s="92"/>
      <c r="F14" s="14">
        <f>AVERAGE($H$3:$H$12)</f>
        <v>3211000</v>
      </c>
      <c r="G14" s="14"/>
      <c r="H14" s="14"/>
      <c r="I14" s="14"/>
      <c r="J14" s="14"/>
    </row>
    <row r="15" spans="1:14" x14ac:dyDescent="0.15">
      <c r="A15" s="92" t="s">
        <v>135</v>
      </c>
      <c r="B15" s="92"/>
      <c r="C15" s="92"/>
      <c r="D15" s="92"/>
      <c r="E15" s="92"/>
      <c r="F15" s="14">
        <f>MIN($H$3:$H$12)</f>
        <v>235000</v>
      </c>
      <c r="G15" s="14"/>
      <c r="H15" s="14"/>
      <c r="I15" s="14"/>
      <c r="J15" s="14"/>
    </row>
    <row r="16" spans="1:14" x14ac:dyDescent="0.15">
      <c r="A16" s="92" t="s">
        <v>136</v>
      </c>
      <c r="B16" s="92"/>
      <c r="C16" s="92"/>
      <c r="D16" s="92"/>
      <c r="E16" s="92"/>
      <c r="F16" s="14">
        <f>MAX($H$3:$H$12)</f>
        <v>13500000</v>
      </c>
      <c r="G16" s="14"/>
      <c r="H16" s="14"/>
      <c r="I16" s="14"/>
      <c r="J16" s="14"/>
    </row>
    <row r="17" spans="1:10" x14ac:dyDescent="0.15">
      <c r="A17" s="22"/>
      <c r="B17" s="22"/>
      <c r="C17" s="22"/>
      <c r="D17" s="22"/>
      <c r="E17" s="22"/>
      <c r="F17" s="23"/>
      <c r="G17" s="23"/>
      <c r="H17" s="23"/>
      <c r="I17" s="23"/>
      <c r="J17" s="23"/>
    </row>
    <row r="18" spans="1:10" x14ac:dyDescent="0.15">
      <c r="A18" s="94" t="s">
        <v>21</v>
      </c>
      <c r="B18" s="94"/>
      <c r="C18" s="94"/>
      <c r="D18" s="94"/>
      <c r="E18" s="94"/>
      <c r="G18" s="100" t="s">
        <v>148</v>
      </c>
      <c r="H18" s="100"/>
      <c r="I18" s="100"/>
      <c r="J18" s="100"/>
    </row>
    <row r="19" spans="1:10" x14ac:dyDescent="0.15">
      <c r="B19" s="98" t="s">
        <v>116</v>
      </c>
      <c r="C19" s="98" t="s">
        <v>117</v>
      </c>
      <c r="D19" s="98" t="s">
        <v>120</v>
      </c>
      <c r="G19" s="96" t="s">
        <v>140</v>
      </c>
      <c r="H19" s="7" t="s">
        <v>137</v>
      </c>
      <c r="I19" s="7" t="s">
        <v>138</v>
      </c>
      <c r="J19" s="7" t="s">
        <v>139</v>
      </c>
    </row>
    <row r="20" spans="1:10" x14ac:dyDescent="0.15">
      <c r="B20" s="99"/>
      <c r="C20" s="99"/>
      <c r="D20" s="99"/>
      <c r="G20" s="97"/>
      <c r="H20" s="14">
        <f>COUNTIF($C$3:$C$12,"SB")</f>
        <v>4</v>
      </c>
      <c r="I20" s="14">
        <f>COUNTIF($C$3:$C$12,"DG")</f>
        <v>2</v>
      </c>
      <c r="J20" s="14">
        <f>COUNTIF($B$21:$D$25,"BN")</f>
        <v>1</v>
      </c>
    </row>
    <row r="21" spans="1:10" x14ac:dyDescent="0.15">
      <c r="B21" s="13" t="s">
        <v>141</v>
      </c>
      <c r="C21" s="13" t="s">
        <v>137</v>
      </c>
      <c r="D21" s="14">
        <v>25000</v>
      </c>
    </row>
    <row r="22" spans="1:10" x14ac:dyDescent="0.15">
      <c r="B22" s="13" t="s">
        <v>142</v>
      </c>
      <c r="C22" s="13" t="s">
        <v>146</v>
      </c>
      <c r="D22" s="14">
        <v>10000</v>
      </c>
    </row>
    <row r="23" spans="1:10" x14ac:dyDescent="0.15">
      <c r="B23" s="13" t="s">
        <v>143</v>
      </c>
      <c r="C23" s="13" t="s">
        <v>138</v>
      </c>
      <c r="D23" s="14">
        <v>5000</v>
      </c>
    </row>
    <row r="24" spans="1:10" x14ac:dyDescent="0.15">
      <c r="B24" s="13" t="s">
        <v>144</v>
      </c>
      <c r="C24" s="13" t="s">
        <v>147</v>
      </c>
      <c r="D24" s="14">
        <v>150000</v>
      </c>
    </row>
    <row r="25" spans="1:10" x14ac:dyDescent="0.15">
      <c r="B25" s="13" t="s">
        <v>145</v>
      </c>
      <c r="C25" s="13" t="s">
        <v>139</v>
      </c>
      <c r="D25" s="14">
        <v>20000</v>
      </c>
    </row>
    <row r="27" spans="1:10" ht="16" x14ac:dyDescent="0.2">
      <c r="A27" s="18" t="s">
        <v>75</v>
      </c>
    </row>
    <row r="28" spans="1:10" x14ac:dyDescent="0.15">
      <c r="A28" s="12" t="s">
        <v>526</v>
      </c>
    </row>
    <row r="29" spans="1:10" x14ac:dyDescent="0.15">
      <c r="A29" s="12" t="s">
        <v>528</v>
      </c>
    </row>
    <row r="30" spans="1:10" x14ac:dyDescent="0.15">
      <c r="A30" s="16" t="s">
        <v>621</v>
      </c>
    </row>
    <row r="31" spans="1:10" x14ac:dyDescent="0.15">
      <c r="A31" s="12" t="s">
        <v>529</v>
      </c>
    </row>
    <row r="32" spans="1:10" x14ac:dyDescent="0.15">
      <c r="A32" s="12" t="s">
        <v>622</v>
      </c>
    </row>
    <row r="33" spans="1:10" x14ac:dyDescent="0.15">
      <c r="A33" s="12" t="s">
        <v>527</v>
      </c>
    </row>
    <row r="34" spans="1:10" ht="52.5" customHeight="1" x14ac:dyDescent="0.15">
      <c r="A34" s="95" t="s">
        <v>627</v>
      </c>
      <c r="B34" s="95"/>
      <c r="C34" s="95"/>
      <c r="D34" s="95"/>
      <c r="E34" s="95"/>
      <c r="F34" s="95"/>
      <c r="G34" s="95"/>
      <c r="H34" s="95"/>
      <c r="I34" s="95"/>
      <c r="J34" s="95"/>
    </row>
    <row r="35" spans="1:10" x14ac:dyDescent="0.15">
      <c r="A35" s="12" t="s">
        <v>530</v>
      </c>
    </row>
    <row r="36" spans="1:10" x14ac:dyDescent="0.15">
      <c r="A36" s="12" t="s">
        <v>531</v>
      </c>
    </row>
    <row r="37" spans="1:10" x14ac:dyDescent="0.15">
      <c r="A37" s="12" t="s">
        <v>532</v>
      </c>
    </row>
    <row r="40" spans="1:10" x14ac:dyDescent="0.15">
      <c r="A40" s="12"/>
    </row>
    <row r="41" spans="1:10" ht="16" x14ac:dyDescent="0.2">
      <c r="A41" s="18"/>
    </row>
    <row r="42" spans="1:10" x14ac:dyDescent="0.15">
      <c r="A42" s="12"/>
    </row>
  </sheetData>
  <autoFilter ref="A3:J16"/>
  <sortState ref="A3:J12">
    <sortCondition ref="E3:E12"/>
  </sortState>
  <mergeCells count="12">
    <mergeCell ref="A18:E18"/>
    <mergeCell ref="A34:J34"/>
    <mergeCell ref="G19:G20"/>
    <mergeCell ref="D19:D20"/>
    <mergeCell ref="C19:C20"/>
    <mergeCell ref="B19:B20"/>
    <mergeCell ref="G18:J18"/>
    <mergeCell ref="A16:E16"/>
    <mergeCell ref="A1:J1"/>
    <mergeCell ref="A13:E13"/>
    <mergeCell ref="A14:E14"/>
    <mergeCell ref="A15:E15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5" sqref="K5"/>
    </sheetView>
  </sheetViews>
  <sheetFormatPr baseColWidth="10" defaultColWidth="8.83203125" defaultRowHeight="13" x14ac:dyDescent="0.15"/>
  <cols>
    <col min="1" max="1" width="8.5" customWidth="1"/>
    <col min="2" max="2" width="10.33203125" bestFit="1" customWidth="1"/>
    <col min="3" max="3" width="8.83203125" bestFit="1" customWidth="1"/>
    <col min="4" max="4" width="4.83203125" customWidth="1"/>
    <col min="5" max="5" width="7" customWidth="1"/>
    <col min="6" max="6" width="7.1640625" customWidth="1"/>
    <col min="7" max="9" width="7" customWidth="1"/>
    <col min="10" max="10" width="8.83203125" customWidth="1"/>
    <col min="11" max="11" width="8.33203125" customWidth="1"/>
  </cols>
  <sheetData>
    <row r="1" spans="1:11" ht="20" x14ac:dyDescent="0.2">
      <c r="A1" s="93" t="s">
        <v>177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39" x14ac:dyDescent="0.15">
      <c r="A2" s="7" t="s">
        <v>150</v>
      </c>
      <c r="B2" s="8" t="s">
        <v>625</v>
      </c>
      <c r="C2" s="8" t="s">
        <v>151</v>
      </c>
      <c r="D2" s="8" t="s">
        <v>616</v>
      </c>
      <c r="E2" s="8" t="s">
        <v>617</v>
      </c>
      <c r="F2" s="8" t="s">
        <v>152</v>
      </c>
      <c r="G2" s="8" t="s">
        <v>153</v>
      </c>
      <c r="H2" s="8" t="s">
        <v>120</v>
      </c>
      <c r="I2" s="8" t="s">
        <v>154</v>
      </c>
      <c r="J2" s="8" t="s">
        <v>155</v>
      </c>
      <c r="K2" s="8" t="s">
        <v>626</v>
      </c>
    </row>
    <row r="3" spans="1:11" x14ac:dyDescent="0.15">
      <c r="A3" s="13" t="s">
        <v>156</v>
      </c>
      <c r="B3" s="13" t="s">
        <v>162</v>
      </c>
      <c r="C3" s="14" t="str">
        <f t="shared" ref="C3:C8" si="0">LEFT(A3,2)</f>
        <v>ND</v>
      </c>
      <c r="D3" s="14">
        <v>1397</v>
      </c>
      <c r="E3" s="14">
        <v>1500</v>
      </c>
      <c r="F3" s="14">
        <f t="shared" ref="F3:F8" si="1">IF(E3 &gt;= D3,E3-D3,10000-D3+E3)</f>
        <v>103</v>
      </c>
      <c r="G3" s="14">
        <f t="shared" ref="G3:G8" si="2">VLOOKUP(C3,$A$13:$C$15,2,0)</f>
        <v>100</v>
      </c>
      <c r="H3" s="14">
        <f t="shared" ref="H3:H8" si="3">VLOOKUP(C3:C3,$A$13:$C$15,3,0)</f>
        <v>50</v>
      </c>
      <c r="I3" s="14">
        <f t="shared" ref="I3:I8" si="4">IF(F3&gt;G3,F3-G3,0)</f>
        <v>3</v>
      </c>
      <c r="J3" s="62">
        <f t="shared" ref="J3:J8" si="5">MIN(F3*H3,G3*H3)</f>
        <v>5000</v>
      </c>
      <c r="K3" s="62">
        <f t="shared" ref="K3:K8" si="6">HLOOKUP(I3,$E$12:$K$13,2,1) * I3*H3</f>
        <v>225</v>
      </c>
    </row>
    <row r="4" spans="1:11" x14ac:dyDescent="0.15">
      <c r="A4" s="13" t="s">
        <v>157</v>
      </c>
      <c r="B4" s="13" t="s">
        <v>163</v>
      </c>
      <c r="C4" s="14" t="str">
        <f t="shared" si="0"/>
        <v>ND</v>
      </c>
      <c r="D4" s="14">
        <v>5555</v>
      </c>
      <c r="E4" s="14">
        <v>5580</v>
      </c>
      <c r="F4" s="14">
        <f t="shared" si="1"/>
        <v>25</v>
      </c>
      <c r="G4" s="14">
        <f t="shared" si="2"/>
        <v>100</v>
      </c>
      <c r="H4" s="14">
        <f t="shared" si="3"/>
        <v>50</v>
      </c>
      <c r="I4" s="14">
        <f t="shared" si="4"/>
        <v>0</v>
      </c>
      <c r="J4" s="62">
        <f t="shared" si="5"/>
        <v>1250</v>
      </c>
      <c r="K4" s="62">
        <f t="shared" si="6"/>
        <v>0</v>
      </c>
    </row>
    <row r="5" spans="1:11" x14ac:dyDescent="0.15">
      <c r="A5" s="24" t="s">
        <v>158</v>
      </c>
      <c r="B5" s="24" t="s">
        <v>164</v>
      </c>
      <c r="C5" s="14" t="str">
        <f t="shared" si="0"/>
        <v>SX</v>
      </c>
      <c r="D5" s="14">
        <v>4500</v>
      </c>
      <c r="E5" s="14">
        <v>4700</v>
      </c>
      <c r="F5" s="14">
        <f t="shared" si="1"/>
        <v>200</v>
      </c>
      <c r="G5" s="14">
        <f t="shared" si="2"/>
        <v>300</v>
      </c>
      <c r="H5" s="14">
        <f t="shared" si="3"/>
        <v>60</v>
      </c>
      <c r="I5" s="14">
        <f t="shared" si="4"/>
        <v>0</v>
      </c>
      <c r="J5" s="62">
        <f t="shared" si="5"/>
        <v>12000</v>
      </c>
      <c r="K5" s="62">
        <f t="shared" si="6"/>
        <v>0</v>
      </c>
    </row>
    <row r="6" spans="1:11" x14ac:dyDescent="0.15">
      <c r="A6" s="24" t="s">
        <v>159</v>
      </c>
      <c r="B6" s="24" t="s">
        <v>165</v>
      </c>
      <c r="C6" s="14" t="str">
        <f t="shared" si="0"/>
        <v>SX</v>
      </c>
      <c r="D6" s="14">
        <v>6000</v>
      </c>
      <c r="E6" s="14">
        <v>6400</v>
      </c>
      <c r="F6" s="14">
        <f t="shared" si="1"/>
        <v>400</v>
      </c>
      <c r="G6" s="14">
        <f t="shared" si="2"/>
        <v>300</v>
      </c>
      <c r="H6" s="14">
        <f t="shared" si="3"/>
        <v>60</v>
      </c>
      <c r="I6" s="14">
        <f t="shared" si="4"/>
        <v>100</v>
      </c>
      <c r="J6" s="62">
        <f t="shared" si="5"/>
        <v>18000</v>
      </c>
      <c r="K6" s="62">
        <f t="shared" si="6"/>
        <v>15000</v>
      </c>
    </row>
    <row r="7" spans="1:11" x14ac:dyDescent="0.15">
      <c r="A7" s="24" t="s">
        <v>160</v>
      </c>
      <c r="B7" s="24" t="s">
        <v>166</v>
      </c>
      <c r="C7" s="14" t="str">
        <f t="shared" si="0"/>
        <v>KD</v>
      </c>
      <c r="D7" s="14">
        <v>9950</v>
      </c>
      <c r="E7" s="14">
        <v>150</v>
      </c>
      <c r="F7" s="14">
        <f t="shared" si="1"/>
        <v>200</v>
      </c>
      <c r="G7" s="14">
        <f t="shared" si="2"/>
        <v>500</v>
      </c>
      <c r="H7" s="14">
        <f t="shared" si="3"/>
        <v>80</v>
      </c>
      <c r="I7" s="14">
        <f t="shared" si="4"/>
        <v>0</v>
      </c>
      <c r="J7" s="62">
        <f t="shared" si="5"/>
        <v>16000</v>
      </c>
      <c r="K7" s="62">
        <f t="shared" si="6"/>
        <v>0</v>
      </c>
    </row>
    <row r="8" spans="1:11" x14ac:dyDescent="0.15">
      <c r="A8" s="24" t="s">
        <v>161</v>
      </c>
      <c r="B8" s="24" t="s">
        <v>167</v>
      </c>
      <c r="C8" s="14" t="str">
        <f t="shared" si="0"/>
        <v>KD</v>
      </c>
      <c r="D8" s="14">
        <v>9800</v>
      </c>
      <c r="E8" s="14">
        <v>700</v>
      </c>
      <c r="F8" s="14">
        <f t="shared" si="1"/>
        <v>900</v>
      </c>
      <c r="G8" s="14">
        <f t="shared" si="2"/>
        <v>500</v>
      </c>
      <c r="H8" s="14">
        <f t="shared" si="3"/>
        <v>80</v>
      </c>
      <c r="I8" s="14">
        <f t="shared" si="4"/>
        <v>400</v>
      </c>
      <c r="J8" s="62">
        <f t="shared" si="5"/>
        <v>40000</v>
      </c>
      <c r="K8" s="62">
        <f t="shared" si="6"/>
        <v>96000</v>
      </c>
    </row>
    <row r="11" spans="1:11" x14ac:dyDescent="0.15">
      <c r="A11" s="100" t="s">
        <v>168</v>
      </c>
      <c r="B11" s="100"/>
      <c r="C11" s="100"/>
      <c r="E11" s="100" t="s">
        <v>176</v>
      </c>
      <c r="F11" s="100"/>
      <c r="G11" s="100"/>
      <c r="H11" s="100"/>
      <c r="I11" s="100"/>
      <c r="J11" s="100"/>
      <c r="K11" s="100"/>
    </row>
    <row r="12" spans="1:11" x14ac:dyDescent="0.15">
      <c r="A12" s="11" t="s">
        <v>169</v>
      </c>
      <c r="B12" s="11" t="s">
        <v>170</v>
      </c>
      <c r="C12" s="11" t="s">
        <v>81</v>
      </c>
      <c r="E12" s="102" t="s">
        <v>174</v>
      </c>
      <c r="F12" s="103"/>
      <c r="G12" s="14">
        <v>0</v>
      </c>
      <c r="H12" s="14">
        <v>1</v>
      </c>
      <c r="I12" s="14">
        <v>50</v>
      </c>
      <c r="J12" s="14">
        <v>100</v>
      </c>
      <c r="K12" s="14">
        <v>200</v>
      </c>
    </row>
    <row r="13" spans="1:11" x14ac:dyDescent="0.15">
      <c r="A13" s="24" t="s">
        <v>171</v>
      </c>
      <c r="B13" s="14">
        <v>100</v>
      </c>
      <c r="C13" s="14">
        <v>50</v>
      </c>
      <c r="E13" s="104" t="s">
        <v>175</v>
      </c>
      <c r="F13" s="104"/>
      <c r="G13" s="14">
        <v>0</v>
      </c>
      <c r="H13" s="14">
        <v>1.5</v>
      </c>
      <c r="I13" s="14">
        <v>2</v>
      </c>
      <c r="J13" s="14">
        <v>2.5</v>
      </c>
      <c r="K13" s="14">
        <v>3</v>
      </c>
    </row>
    <row r="14" spans="1:11" x14ac:dyDescent="0.15">
      <c r="A14" s="24" t="s">
        <v>172</v>
      </c>
      <c r="B14" s="14">
        <v>300</v>
      </c>
      <c r="C14" s="14">
        <v>60</v>
      </c>
    </row>
    <row r="15" spans="1:11" x14ac:dyDescent="0.15">
      <c r="A15" s="24" t="s">
        <v>173</v>
      </c>
      <c r="B15" s="14">
        <v>500</v>
      </c>
      <c r="C15" s="14">
        <v>80</v>
      </c>
    </row>
    <row r="18" spans="1:11" ht="16" x14ac:dyDescent="0.2">
      <c r="A18" s="18" t="s">
        <v>75</v>
      </c>
    </row>
    <row r="19" spans="1:11" x14ac:dyDescent="0.15">
      <c r="A19" s="12" t="s">
        <v>239</v>
      </c>
    </row>
    <row r="20" spans="1:11" x14ac:dyDescent="0.15">
      <c r="A20" s="16" t="s">
        <v>534</v>
      </c>
    </row>
    <row r="21" spans="1:11" x14ac:dyDescent="0.15">
      <c r="A21" s="16" t="s">
        <v>533</v>
      </c>
    </row>
    <row r="22" spans="1:11" x14ac:dyDescent="0.15">
      <c r="A22" s="17" t="s">
        <v>542</v>
      </c>
    </row>
    <row r="23" spans="1:11" x14ac:dyDescent="0.15">
      <c r="A23" s="17" t="s">
        <v>543</v>
      </c>
    </row>
    <row r="24" spans="1:11" x14ac:dyDescent="0.15">
      <c r="A24" s="16" t="s">
        <v>535</v>
      </c>
    </row>
    <row r="25" spans="1:11" x14ac:dyDescent="0.15">
      <c r="A25" s="16" t="s">
        <v>536</v>
      </c>
    </row>
    <row r="26" spans="1:11" x14ac:dyDescent="0.15">
      <c r="A26" s="16" t="s">
        <v>537</v>
      </c>
    </row>
    <row r="27" spans="1:11" x14ac:dyDescent="0.15">
      <c r="A27" s="17" t="s">
        <v>538</v>
      </c>
    </row>
    <row r="28" spans="1:11" x14ac:dyDescent="0.15">
      <c r="A28" s="17" t="s">
        <v>539</v>
      </c>
    </row>
    <row r="29" spans="1:11" ht="24.75" customHeight="1" x14ac:dyDescent="0.15">
      <c r="A29" s="80" t="s">
        <v>628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1:11" x14ac:dyDescent="0.15">
      <c r="A30" s="12" t="s">
        <v>540</v>
      </c>
    </row>
    <row r="31" spans="1:11" x14ac:dyDescent="0.15">
      <c r="A31" s="25" t="s">
        <v>541</v>
      </c>
    </row>
    <row r="32" spans="1:11" ht="26.25" customHeight="1" x14ac:dyDescent="0.15">
      <c r="A32" s="101" t="s">
        <v>629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5" spans="1:1" ht="16" x14ac:dyDescent="0.2">
      <c r="A35" s="18"/>
    </row>
  </sheetData>
  <autoFilter ref="A2:K8"/>
  <mergeCells count="7">
    <mergeCell ref="A32:K32"/>
    <mergeCell ref="A1:K1"/>
    <mergeCell ref="E12:F12"/>
    <mergeCell ref="E13:F13"/>
    <mergeCell ref="E11:K11"/>
    <mergeCell ref="A11:C11"/>
    <mergeCell ref="A29:K29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"/>
  <sheetViews>
    <sheetView workbookViewId="0">
      <selection activeCell="F3" sqref="F3"/>
    </sheetView>
  </sheetViews>
  <sheetFormatPr baseColWidth="10" defaultRowHeight="13" x14ac:dyDescent="0.15"/>
  <cols>
    <col min="3" max="3" width="16.1640625" customWidth="1"/>
    <col min="4" max="4" width="15" customWidth="1"/>
    <col min="7" max="7" width="9.1640625" customWidth="1"/>
  </cols>
  <sheetData>
    <row r="3" spans="2:14" ht="39" x14ac:dyDescent="0.15">
      <c r="B3" s="61" t="s">
        <v>150</v>
      </c>
      <c r="C3" s="60" t="s">
        <v>625</v>
      </c>
      <c r="D3" s="60" t="s">
        <v>151</v>
      </c>
      <c r="E3" s="60" t="s">
        <v>616</v>
      </c>
      <c r="F3" s="60" t="s">
        <v>617</v>
      </c>
      <c r="G3" s="60" t="s">
        <v>152</v>
      </c>
      <c r="H3" s="60" t="s">
        <v>153</v>
      </c>
      <c r="I3" s="60" t="s">
        <v>120</v>
      </c>
      <c r="J3" s="60" t="s">
        <v>154</v>
      </c>
      <c r="K3" s="60" t="s">
        <v>155</v>
      </c>
      <c r="L3" s="60" t="s">
        <v>626</v>
      </c>
      <c r="N3" s="60" t="s">
        <v>154</v>
      </c>
    </row>
    <row r="4" spans="2:14" x14ac:dyDescent="0.15">
      <c r="B4" s="24" t="s">
        <v>161</v>
      </c>
      <c r="C4" s="24" t="s">
        <v>167</v>
      </c>
      <c r="D4" s="14" t="s">
        <v>173</v>
      </c>
      <c r="E4" s="14">
        <v>9800</v>
      </c>
      <c r="F4" s="14">
        <v>700</v>
      </c>
      <c r="G4" s="14">
        <v>900</v>
      </c>
      <c r="H4" s="14">
        <v>500</v>
      </c>
      <c r="I4" s="14">
        <v>80</v>
      </c>
      <c r="J4" s="14">
        <v>400</v>
      </c>
      <c r="K4" s="62">
        <v>40000</v>
      </c>
      <c r="L4" s="62">
        <v>96000</v>
      </c>
      <c r="N4" t="s">
        <v>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" workbookViewId="0">
      <selection activeCell="H18" sqref="H18"/>
    </sheetView>
  </sheetViews>
  <sheetFormatPr baseColWidth="10" defaultColWidth="8.83203125" defaultRowHeight="13" x14ac:dyDescent="0.15"/>
  <cols>
    <col min="1" max="1" width="6" customWidth="1"/>
    <col min="3" max="3" width="9.83203125" customWidth="1"/>
    <col min="6" max="6" width="10.6640625" customWidth="1"/>
    <col min="7" max="7" width="9.83203125" customWidth="1"/>
    <col min="8" max="8" width="10.5" customWidth="1"/>
    <col min="9" max="9" width="10.6640625" customWidth="1"/>
  </cols>
  <sheetData>
    <row r="1" spans="1:9" ht="20" x14ac:dyDescent="0.2">
      <c r="A1" s="93" t="s">
        <v>207</v>
      </c>
      <c r="B1" s="93"/>
      <c r="C1" s="93"/>
      <c r="D1" s="93"/>
      <c r="E1" s="93"/>
      <c r="F1" s="93"/>
      <c r="G1" s="93"/>
      <c r="H1" s="93"/>
      <c r="I1" s="93"/>
    </row>
    <row r="2" spans="1:9" x14ac:dyDescent="0.15">
      <c r="A2" s="97" t="s">
        <v>114</v>
      </c>
      <c r="B2" s="104" t="s">
        <v>178</v>
      </c>
      <c r="C2" s="104"/>
      <c r="D2" s="104"/>
      <c r="E2" s="104" t="s">
        <v>185</v>
      </c>
      <c r="F2" s="104"/>
      <c r="G2" s="104"/>
      <c r="H2" s="104"/>
      <c r="I2" s="104"/>
    </row>
    <row r="3" spans="1:9" x14ac:dyDescent="0.15">
      <c r="A3" s="97"/>
      <c r="B3" s="7" t="s">
        <v>179</v>
      </c>
      <c r="C3" s="7" t="s">
        <v>180</v>
      </c>
      <c r="D3" s="7" t="s">
        <v>181</v>
      </c>
      <c r="E3" s="7" t="s">
        <v>110</v>
      </c>
      <c r="F3" s="7" t="s">
        <v>186</v>
      </c>
      <c r="G3" s="7" t="s">
        <v>182</v>
      </c>
      <c r="H3" s="7" t="s">
        <v>183</v>
      </c>
      <c r="I3" s="7" t="s">
        <v>184</v>
      </c>
    </row>
    <row r="4" spans="1:9" x14ac:dyDescent="0.15">
      <c r="A4" s="20">
        <v>1</v>
      </c>
      <c r="B4" s="13" t="s">
        <v>187</v>
      </c>
      <c r="C4" s="14" t="str">
        <f>LEFT(B4,2)</f>
        <v>KB</v>
      </c>
      <c r="D4" s="14" t="str">
        <f>VLOOKUP(LEFT(B4,2),$B$18:$D$21,2,0)</f>
        <v>Keyboard</v>
      </c>
      <c r="E4" s="14">
        <v>100</v>
      </c>
      <c r="F4" s="62">
        <f>VLOOKUP(C4,$B$17:$D$21,3,0) * E4</f>
        <v>900</v>
      </c>
      <c r="G4" s="62">
        <f>IF(E4&gt;150,105%,IF(AND(E4&gt;=100,E4&lt;150),112%,IF(E4&lt;100,120%,0))) *F4</f>
        <v>1008.0000000000001</v>
      </c>
      <c r="H4" s="64">
        <f>10% *(G4-F4)</f>
        <v>10.800000000000011</v>
      </c>
      <c r="I4" s="63">
        <f>G4-(F4+H4)</f>
        <v>97.200000000000159</v>
      </c>
    </row>
    <row r="5" spans="1:9" x14ac:dyDescent="0.15">
      <c r="A5" s="20">
        <v>2</v>
      </c>
      <c r="B5" s="13" t="s">
        <v>188</v>
      </c>
      <c r="C5" s="14" t="str">
        <f t="shared" ref="C5:C11" si="0">LEFT(B5,2)</f>
        <v>KB</v>
      </c>
      <c r="D5" s="14" t="str">
        <f t="shared" ref="D5:D11" si="1">VLOOKUP(LEFT(B5,2),$B$18:$D$21,2,0)</f>
        <v>Keyboard</v>
      </c>
      <c r="E5" s="14">
        <v>200</v>
      </c>
      <c r="F5" s="62">
        <f t="shared" ref="F5:F11" si="2">VLOOKUP(C5,$B$17:$D$21,3,0) * E5</f>
        <v>1800</v>
      </c>
      <c r="G5" s="62">
        <f t="shared" ref="G5:G11" si="3">IF(E5&gt;150,105%,IF(AND(E5&gt;=100,E5&lt;150),112%,IF(E5&lt;100,120%,0))) *F5</f>
        <v>1890</v>
      </c>
      <c r="H5" s="64">
        <f t="shared" ref="H5:H11" si="4">10% *(G5-F5)</f>
        <v>9</v>
      </c>
      <c r="I5" s="63">
        <f t="shared" ref="I5:I11" si="5">G5-(F5+H5)</f>
        <v>81</v>
      </c>
    </row>
    <row r="6" spans="1:9" x14ac:dyDescent="0.15">
      <c r="A6" s="20">
        <v>3</v>
      </c>
      <c r="B6" s="24" t="s">
        <v>189</v>
      </c>
      <c r="C6" s="14" t="str">
        <f t="shared" si="0"/>
        <v>MO</v>
      </c>
      <c r="D6" s="14" t="str">
        <f t="shared" si="1"/>
        <v>Monitor</v>
      </c>
      <c r="E6" s="14">
        <v>50</v>
      </c>
      <c r="F6" s="62">
        <f t="shared" si="2"/>
        <v>5500</v>
      </c>
      <c r="G6" s="62">
        <f t="shared" si="3"/>
        <v>6600</v>
      </c>
      <c r="H6" s="64">
        <f t="shared" si="4"/>
        <v>110</v>
      </c>
      <c r="I6" s="63">
        <f t="shared" si="5"/>
        <v>990</v>
      </c>
    </row>
    <row r="7" spans="1:9" x14ac:dyDescent="0.15">
      <c r="A7" s="20">
        <v>4</v>
      </c>
      <c r="B7" s="24" t="s">
        <v>190</v>
      </c>
      <c r="C7" s="14" t="str">
        <f t="shared" si="0"/>
        <v>FD</v>
      </c>
      <c r="D7" s="14" t="str">
        <f t="shared" si="1"/>
        <v>FloppyDisk</v>
      </c>
      <c r="E7" s="14">
        <v>500</v>
      </c>
      <c r="F7" s="62">
        <f t="shared" si="2"/>
        <v>4000</v>
      </c>
      <c r="G7" s="62">
        <f t="shared" si="3"/>
        <v>4200</v>
      </c>
      <c r="H7" s="64">
        <f t="shared" si="4"/>
        <v>20</v>
      </c>
      <c r="I7" s="63">
        <f t="shared" si="5"/>
        <v>180</v>
      </c>
    </row>
    <row r="8" spans="1:9" x14ac:dyDescent="0.15">
      <c r="A8" s="20">
        <v>5</v>
      </c>
      <c r="B8" s="24" t="s">
        <v>191</v>
      </c>
      <c r="C8" s="14" t="str">
        <f t="shared" si="0"/>
        <v>HD</v>
      </c>
      <c r="D8" s="14" t="str">
        <f t="shared" si="1"/>
        <v>HardDisk</v>
      </c>
      <c r="E8" s="14">
        <v>80</v>
      </c>
      <c r="F8" s="62">
        <f t="shared" si="2"/>
        <v>6400</v>
      </c>
      <c r="G8" s="62">
        <f t="shared" si="3"/>
        <v>7680</v>
      </c>
      <c r="H8" s="64">
        <f t="shared" si="4"/>
        <v>128</v>
      </c>
      <c r="I8" s="63">
        <f t="shared" si="5"/>
        <v>1152</v>
      </c>
    </row>
    <row r="9" spans="1:9" x14ac:dyDescent="0.15">
      <c r="A9" s="20">
        <v>6</v>
      </c>
      <c r="B9" s="24" t="s">
        <v>192</v>
      </c>
      <c r="C9" s="14" t="str">
        <f t="shared" si="0"/>
        <v>MO</v>
      </c>
      <c r="D9" s="14" t="str">
        <f t="shared" si="1"/>
        <v>Monitor</v>
      </c>
      <c r="E9" s="14">
        <v>450</v>
      </c>
      <c r="F9" s="62">
        <f t="shared" si="2"/>
        <v>49500</v>
      </c>
      <c r="G9" s="62">
        <f t="shared" si="3"/>
        <v>51975</v>
      </c>
      <c r="H9" s="64">
        <f t="shared" si="4"/>
        <v>247.5</v>
      </c>
      <c r="I9" s="63">
        <f t="shared" si="5"/>
        <v>2227.5</v>
      </c>
    </row>
    <row r="10" spans="1:9" x14ac:dyDescent="0.15">
      <c r="A10" s="20">
        <v>7</v>
      </c>
      <c r="B10" s="24" t="s">
        <v>193</v>
      </c>
      <c r="C10" s="14" t="str">
        <f t="shared" si="0"/>
        <v>FD</v>
      </c>
      <c r="D10" s="14" t="str">
        <f t="shared" si="1"/>
        <v>FloppyDisk</v>
      </c>
      <c r="E10" s="14">
        <v>50</v>
      </c>
      <c r="F10" s="62">
        <f t="shared" si="2"/>
        <v>400</v>
      </c>
      <c r="G10" s="62">
        <f t="shared" si="3"/>
        <v>480</v>
      </c>
      <c r="H10" s="64">
        <f t="shared" si="4"/>
        <v>8</v>
      </c>
      <c r="I10" s="63">
        <f t="shared" si="5"/>
        <v>72</v>
      </c>
    </row>
    <row r="11" spans="1:9" x14ac:dyDescent="0.15">
      <c r="A11" s="20">
        <v>8</v>
      </c>
      <c r="B11" s="24" t="s">
        <v>194</v>
      </c>
      <c r="C11" s="14" t="str">
        <f t="shared" si="0"/>
        <v>HD</v>
      </c>
      <c r="D11" s="14" t="str">
        <f t="shared" si="1"/>
        <v>HardDisk</v>
      </c>
      <c r="E11" s="14">
        <v>70</v>
      </c>
      <c r="F11" s="62">
        <f t="shared" si="2"/>
        <v>5600</v>
      </c>
      <c r="G11" s="62">
        <f t="shared" si="3"/>
        <v>6720</v>
      </c>
      <c r="H11" s="64">
        <f t="shared" si="4"/>
        <v>112</v>
      </c>
      <c r="I11" s="63">
        <f t="shared" si="5"/>
        <v>1008</v>
      </c>
    </row>
    <row r="12" spans="1:9" x14ac:dyDescent="0.15">
      <c r="A12" s="105" t="s">
        <v>195</v>
      </c>
      <c r="B12" s="106"/>
      <c r="C12" s="106"/>
      <c r="D12" s="106"/>
      <c r="E12" s="106"/>
      <c r="F12" s="106"/>
      <c r="G12" s="106"/>
      <c r="H12" s="107"/>
      <c r="I12" s="63">
        <f>MIN(I4:I11)</f>
        <v>72</v>
      </c>
    </row>
    <row r="13" spans="1:9" x14ac:dyDescent="0.15">
      <c r="A13" s="105" t="s">
        <v>196</v>
      </c>
      <c r="B13" s="106"/>
      <c r="C13" s="106"/>
      <c r="D13" s="106"/>
      <c r="E13" s="106"/>
      <c r="F13" s="106"/>
      <c r="G13" s="106"/>
      <c r="H13" s="107"/>
      <c r="I13" s="63">
        <f>MAX(I4:I11)</f>
        <v>2227.5</v>
      </c>
    </row>
    <row r="14" spans="1:9" x14ac:dyDescent="0.15">
      <c r="A14" s="105" t="s">
        <v>133</v>
      </c>
      <c r="B14" s="106"/>
      <c r="C14" s="106"/>
      <c r="D14" s="106"/>
      <c r="E14" s="106"/>
      <c r="F14" s="106"/>
      <c r="G14" s="106"/>
      <c r="H14" s="107"/>
      <c r="I14" s="63">
        <f>SUM(I4:I11)</f>
        <v>5807.7000000000007</v>
      </c>
    </row>
    <row r="16" spans="1:9" x14ac:dyDescent="0.15">
      <c r="B16" s="108" t="s">
        <v>197</v>
      </c>
      <c r="C16" s="108"/>
      <c r="D16" s="108"/>
      <c r="G16" s="91" t="s">
        <v>212</v>
      </c>
      <c r="H16" s="91"/>
    </row>
    <row r="17" spans="1:8" x14ac:dyDescent="0.15">
      <c r="B17" s="11" t="s">
        <v>180</v>
      </c>
      <c r="C17" s="11" t="s">
        <v>181</v>
      </c>
      <c r="D17" s="11" t="s">
        <v>198</v>
      </c>
      <c r="G17" s="11" t="s">
        <v>180</v>
      </c>
      <c r="H17" s="11" t="s">
        <v>184</v>
      </c>
    </row>
    <row r="18" spans="1:8" x14ac:dyDescent="0.15">
      <c r="B18" s="13" t="s">
        <v>199</v>
      </c>
      <c r="C18" s="13" t="s">
        <v>203</v>
      </c>
      <c r="D18" s="14">
        <v>9</v>
      </c>
      <c r="G18" s="13" t="s">
        <v>199</v>
      </c>
      <c r="H18" s="63">
        <f>IF(COUNTIF(C4:C11,C5),SUMIF(C4:C11,G18,I4:I11))</f>
        <v>178.20000000000016</v>
      </c>
    </row>
    <row r="19" spans="1:8" x14ac:dyDescent="0.15">
      <c r="B19" s="13" t="s">
        <v>200</v>
      </c>
      <c r="C19" s="13" t="s">
        <v>204</v>
      </c>
      <c r="D19" s="14">
        <v>80</v>
      </c>
      <c r="G19" s="13" t="s">
        <v>200</v>
      </c>
      <c r="H19" s="63">
        <f t="shared" ref="H19:H21" si="6">IF(COUNTIF(C5:C12,C6),SUMIF(C5:C12,G19,I5:I12))</f>
        <v>2160</v>
      </c>
    </row>
    <row r="20" spans="1:8" x14ac:dyDescent="0.15">
      <c r="B20" s="24" t="s">
        <v>201</v>
      </c>
      <c r="C20" s="24" t="s">
        <v>205</v>
      </c>
      <c r="D20" s="14">
        <v>110</v>
      </c>
      <c r="G20" s="24" t="s">
        <v>201</v>
      </c>
      <c r="H20" s="63">
        <f t="shared" si="6"/>
        <v>3217.5</v>
      </c>
    </row>
    <row r="21" spans="1:8" x14ac:dyDescent="0.15">
      <c r="B21" s="14" t="s">
        <v>202</v>
      </c>
      <c r="C21" s="24" t="s">
        <v>206</v>
      </c>
      <c r="D21" s="14">
        <v>8</v>
      </c>
      <c r="G21" s="24" t="s">
        <v>202</v>
      </c>
      <c r="H21" s="63">
        <f t="shared" si="6"/>
        <v>252</v>
      </c>
    </row>
    <row r="24" spans="1:8" ht="16" x14ac:dyDescent="0.2">
      <c r="A24" s="18" t="s">
        <v>75</v>
      </c>
    </row>
    <row r="25" spans="1:8" x14ac:dyDescent="0.15">
      <c r="A25" s="12" t="s">
        <v>208</v>
      </c>
    </row>
    <row r="26" spans="1:8" x14ac:dyDescent="0.15">
      <c r="A26" s="12" t="s">
        <v>544</v>
      </c>
    </row>
    <row r="27" spans="1:8" x14ac:dyDescent="0.15">
      <c r="A27" s="12" t="s">
        <v>641</v>
      </c>
    </row>
    <row r="28" spans="1:8" x14ac:dyDescent="0.15">
      <c r="A28" s="12" t="s">
        <v>545</v>
      </c>
    </row>
    <row r="29" spans="1:8" x14ac:dyDescent="0.15">
      <c r="A29" s="12" t="s">
        <v>546</v>
      </c>
    </row>
    <row r="30" spans="1:8" x14ac:dyDescent="0.15">
      <c r="A30" s="25" t="s">
        <v>209</v>
      </c>
    </row>
    <row r="31" spans="1:8" x14ac:dyDescent="0.15">
      <c r="A31" s="25" t="s">
        <v>210</v>
      </c>
    </row>
    <row r="32" spans="1:8" x14ac:dyDescent="0.15">
      <c r="A32" s="25" t="s">
        <v>211</v>
      </c>
    </row>
    <row r="33" spans="1:1" x14ac:dyDescent="0.15">
      <c r="A33" s="19" t="s">
        <v>547</v>
      </c>
    </row>
    <row r="34" spans="1:1" x14ac:dyDescent="0.15">
      <c r="A34" s="12" t="s">
        <v>548</v>
      </c>
    </row>
    <row r="35" spans="1:1" x14ac:dyDescent="0.15">
      <c r="A35" s="12" t="s">
        <v>549</v>
      </c>
    </row>
    <row r="36" spans="1:1" x14ac:dyDescent="0.15">
      <c r="A36" s="65"/>
    </row>
    <row r="37" spans="1:1" x14ac:dyDescent="0.15">
      <c r="A37" s="12"/>
    </row>
    <row r="38" spans="1:1" x14ac:dyDescent="0.15">
      <c r="A38" s="12"/>
    </row>
    <row r="41" spans="1:1" ht="16" x14ac:dyDescent="0.2">
      <c r="A41" s="18"/>
    </row>
    <row r="42" spans="1:1" x14ac:dyDescent="0.15">
      <c r="A42" s="12"/>
    </row>
    <row r="43" spans="1:1" x14ac:dyDescent="0.15">
      <c r="A43" s="12"/>
    </row>
    <row r="44" spans="1:1" x14ac:dyDescent="0.15">
      <c r="A44" s="12"/>
    </row>
    <row r="45" spans="1:1" x14ac:dyDescent="0.15">
      <c r="A45" s="12"/>
    </row>
    <row r="46" spans="1:1" x14ac:dyDescent="0.15">
      <c r="A46" s="12"/>
    </row>
    <row r="47" spans="1:1" x14ac:dyDescent="0.15">
      <c r="A47" s="12"/>
    </row>
    <row r="48" spans="1:1" x14ac:dyDescent="0.15">
      <c r="A48" s="12"/>
    </row>
    <row r="49" spans="1:1" x14ac:dyDescent="0.15">
      <c r="A49" s="12"/>
    </row>
    <row r="50" spans="1:1" x14ac:dyDescent="0.15">
      <c r="A50" s="12"/>
    </row>
  </sheetData>
  <mergeCells count="9">
    <mergeCell ref="A13:H13"/>
    <mergeCell ref="A14:H14"/>
    <mergeCell ref="B16:D16"/>
    <mergeCell ref="A1:I1"/>
    <mergeCell ref="G16:H16"/>
    <mergeCell ref="E2:I2"/>
    <mergeCell ref="B2:D2"/>
    <mergeCell ref="A2:A3"/>
    <mergeCell ref="A12:H12"/>
  </mergeCells>
  <phoneticPr fontId="11" type="noConversion"/>
  <pageMargins left="1.1811023622047245" right="0.78740157480314965" top="0.78740157480314965" bottom="0.78740157480314965" header="0.51181102362204722" footer="0.51181102362204722"/>
  <pageSetup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</vt:lpstr>
      <vt:lpstr>Trich Loc1</vt:lpstr>
      <vt:lpstr>2</vt:lpstr>
      <vt:lpstr>3</vt:lpstr>
      <vt:lpstr>GiaoKhoa</vt:lpstr>
      <vt:lpstr>4</vt:lpstr>
      <vt:lpstr>5</vt:lpstr>
      <vt:lpstr>TrichLoc&gt;100KW</vt:lpstr>
      <vt:lpstr>6</vt:lpstr>
      <vt:lpstr>7</vt:lpstr>
      <vt:lpstr>NV</vt:lpstr>
      <vt:lpstr>8</vt:lpstr>
      <vt:lpstr>9</vt:lpstr>
      <vt:lpstr>B1</vt:lpstr>
      <vt:lpstr>10</vt:lpstr>
      <vt:lpstr>GM</vt:lpstr>
      <vt:lpstr>11</vt:lpstr>
      <vt:lpstr>12</vt:lpstr>
      <vt:lpstr>13</vt:lpstr>
      <vt:lpstr>KT</vt:lpstr>
      <vt:lpstr>14</vt:lpstr>
      <vt:lpstr>S12</vt:lpstr>
      <vt:lpstr>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Microsoft Office User</cp:lastModifiedBy>
  <cp:lastPrinted>2010-05-14T02:45:53Z</cp:lastPrinted>
  <dcterms:created xsi:type="dcterms:W3CDTF">2009-03-30T08:08:08Z</dcterms:created>
  <dcterms:modified xsi:type="dcterms:W3CDTF">2019-08-22T03:31:43Z</dcterms:modified>
</cp:coreProperties>
</file>