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4"/>
  <workbookPr codeName="ThisWorkbook" defaultThemeVersion="124226"/>
  <mc:AlternateContent xmlns:mc="http://schemas.openxmlformats.org/markup-compatibility/2006">
    <mc:Choice Requires="x15">
      <x15ac:absPath xmlns:x15ac="http://schemas.microsoft.com/office/spreadsheetml/2010/11/ac" url="D:\Frehser\Linux_couse\"/>
    </mc:Choice>
  </mc:AlternateContent>
  <xr:revisionPtr revIDLastSave="346" documentId="11_1C87BCC6F4E3472AEDA0BC6060E9D82A11B5E7E1" xr6:coauthVersionLast="47" xr6:coauthVersionMax="47" xr10:uidLastSave="{9708BEEB-DA61-488F-B3AB-B9961457DFCE}"/>
  <bookViews>
    <workbookView xWindow="0" yWindow="0" windowWidth="28740" windowHeight="12270" firstSheet="1" activeTab="1" xr2:uid="{00000000-000D-0000-FFFF-FFFF00000000}"/>
  </bookViews>
  <sheets>
    <sheet name="Linux_Emb_Syllabus" sheetId="7" r:id="rId1"/>
    <sheet name="Linux_Emb_Schedule_Offline" sheetId="8" r:id="rId2"/>
    <sheet name="Author and Rec of Changes" sheetId="9" r:id="rId3"/>
    <sheet name="DV-IDENTITY-0" sheetId="10" state="veryHidden" r:id="rId4"/>
  </sheets>
  <definedNames>
    <definedName name="_xlnm._FilterDatabase" localSheetId="1" hidden="1">Linux_Emb_Schedule_Offline!$A$2:$J$14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28" i="8" l="1"/>
  <c r="H17" i="8"/>
  <c r="H27" i="8" l="1"/>
  <c r="H26" i="8"/>
  <c r="H109" i="8" l="1"/>
  <c r="H110" i="8"/>
  <c r="H111" i="8"/>
  <c r="H112" i="8"/>
  <c r="H113" i="8"/>
  <c r="A1" i="8"/>
  <c r="H29" i="8"/>
  <c r="H30" i="8"/>
  <c r="A5" i="10"/>
  <c r="B5" i="10"/>
  <c r="C5" i="10"/>
  <c r="D5" i="10"/>
  <c r="E5" i="10"/>
  <c r="F5" i="10"/>
  <c r="G5" i="10"/>
  <c r="H5" i="10"/>
  <c r="I5" i="10"/>
  <c r="J5" i="10"/>
  <c r="K5" i="10"/>
  <c r="L5" i="10"/>
  <c r="M5" i="10"/>
  <c r="N5" i="10"/>
  <c r="O5" i="10"/>
  <c r="P5" i="10"/>
  <c r="Q5" i="10"/>
  <c r="A4" i="10"/>
  <c r="B4"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M4" i="10"/>
  <c r="A3" i="10"/>
  <c r="B3"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AK3" i="10"/>
  <c r="AL3" i="10"/>
  <c r="AM3" i="10"/>
  <c r="AN3" i="10"/>
  <c r="AO3" i="10"/>
  <c r="AP3" i="10"/>
  <c r="AQ3" i="10"/>
  <c r="AR3" i="10"/>
  <c r="AS3" i="10"/>
  <c r="AT3" i="10"/>
  <c r="AU3" i="10"/>
  <c r="AV3" i="10"/>
  <c r="AW3" i="10"/>
  <c r="AX3" i="10"/>
  <c r="AY3" i="10"/>
  <c r="AZ3" i="10"/>
  <c r="BA3" i="10"/>
  <c r="BB3" i="10"/>
  <c r="BC3" i="10"/>
  <c r="BD3" i="10"/>
  <c r="BE3" i="10"/>
  <c r="BF3" i="10"/>
  <c r="BG3" i="10"/>
  <c r="BH3" i="10"/>
  <c r="BI3" i="10"/>
  <c r="BJ3" i="10"/>
  <c r="BK3" i="10"/>
  <c r="BL3" i="10"/>
  <c r="BM3" i="10"/>
  <c r="BN3" i="10"/>
  <c r="BO3" i="10"/>
  <c r="BP3" i="10"/>
  <c r="BQ3" i="10"/>
  <c r="BR3" i="10"/>
  <c r="BS3" i="10"/>
  <c r="BT3" i="10"/>
  <c r="BU3" i="10"/>
  <c r="BV3" i="10"/>
  <c r="BW3" i="10"/>
  <c r="BX3" i="10"/>
  <c r="BY3" i="10"/>
  <c r="BZ3" i="10"/>
  <c r="CA3" i="10"/>
  <c r="CB3" i="10"/>
  <c r="CC3" i="10"/>
  <c r="CD3" i="10"/>
  <c r="CE3" i="10"/>
  <c r="CF3" i="10"/>
  <c r="CG3" i="10"/>
  <c r="CH3" i="10"/>
  <c r="CI3" i="10"/>
  <c r="CJ3" i="10"/>
  <c r="CK3" i="10"/>
  <c r="CM3" i="10"/>
  <c r="CN3" i="10"/>
  <c r="CO3" i="10"/>
  <c r="CP3" i="10"/>
  <c r="CQ3" i="10"/>
  <c r="CR3" i="10"/>
  <c r="CT3" i="10"/>
  <c r="CU3" i="10"/>
  <c r="CV3" i="10"/>
  <c r="CW3" i="10"/>
  <c r="CX3" i="10"/>
  <c r="CY3" i="10"/>
  <c r="DA3" i="10"/>
  <c r="DB3" i="10"/>
  <c r="DC3" i="10"/>
  <c r="DD3" i="10"/>
  <c r="DE3" i="10"/>
  <c r="DF3" i="10"/>
  <c r="DH3" i="10"/>
  <c r="DI3" i="10"/>
  <c r="DJ3" i="10"/>
  <c r="DK3" i="10"/>
  <c r="DL3" i="10"/>
  <c r="DM3" i="10"/>
  <c r="DO3" i="10"/>
  <c r="DP3" i="10"/>
  <c r="DQ3" i="10"/>
  <c r="DR3" i="10"/>
  <c r="DS3" i="10"/>
  <c r="DU3" i="10"/>
  <c r="DV3" i="10"/>
  <c r="DW3" i="10"/>
  <c r="DX3" i="10"/>
  <c r="DY3" i="10"/>
  <c r="DZ3" i="10"/>
  <c r="EA3" i="10"/>
  <c r="EB3" i="10"/>
  <c r="EC3" i="10"/>
  <c r="ED3" i="10"/>
  <c r="EE3" i="10"/>
  <c r="EF3" i="10"/>
  <c r="EG3" i="10"/>
  <c r="EH3" i="10"/>
  <c r="EI3" i="10"/>
  <c r="EJ3" i="10"/>
  <c r="EK3" i="10"/>
  <c r="EL3" i="10"/>
  <c r="EM3" i="10"/>
  <c r="EN3" i="10"/>
  <c r="EO3" i="10"/>
  <c r="EP3" i="10"/>
  <c r="EQ3" i="10"/>
  <c r="ER3" i="10"/>
  <c r="ES3" i="10"/>
  <c r="ET3" i="10"/>
  <c r="EU3" i="10"/>
  <c r="EV3" i="10"/>
  <c r="EW3" i="10"/>
  <c r="EX3" i="10"/>
  <c r="EY3" i="10"/>
  <c r="EZ3" i="10"/>
  <c r="FA3" i="10"/>
  <c r="FB3" i="10"/>
  <c r="FC3" i="10"/>
  <c r="FD3" i="10"/>
  <c r="FE3" i="10"/>
  <c r="FF3" i="10"/>
  <c r="FG3" i="10"/>
  <c r="FH3" i="10"/>
  <c r="FI3" i="10"/>
  <c r="FJ3" i="10"/>
  <c r="FK3" i="10"/>
  <c r="FL3" i="10"/>
  <c r="FM3" i="10"/>
  <c r="FN3" i="10"/>
  <c r="FO3" i="10"/>
  <c r="FP3" i="10"/>
  <c r="FQ3" i="10"/>
  <c r="FR3" i="10"/>
  <c r="FS3" i="10"/>
  <c r="FT3" i="10"/>
  <c r="FU3" i="10"/>
  <c r="FV3" i="10"/>
  <c r="FW3" i="10"/>
  <c r="FX3" i="10"/>
  <c r="FY3" i="10"/>
  <c r="FZ3" i="10"/>
  <c r="GA3" i="10"/>
  <c r="GB3" i="10"/>
  <c r="GC3" i="10"/>
  <c r="GD3" i="10"/>
  <c r="GE3" i="10"/>
  <c r="GF3" i="10"/>
  <c r="GG3" i="10"/>
  <c r="GH3" i="10"/>
  <c r="GI3" i="10"/>
  <c r="GJ3" i="10"/>
  <c r="GK3" i="10"/>
  <c r="GL3" i="10"/>
  <c r="GM3" i="10"/>
  <c r="GN3" i="10"/>
  <c r="GO3" i="10"/>
  <c r="GP3" i="10"/>
  <c r="GQ3" i="10"/>
  <c r="GR3" i="10"/>
  <c r="GS3" i="10"/>
  <c r="GT3" i="10"/>
  <c r="GU3" i="10"/>
  <c r="GV3" i="10"/>
  <c r="GW3" i="10"/>
  <c r="GX3" i="10"/>
  <c r="GY3" i="10"/>
  <c r="GZ3" i="10"/>
  <c r="HA3" i="10"/>
  <c r="HB3" i="10"/>
  <c r="HC3" i="10"/>
  <c r="HD3" i="10"/>
  <c r="HE3" i="10"/>
  <c r="HF3" i="10"/>
  <c r="HG3" i="10"/>
  <c r="HH3" i="10"/>
  <c r="HI3" i="10"/>
  <c r="HJ3" i="10"/>
  <c r="HK3" i="10"/>
  <c r="HL3" i="10"/>
  <c r="HM3" i="10"/>
  <c r="HN3" i="10"/>
  <c r="HO3" i="10"/>
  <c r="HP3" i="10"/>
  <c r="HQ3" i="10"/>
  <c r="HR3" i="10"/>
  <c r="HS3" i="10"/>
  <c r="HT3" i="10"/>
  <c r="HU3" i="10"/>
  <c r="HV3" i="10"/>
  <c r="HW3" i="10"/>
  <c r="HX3" i="10"/>
  <c r="HY3" i="10"/>
  <c r="HZ3" i="10"/>
  <c r="IA3" i="10"/>
  <c r="IB3" i="10"/>
  <c r="IC3" i="10"/>
  <c r="ID3" i="10"/>
  <c r="IE3" i="10"/>
  <c r="IF3" i="10"/>
  <c r="IG3" i="10"/>
  <c r="IH3" i="10"/>
  <c r="II3" i="10"/>
  <c r="IJ3" i="10"/>
  <c r="IK3" i="10"/>
  <c r="IL3" i="10"/>
  <c r="IM3" i="10"/>
  <c r="IN3" i="10"/>
  <c r="IO3" i="10"/>
  <c r="IP3" i="10"/>
  <c r="IQ3" i="10"/>
  <c r="IR3" i="10"/>
  <c r="IS3" i="10"/>
  <c r="IT3" i="10"/>
  <c r="IU3" i="10"/>
  <c r="IV3" i="10"/>
  <c r="A2" i="10"/>
  <c r="B2" i="10"/>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AK2" i="10"/>
  <c r="AL2" i="10"/>
  <c r="AM2" i="10"/>
  <c r="AN2" i="10"/>
  <c r="AO2" i="10"/>
  <c r="AP2" i="10"/>
  <c r="AQ2" i="10"/>
  <c r="AR2" i="10"/>
  <c r="AS2" i="10"/>
  <c r="AT2" i="10"/>
  <c r="AU2" i="10"/>
  <c r="AV2" i="10"/>
  <c r="AW2" i="10"/>
  <c r="AX2" i="10"/>
  <c r="AY2" i="10"/>
  <c r="AZ2" i="10"/>
  <c r="BA2" i="10"/>
  <c r="BB2" i="10"/>
  <c r="BC2" i="10"/>
  <c r="BD2" i="10"/>
  <c r="BE2" i="10"/>
  <c r="BF2" i="10"/>
  <c r="BG2" i="10"/>
  <c r="BH2" i="10"/>
  <c r="BI2" i="10"/>
  <c r="BJ2" i="10"/>
  <c r="BK2" i="10"/>
  <c r="BL2" i="10"/>
  <c r="BM2" i="10"/>
  <c r="BN2" i="10"/>
  <c r="BO2" i="10"/>
  <c r="BP2" i="10"/>
  <c r="BQ2" i="10"/>
  <c r="BR2" i="10"/>
  <c r="BS2" i="10"/>
  <c r="BT2" i="10"/>
  <c r="BU2" i="10"/>
  <c r="BV2" i="10"/>
  <c r="BW2" i="10"/>
  <c r="BX2" i="10"/>
  <c r="BY2" i="10"/>
  <c r="BZ2" i="10"/>
  <c r="CA2" i="10"/>
  <c r="CB2" i="10"/>
  <c r="CC2" i="10"/>
  <c r="CD2" i="10"/>
  <c r="CE2" i="10"/>
  <c r="CF2" i="10"/>
  <c r="CG2" i="10"/>
  <c r="CH2" i="10"/>
  <c r="CI2" i="10"/>
  <c r="CJ2" i="10"/>
  <c r="CK2" i="10"/>
  <c r="CL2" i="10"/>
  <c r="CM2" i="10"/>
  <c r="CN2" i="10"/>
  <c r="CO2" i="10"/>
  <c r="CP2" i="10"/>
  <c r="CQ2" i="10"/>
  <c r="CR2" i="10"/>
  <c r="CS2" i="10"/>
  <c r="CT2" i="10"/>
  <c r="CU2" i="10"/>
  <c r="CV2" i="10"/>
  <c r="CW2" i="10"/>
  <c r="CX2" i="10"/>
  <c r="CY2" i="10"/>
  <c r="CZ2" i="10"/>
  <c r="DA2" i="10"/>
  <c r="DB2" i="10"/>
  <c r="DC2" i="10"/>
  <c r="DD2" i="10"/>
  <c r="DE2" i="10"/>
  <c r="DF2" i="10"/>
  <c r="DG2" i="10"/>
  <c r="DH2" i="10"/>
  <c r="DI2" i="10"/>
  <c r="DJ2" i="10"/>
  <c r="DK2" i="10"/>
  <c r="DL2" i="10"/>
  <c r="DM2" i="10"/>
  <c r="DN2" i="10"/>
  <c r="DO2" i="10"/>
  <c r="DP2" i="10"/>
  <c r="DQ2" i="10"/>
  <c r="DR2" i="10"/>
  <c r="DS2" i="10"/>
  <c r="DT2" i="10"/>
  <c r="DU2" i="10"/>
  <c r="DV2" i="10"/>
  <c r="DW2" i="10"/>
  <c r="DX2" i="10"/>
  <c r="DY2" i="10"/>
  <c r="DZ2" i="10"/>
  <c r="EA2" i="10"/>
  <c r="EB2" i="10"/>
  <c r="EC2" i="10"/>
  <c r="ED2" i="10"/>
  <c r="EE2" i="10"/>
  <c r="EF2" i="10"/>
  <c r="EG2" i="10"/>
  <c r="EH2" i="10"/>
  <c r="EI2" i="10"/>
  <c r="EJ2" i="10"/>
  <c r="EK2" i="10"/>
  <c r="EL2" i="10"/>
  <c r="EM2" i="10"/>
  <c r="EN2" i="10"/>
  <c r="EO2" i="10"/>
  <c r="EP2" i="10"/>
  <c r="EQ2" i="10"/>
  <c r="ER2" i="10"/>
  <c r="ES2" i="10"/>
  <c r="ET2" i="10"/>
  <c r="EU2" i="10"/>
  <c r="EV2" i="10"/>
  <c r="EW2" i="10"/>
  <c r="EX2" i="10"/>
  <c r="EY2" i="10"/>
  <c r="EZ2" i="10"/>
  <c r="FA2" i="10"/>
  <c r="FB2" i="10"/>
  <c r="FC2" i="10"/>
  <c r="FD2" i="10"/>
  <c r="FE2" i="10"/>
  <c r="FF2" i="10"/>
  <c r="FG2" i="10"/>
  <c r="FH2" i="10"/>
  <c r="FI2" i="10"/>
  <c r="FJ2" i="10"/>
  <c r="FK2" i="10"/>
  <c r="FL2" i="10"/>
  <c r="FM2" i="10"/>
  <c r="FN2" i="10"/>
  <c r="FO2" i="10"/>
  <c r="FP2" i="10"/>
  <c r="FQ2" i="10"/>
  <c r="FR2" i="10"/>
  <c r="FS2" i="10"/>
  <c r="FT2" i="10"/>
  <c r="FU2" i="10"/>
  <c r="FV2" i="10"/>
  <c r="FW2" i="10"/>
  <c r="FX2" i="10"/>
  <c r="FY2" i="10"/>
  <c r="FZ2" i="10"/>
  <c r="GA2" i="10"/>
  <c r="GB2" i="10"/>
  <c r="GC2" i="10"/>
  <c r="GD2" i="10"/>
  <c r="GE2" i="10"/>
  <c r="GF2" i="10"/>
  <c r="GG2" i="10"/>
  <c r="GH2" i="10"/>
  <c r="GI2" i="10"/>
  <c r="GJ2" i="10"/>
  <c r="GK2" i="10"/>
  <c r="GL2" i="10"/>
  <c r="GM2" i="10"/>
  <c r="GN2" i="10"/>
  <c r="GO2" i="10"/>
  <c r="GP2" i="10"/>
  <c r="GQ2" i="10"/>
  <c r="GR2" i="10"/>
  <c r="GS2" i="10"/>
  <c r="GT2" i="10"/>
  <c r="GU2" i="10"/>
  <c r="GV2" i="10"/>
  <c r="GW2" i="10"/>
  <c r="GX2" i="10"/>
  <c r="GY2" i="10"/>
  <c r="GZ2" i="10"/>
  <c r="HA2" i="10"/>
  <c r="HB2" i="10"/>
  <c r="HC2" i="10"/>
  <c r="HD2" i="10"/>
  <c r="HE2" i="10"/>
  <c r="HF2" i="10"/>
  <c r="HG2" i="10"/>
  <c r="HH2" i="10"/>
  <c r="HI2" i="10"/>
  <c r="HJ2" i="10"/>
  <c r="HK2" i="10"/>
  <c r="HL2" i="10"/>
  <c r="HM2" i="10"/>
  <c r="HN2" i="10"/>
  <c r="HO2" i="10"/>
  <c r="HP2" i="10"/>
  <c r="HQ2" i="10"/>
  <c r="HR2" i="10"/>
  <c r="HS2" i="10"/>
  <c r="HT2" i="10"/>
  <c r="HU2" i="10"/>
  <c r="HV2" i="10"/>
  <c r="HW2" i="10"/>
  <c r="HX2" i="10"/>
  <c r="HY2" i="10"/>
  <c r="HZ2" i="10"/>
  <c r="IA2" i="10"/>
  <c r="IB2" i="10"/>
  <c r="IC2" i="10"/>
  <c r="ID2" i="10"/>
  <c r="IE2" i="10"/>
  <c r="IF2" i="10"/>
  <c r="IG2" i="10"/>
  <c r="IH2" i="10"/>
  <c r="II2" i="10"/>
  <c r="IJ2" i="10"/>
  <c r="IK2" i="10"/>
  <c r="IL2" i="10"/>
  <c r="IM2" i="10"/>
  <c r="IN2" i="10"/>
  <c r="IO2" i="10"/>
  <c r="IP2" i="10"/>
  <c r="IQ2" i="10"/>
  <c r="IR2" i="10"/>
  <c r="IS2" i="10"/>
  <c r="IT2" i="10"/>
  <c r="IU2" i="10"/>
  <c r="IV2" i="10"/>
  <c r="A1" i="10"/>
  <c r="B1" i="10"/>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AG1" i="10"/>
  <c r="AH1" i="10"/>
  <c r="AI1" i="10"/>
  <c r="AJ1" i="10"/>
  <c r="AK1" i="10"/>
  <c r="AL1" i="10"/>
  <c r="AM1" i="10"/>
  <c r="AN1" i="10"/>
  <c r="AO1" i="10"/>
  <c r="AP1" i="10"/>
  <c r="AQ1" i="10"/>
  <c r="AR1" i="10"/>
  <c r="AS1" i="10"/>
  <c r="AT1" i="10"/>
  <c r="AU1" i="10"/>
  <c r="AV1" i="10"/>
  <c r="AW1" i="10"/>
  <c r="AX1" i="10"/>
  <c r="AY1" i="10"/>
  <c r="AZ1" i="10"/>
  <c r="BA1" i="10"/>
  <c r="BB1" i="10"/>
  <c r="BC1" i="10"/>
  <c r="BD1" i="10"/>
  <c r="BE1" i="10"/>
  <c r="BF1" i="10"/>
  <c r="BG1" i="10"/>
  <c r="BH1" i="10"/>
  <c r="BI1" i="10"/>
  <c r="BJ1" i="10"/>
  <c r="BK1" i="10"/>
  <c r="BL1" i="10"/>
  <c r="BM1" i="10"/>
  <c r="BN1" i="10"/>
  <c r="BO1" i="10"/>
  <c r="BP1" i="10"/>
  <c r="BQ1" i="10"/>
  <c r="BR1" i="10"/>
  <c r="BS1" i="10"/>
  <c r="BT1" i="10"/>
  <c r="BU1" i="10"/>
  <c r="BV1" i="10"/>
  <c r="BW1" i="10"/>
  <c r="BX1" i="10"/>
  <c r="BY1" i="10"/>
  <c r="BZ1" i="10"/>
  <c r="CA1" i="10"/>
  <c r="CB1" i="10"/>
  <c r="CC1" i="10"/>
  <c r="CD1" i="10"/>
  <c r="CE1" i="10"/>
  <c r="CF1" i="10"/>
  <c r="CG1" i="10"/>
  <c r="CH1" i="10"/>
  <c r="CI1" i="10"/>
  <c r="CJ1" i="10"/>
  <c r="CK1" i="10"/>
  <c r="CL1" i="10"/>
  <c r="CM1" i="10"/>
  <c r="CN1" i="10"/>
  <c r="CO1" i="10"/>
  <c r="CP1" i="10"/>
  <c r="CQ1" i="10"/>
  <c r="CR1" i="10"/>
  <c r="CS1" i="10"/>
  <c r="CT1" i="10"/>
  <c r="CU1" i="10"/>
  <c r="CV1" i="10"/>
  <c r="CX1" i="10"/>
  <c r="CY1" i="10"/>
  <c r="CZ1" i="10"/>
  <c r="DA1" i="10"/>
  <c r="DB1" i="10"/>
  <c r="DC1" i="10"/>
  <c r="DD1" i="10"/>
  <c r="DF1" i="10"/>
  <c r="DG1" i="10"/>
  <c r="DH1" i="10"/>
  <c r="DI1" i="10"/>
  <c r="DJ1" i="10"/>
  <c r="DK1" i="10"/>
  <c r="DL1" i="10"/>
  <c r="DN1" i="10"/>
  <c r="DO1" i="10"/>
  <c r="DP1" i="10"/>
  <c r="DQ1" i="10"/>
  <c r="DR1" i="10"/>
  <c r="DS1" i="10"/>
  <c r="DT1" i="10"/>
  <c r="DV1" i="10"/>
  <c r="DW1" i="10"/>
  <c r="DX1" i="10"/>
  <c r="DY1" i="10"/>
  <c r="DZ1" i="10"/>
  <c r="EA1" i="10"/>
  <c r="EB1" i="10"/>
  <c r="ED1" i="10"/>
  <c r="EE1" i="10"/>
  <c r="EF1" i="10"/>
  <c r="EG1" i="10"/>
  <c r="EH1" i="10"/>
  <c r="EI1" i="10"/>
  <c r="EJ1" i="10"/>
  <c r="EK1" i="10"/>
  <c r="EL1" i="10"/>
  <c r="EM1" i="10"/>
  <c r="EN1" i="10"/>
  <c r="EO1" i="10"/>
  <c r="EP1" i="10"/>
  <c r="EQ1" i="10"/>
  <c r="ER1" i="10"/>
  <c r="ES1" i="10"/>
  <c r="ET1" i="10"/>
  <c r="EU1" i="10"/>
  <c r="EV1" i="10"/>
  <c r="EW1" i="10"/>
  <c r="EX1" i="10"/>
  <c r="EY1" i="10"/>
  <c r="EZ1" i="10"/>
  <c r="FA1" i="10"/>
  <c r="FB1" i="10"/>
  <c r="FC1" i="10"/>
  <c r="FD1" i="10"/>
  <c r="FE1" i="10"/>
  <c r="FF1" i="10"/>
  <c r="FG1" i="10"/>
  <c r="FH1" i="10"/>
  <c r="FI1" i="10"/>
  <c r="FJ1" i="10"/>
  <c r="FK1" i="10"/>
  <c r="FL1" i="10"/>
  <c r="FM1" i="10"/>
  <c r="FN1" i="10"/>
  <c r="FO1" i="10"/>
  <c r="FP1" i="10"/>
  <c r="FQ1" i="10"/>
  <c r="FR1" i="10"/>
  <c r="FS1" i="10"/>
  <c r="FT1" i="10"/>
  <c r="FU1" i="10"/>
  <c r="FV1" i="10"/>
  <c r="FW1" i="10"/>
  <c r="FX1" i="10"/>
  <c r="FY1" i="10"/>
  <c r="FZ1" i="10"/>
  <c r="GA1" i="10"/>
  <c r="GB1" i="10"/>
  <c r="GC1" i="10"/>
  <c r="GD1" i="10"/>
  <c r="GE1" i="10"/>
  <c r="GF1" i="10"/>
  <c r="GG1" i="10"/>
  <c r="GH1" i="10"/>
  <c r="GI1" i="10"/>
  <c r="GJ1" i="10"/>
  <c r="GK1" i="10"/>
  <c r="GL1" i="10"/>
  <c r="GM1" i="10"/>
  <c r="GN1" i="10"/>
  <c r="GO1" i="10"/>
  <c r="GP1" i="10"/>
  <c r="GQ1" i="10"/>
  <c r="GR1" i="10"/>
  <c r="GS1" i="10"/>
  <c r="GT1" i="10"/>
  <c r="GU1" i="10"/>
  <c r="GV1" i="10"/>
  <c r="GW1" i="10"/>
  <c r="GX1" i="10"/>
  <c r="GY1" i="10"/>
  <c r="GZ1" i="10"/>
  <c r="HA1" i="10"/>
  <c r="HB1" i="10"/>
  <c r="HC1" i="10"/>
  <c r="HD1" i="10"/>
  <c r="HE1" i="10"/>
  <c r="HF1" i="10"/>
  <c r="HG1" i="10"/>
  <c r="HH1" i="10"/>
  <c r="HI1" i="10"/>
  <c r="HJ1" i="10"/>
  <c r="HK1" i="10"/>
  <c r="HL1" i="10"/>
  <c r="HM1" i="10"/>
  <c r="HN1" i="10"/>
  <c r="HO1" i="10"/>
  <c r="HP1" i="10"/>
  <c r="HQ1" i="10"/>
  <c r="HR1" i="10"/>
  <c r="HS1" i="10"/>
  <c r="HT1" i="10"/>
  <c r="HU1" i="10"/>
  <c r="HV1" i="10"/>
  <c r="HW1" i="10"/>
  <c r="HX1" i="10"/>
  <c r="HY1" i="10"/>
  <c r="HZ1" i="10"/>
  <c r="IA1" i="10"/>
  <c r="IB1" i="10"/>
  <c r="IC1" i="10"/>
  <c r="ID1" i="10"/>
  <c r="IE1" i="10"/>
  <c r="IF1" i="10"/>
  <c r="IG1" i="10"/>
  <c r="IH1" i="10"/>
  <c r="II1" i="10"/>
  <c r="IJ1" i="10"/>
  <c r="IK1" i="10"/>
  <c r="IL1" i="10"/>
  <c r="IM1" i="10"/>
  <c r="IN1" i="10"/>
  <c r="IO1" i="10"/>
  <c r="IP1" i="10"/>
  <c r="IQ1" i="10"/>
  <c r="IR1" i="10"/>
  <c r="IS1" i="10"/>
  <c r="IT1" i="10"/>
  <c r="IU1" i="10"/>
  <c r="IV1" i="10"/>
  <c r="H31" i="8" l="1"/>
  <c r="DT3" i="10" s="1"/>
  <c r="H114" i="8"/>
  <c r="J113" i="8" l="1"/>
  <c r="J30" i="8"/>
  <c r="D20" i="7" s="1"/>
  <c r="EC1" i="10" s="1"/>
  <c r="J27" i="8"/>
  <c r="J29" i="8"/>
  <c r="J26" i="8"/>
  <c r="J28" i="8"/>
  <c r="J112" i="8"/>
  <c r="J111" i="8"/>
  <c r="J110" i="8"/>
  <c r="J109" i="8"/>
  <c r="DG3" i="10"/>
  <c r="CZ3" i="10"/>
  <c r="DN3" i="10"/>
  <c r="D18" i="7" l="1"/>
  <c r="DM1" i="10" s="1"/>
  <c r="CL3" i="10"/>
  <c r="D16" i="7"/>
  <c r="D19" i="7"/>
  <c r="DU1" i="10" s="1"/>
  <c r="CS3" i="10"/>
  <c r="D17" i="7"/>
  <c r="DE1" i="10"/>
  <c r="J114" i="8"/>
  <c r="CW1" i="10"/>
  <c r="J31" i="8"/>
</calcChain>
</file>

<file path=xl/sharedStrings.xml><?xml version="1.0" encoding="utf-8"?>
<sst xmlns="http://schemas.openxmlformats.org/spreadsheetml/2006/main" count="211" uniqueCount="163">
  <si>
    <t>Linux Embedded-Syllabus</t>
  </si>
  <si>
    <t>&lt;The purpose of Syllabus is to design a Topic or Module, identify objectives, make schedule, assessment method, etc.</t>
  </si>
  <si>
    <t>Based on that, Content Owner can make courseware&gt;</t>
  </si>
  <si>
    <t>Topic Name</t>
  </si>
  <si>
    <t>Linux Embedded</t>
  </si>
  <si>
    <t>Topic Code</t>
  </si>
  <si>
    <t>Version</t>
  </si>
  <si>
    <t>&lt;v1.0&gt;</t>
  </si>
  <si>
    <t>Training Audience</t>
  </si>
  <si>
    <t>Trainee with good background on programming</t>
  </si>
  <si>
    <t>Course Objectives</t>
  </si>
  <si>
    <r>
      <rPr>
        <i/>
        <sz val="10"/>
        <rFont val="Aarial"/>
      </rPr>
      <t>&lt;This topic is to introduce about SQL knowledge; adapt trainees with skills, lessons and practices which is specifically used in the Fsoft projects. &gt;</t>
    </r>
    <r>
      <rPr>
        <sz val="10"/>
        <rFont val="Aarial"/>
      </rPr>
      <t xml:space="preserve">
</t>
    </r>
    <r>
      <rPr>
        <b/>
        <i/>
        <sz val="10"/>
        <rFont val="Aarial"/>
      </rPr>
      <t>The topic cover following output standards</t>
    </r>
  </si>
  <si>
    <t>Name</t>
  </si>
  <si>
    <t>Code</t>
  </si>
  <si>
    <t>Description</t>
  </si>
  <si>
    <t>Linux basic</t>
  </si>
  <si>
    <t> </t>
  </si>
  <si>
    <t>Working familiar with Linux environment</t>
  </si>
  <si>
    <t>Shell script</t>
  </si>
  <si>
    <t>A shell script is a computer program designed to be run by the Unix shell, a command-line interpreter</t>
  </si>
  <si>
    <t>Device driver</t>
  </si>
  <si>
    <t>Device driver is a computer program that operates or controls a particular type of device that is attached to a computer</t>
  </si>
  <si>
    <r>
      <t>In details, after completing the course, trainees will</t>
    </r>
    <r>
      <rPr>
        <b/>
        <sz val="11"/>
        <rFont val="Calibri"/>
        <family val="2"/>
      </rPr>
      <t xml:space="preserve"> </t>
    </r>
    <r>
      <rPr>
        <sz val="11"/>
        <rFont val="Calibri"/>
        <family val="2"/>
      </rPr>
      <t xml:space="preserve">be familiar with:
- Hiểu và sử dụng thành thạo môi trường Linux
- Nắm vững kiến thức lập trình shell script, device driver trên môi trường Linux
- Có khả năng create testcase và run test trên môi trường Linux </t>
    </r>
  </si>
  <si>
    <t>Topic Outline</t>
  </si>
  <si>
    <t>Unit 01: Introduction to Linux
Unit 02: Linux basic
Unit 03: Linux Insight
Unit 04: Advance: Linux Device Tree
Unit 05: Linux Bootloader on Raspberry Pi 4
Unit 06: Linux Kernel on Raspberry Pi 4
Unit 07: User Application on Raspberry Pi 4- Part1
Unit 08: User Application on Raspberry Pi 4 - Part2
Unit 09: Linux Kernel driver on Raspberry Pi 4</t>
  </si>
  <si>
    <t>Time Allocation</t>
  </si>
  <si>
    <t>Concept/Lecture</t>
  </si>
  <si>
    <t>&lt;Concepts, theory&gt;</t>
  </si>
  <si>
    <t>17 Days</t>
  </si>
  <si>
    <t>Assignment/Lab</t>
  </si>
  <si>
    <t>&lt;Assignment, Lab&gt;</t>
  </si>
  <si>
    <t>Guides/Review</t>
  </si>
  <si>
    <t>&lt;Quiz, assignment review
Assignment guides&gt;</t>
  </si>
  <si>
    <t>Test/Quiz</t>
  </si>
  <si>
    <t>&lt;Daily quiz&gt;</t>
  </si>
  <si>
    <t>Exam</t>
  </si>
  <si>
    <t>&lt;Pre-Test, Final Topic Test&gt;</t>
  </si>
  <si>
    <t>Training Materials &amp; Environments</t>
  </si>
  <si>
    <t>Text book</t>
  </si>
  <si>
    <t>None text book</t>
  </si>
  <si>
    <t>Tài liệu training bao gồm bài giảng dạng powerpoint slides &amp; pdf được Giảng viên chuẩn bị riêng theo chương trình .</t>
  </si>
  <si>
    <t>References</t>
  </si>
  <si>
    <t>1. http://free-electrons.com/</t>
  </si>
  <si>
    <t>2. http://www.freeos.com/guides/lsst/</t>
  </si>
  <si>
    <t>Technical requirements</t>
  </si>
  <si>
    <t>Trainees’ PCs need to have following softwares installed &amp; run smoothly:
• Ubuntu on Virtual Machine or Ubuntu OS 18.04lts</t>
  </si>
  <si>
    <t>Assessment Scheme</t>
  </si>
  <si>
    <t>Quiz</t>
  </si>
  <si>
    <t>20% (3 quizzes, ~15 multiple choice questions/quiz - to do in ~30 minutes)</t>
  </si>
  <si>
    <t>Assignments</t>
  </si>
  <si>
    <t>20% (Gồm tổng số 10 bài assignments, tỷ trọng là 20% tổng điểm khóa học, giảng viên chấm đều tất cả các bài).</t>
  </si>
  <si>
    <t>Midterm Test</t>
  </si>
  <si>
    <t>20% Bài kiểm tr giữa kỳ học.</t>
  </si>
  <si>
    <t>Final Test</t>
  </si>
  <si>
    <t>40% Bài kiểm tra cuối môn học.</t>
  </si>
  <si>
    <t>Passing criteria</t>
  </si>
  <si>
    <t>Total topic GPA &gt;= 6/10
Quiz &amp; Assignment attendant = 100%
Attendant &gt;=80% of training time</t>
  </si>
  <si>
    <t>Training Delivery Principles</t>
  </si>
  <si>
    <t>Trainees</t>
  </si>
  <si>
    <t>Tối ưu không quá 10 học viên/ lớp thực hành. Tối đa không quá 20 người.</t>
  </si>
  <si>
    <t>Trainer</t>
  </si>
  <si>
    <t>Giảng viên cần ít nhất 2 năm kinh nghiệm tham gia các dự án phát triển phần mềm và thao tác trực tiếp với Linux.</t>
  </si>
  <si>
    <t>Training</t>
  </si>
  <si>
    <t>Đảm bảo có trợ giảng hướng dẫn học viên trong suốt quá trình họ làm assignments
Giảng viên chính (dạy lý thuyết) sẽ chấm điểm assignment và đưa ra suggessions.
Trong trường hợp lớp &lt;10 học viên, có thể tổ chức theo hình thức cho học viên tự đọc kết hợp hướng dẫn trực tiếp (mentoring) tại chỗ học viên; Vẫn tổ chức các đánh giá (Quiz, Assignment) bình thường.</t>
  </si>
  <si>
    <t>Re-Test</t>
  </si>
  <si>
    <t>&lt;Chỉ cho phép mỗi học viên thi lại tối đa 2 lần; Đề thi lại cấu trúc giống đề Final Test&gt;</t>
  </si>
  <si>
    <t>Marking</t>
  </si>
  <si>
    <t>&lt;Giảng viên thực hành sẽ chấm các bài thực hành (assignment hoặc exam) và gửi điểm (có đánh giá cụ thể) bài làm tới học viên trước khi chữa bài vào buổi chiều. Yêu cầu mỗi học viên cần có 2/4 bài assignment được chấm.
Trường hợp học viên phải thi lại, điểm vào sổ được tính như sau:
- Nếu điểm thi &gt;=6 thì lấy điểm 6
- Nếu điểm thi &lt;6 thì lấy điểm đó&gt;</t>
  </si>
  <si>
    <t>Waiver Criteria</t>
  </si>
  <si>
    <t>Đối tượng được miễn môn học này là những học viên đã tham gia những khóa học tương tự và có chứng nhận của nhà cung cấp</t>
  </si>
  <si>
    <t>Others</t>
  </si>
  <si>
    <t>Nội dung giảng dạy của học viên có thể cần đến các đạo cụ, quản lý lớp cần phối hợp để chuẩn bị trước khi lớp học bắt đầu</t>
  </si>
  <si>
    <t>Training Unit/Chapter</t>
  </si>
  <si>
    <t>Day</t>
  </si>
  <si>
    <t>Lecture</t>
  </si>
  <si>
    <t>Content</t>
  </si>
  <si>
    <t>Learning Objectives</t>
  </si>
  <si>
    <t>Delivery Type</t>
  </si>
  <si>
    <t>Duration (hrs)</t>
  </si>
  <si>
    <t>Training Materials / Logistics &amp; General Notes
(Required, For Reference, etc.)</t>
  </si>
  <si>
    <t>Chapter 1:
Introduction</t>
  </si>
  <si>
    <t xml:space="preserve">Linux and Embedded Systems: An Introduction </t>
  </si>
  <si>
    <t>Day 1</t>
  </si>
  <si>
    <t>Unit 1.1 - Introduction Linux OS.pptx</t>
  </si>
  <si>
    <t>Introduction to the course
Discuss with trainee to know where they are
Introduction to Linux Operation System, Basic commands and Ubuntu packages
Setup Linux Ubuntu environment</t>
  </si>
  <si>
    <t>- Introduce about Open source community, Linux environment,
- Introduce basic Linux commands, common ubuntu packages</t>
  </si>
  <si>
    <t>Daily Assignment Giving: Assignment 01</t>
  </si>
  <si>
    <t>Trainee can have basic understanding about Open Source community, Linux Operation System. They also will be faimilar with basic Linux commands, applications, and packages that using daily.</t>
  </si>
  <si>
    <t>Review of C and GNU extensions for Linux drivers</t>
  </si>
  <si>
    <t>Day 2</t>
  </si>
  <si>
    <t>Unit 1.2 - Linux basic.pptx</t>
  </si>
  <si>
    <t>Basic shell scripts and Makefile</t>
  </si>
  <si>
    <t>Basic knowledge about Bash shell script and Makefile</t>
  </si>
  <si>
    <t>Linux Process &amp; Threads</t>
  </si>
  <si>
    <t>Introduce multi-threading programming in Linux, mutex, semaphore, message queue, unix socket.</t>
  </si>
  <si>
    <t>Daily Assignment Giving: Assignment 02</t>
  </si>
  <si>
    <t>Trainee can write a simple shell script and makefile</t>
  </si>
  <si>
    <t>Chapter 2:</t>
  </si>
  <si>
    <t>- Linux-based ES Component Stack
- Configuration and Build Process of an Embedded Linux System</t>
  </si>
  <si>
    <t>Day 3</t>
  </si>
  <si>
    <t>Unit 2.1 - Linux BSP components</t>
  </si>
  <si>
    <t>- Boot flow
- Uboot
- Linux
- Rootfs</t>
  </si>
  <si>
    <t>- Introduce Linux kernel boot flow.
- Introduce Linux BSP component: Uboot, Rootfs.
- How to build uboot, linux, rootfs.</t>
  </si>
  <si>
    <t>Daily Assignment Giving: Assignment 03</t>
  </si>
  <si>
    <t>Create sdcard to setup boot Linux OS on Pi4 board.</t>
  </si>
  <si>
    <t>Day 4</t>
  </si>
  <si>
    <t>Unit 2.3- Yocto</t>
  </si>
  <si>
    <t>- Introduce Yocto</t>
  </si>
  <si>
    <t>- Introduce Yocto, how to setup, useful commands
- How to build an linux component image using Yocto, run with PI 4 board.
- How to add/remove package into/from image".</t>
  </si>
  <si>
    <t>Daily Assignment Giving: Assignment 04</t>
  </si>
  <si>
    <t>Download and setup to build all image for PI4 board by yocto.</t>
  </si>
  <si>
    <t xml:space="preserve">Lab 1: Basic Linux Structure and Shell Commands </t>
  </si>
  <si>
    <t>Day4.1</t>
  </si>
  <si>
    <t>&lt;Learning objectives&gt;</t>
  </si>
  <si>
    <t>Chapter 3: Loadable Kernel Module</t>
  </si>
  <si>
    <t>- Introduction to Linux drivers.
- Introduction to Linux Kernel Modules.</t>
  </si>
  <si>
    <t>Day 5</t>
  </si>
  <si>
    <t>Communication Between Kernel and User Space</t>
  </si>
  <si>
    <t>Day 6</t>
  </si>
  <si>
    <t>- Systemcall
- Ioctl</t>
  </si>
  <si>
    <t>Review</t>
  </si>
  <si>
    <t>Present and review</t>
  </si>
  <si>
    <t>Day 7</t>
  </si>
  <si>
    <t xml:space="preserve">Lab 2: C language: function calls, C structures and pointers </t>
  </si>
  <si>
    <t>Day 7.1</t>
  </si>
  <si>
    <t>Midterm exam</t>
  </si>
  <si>
    <t>Day 8</t>
  </si>
  <si>
    <t>Chapter 4: Character Device</t>
  </si>
  <si>
    <t>Application Demo Part 1</t>
  </si>
  <si>
    <t>Day 9</t>
  </si>
  <si>
    <t>Application Demo Part 2</t>
  </si>
  <si>
    <t>Day 10</t>
  </si>
  <si>
    <t>Application Demo Part 3</t>
  </si>
  <si>
    <t>Day 11</t>
  </si>
  <si>
    <t xml:space="preserve">Lab 3. Char driver </t>
  </si>
  <si>
    <t>Day11.1</t>
  </si>
  <si>
    <t>Chapter 5: Synchronization Problems</t>
  </si>
  <si>
    <t>Synchronization Problems</t>
  </si>
  <si>
    <t>Day 12</t>
  </si>
  <si>
    <t>Mutex Locks</t>
  </si>
  <si>
    <t>Day 13</t>
  </si>
  <si>
    <t>Final Exam</t>
  </si>
  <si>
    <t>Day 14</t>
  </si>
  <si>
    <t>Total</t>
  </si>
  <si>
    <t>AUTHORSHIP</t>
  </si>
  <si>
    <t>Role</t>
  </si>
  <si>
    <t>Account</t>
  </si>
  <si>
    <t>Unit</t>
  </si>
  <si>
    <t>Notes</t>
  </si>
  <si>
    <t>Creator</t>
  </si>
  <si>
    <t>Tran Van Kho</t>
  </si>
  <si>
    <t>KhoTV</t>
  </si>
  <si>
    <t>Reviewer</t>
  </si>
  <si>
    <t>Approver</t>
  </si>
  <si>
    <t>RECORD OF CHANGES</t>
  </si>
  <si>
    <t>*A - Added M - Modified D - Deleted</t>
  </si>
  <si>
    <t>Date</t>
  </si>
  <si>
    <t>Changes</t>
  </si>
  <si>
    <t>A*
M, D</t>
  </si>
  <si>
    <t>Contents</t>
  </si>
  <si>
    <t>AAAAAH/rVCM=</t>
  </si>
  <si>
    <t>AAAAAH/rVCQ=</t>
  </si>
  <si>
    <t>AAAAAH/rVCU=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</si>
</sst>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0"/>
      <color theme="1"/>
      <name val="Arial"/>
      <family val="2"/>
    </font>
    <font>
      <sz val="11"/>
      <color theme="1"/>
      <name val="Calibri"/>
      <family val="2"/>
      <scheme val="minor"/>
    </font>
    <font>
      <sz val="10"/>
      <color indexed="8"/>
      <name val="Arial"/>
      <family val="2"/>
    </font>
    <font>
      <sz val="11"/>
      <color indexed="8"/>
      <name val="Calibri"/>
      <family val="2"/>
    </font>
    <font>
      <sz val="8"/>
      <name val="Arial"/>
      <family val="2"/>
    </font>
    <font>
      <b/>
      <sz val="14"/>
      <name val="Aarial"/>
    </font>
    <font>
      <b/>
      <sz val="10"/>
      <name val="Aarial"/>
    </font>
    <font>
      <sz val="10"/>
      <name val="Aarial"/>
    </font>
    <font>
      <i/>
      <sz val="10"/>
      <name val="Aarial"/>
    </font>
    <font>
      <b/>
      <i/>
      <sz val="10"/>
      <name val="Aarial"/>
    </font>
    <font>
      <b/>
      <sz val="14"/>
      <name val="Arial"/>
      <family val="2"/>
    </font>
    <font>
      <b/>
      <sz val="10"/>
      <name val="Arial"/>
      <family val="2"/>
    </font>
    <font>
      <b/>
      <sz val="10"/>
      <color indexed="8"/>
      <name val="Arial"/>
      <family val="2"/>
    </font>
    <font>
      <sz val="10"/>
      <name val="Arial"/>
      <family val="2"/>
    </font>
    <font>
      <sz val="10"/>
      <color theme="1"/>
      <name val="Arial"/>
      <family val="2"/>
    </font>
    <font>
      <sz val="11"/>
      <color theme="1"/>
      <name val="Calibri"/>
      <family val="2"/>
      <scheme val="minor"/>
    </font>
    <font>
      <b/>
      <sz val="11"/>
      <color theme="1"/>
      <name val="Calibri"/>
      <family val="2"/>
      <scheme val="minor"/>
    </font>
    <font>
      <sz val="11"/>
      <color indexed="8"/>
      <name val="Calibri"/>
      <family val="2"/>
      <scheme val="minor"/>
    </font>
    <font>
      <sz val="11"/>
      <color rgb="FF000000"/>
      <name val="Calibri"/>
      <family val="2"/>
    </font>
    <font>
      <sz val="13"/>
      <color rgb="FF000000"/>
      <name val="Times New Roman"/>
      <family val="1"/>
    </font>
    <font>
      <sz val="11"/>
      <name val="Calibri"/>
      <family val="2"/>
    </font>
    <font>
      <b/>
      <sz val="11"/>
      <name val="Calibri"/>
      <family val="2"/>
    </font>
    <font>
      <b/>
      <i/>
      <sz val="11"/>
      <name val="Calibri"/>
      <family val="2"/>
    </font>
    <font>
      <sz val="11"/>
      <name val="Aarial"/>
    </font>
    <font>
      <sz val="10"/>
      <color rgb="FF000000"/>
      <name val="Arial"/>
      <charset val="1"/>
    </font>
  </fonts>
  <fills count="8">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FFFF"/>
        <bgColor rgb="FF000000"/>
      </patternFill>
    </fill>
    <fill>
      <patternFill patternType="solid">
        <fgColor rgb="FFC6E0B4"/>
        <bgColor indexed="64"/>
      </patternFill>
    </fill>
    <fill>
      <patternFill patternType="solid">
        <fgColor indexed="65"/>
        <bgColor rgb="FF000000"/>
      </patternFill>
    </fill>
  </fills>
  <borders count="2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style="thin">
        <color rgb="FF000000"/>
      </bottom>
      <diagonal/>
    </border>
  </borders>
  <cellStyleXfs count="4">
    <xf numFmtId="0" fontId="0" fillId="0" borderId="0"/>
    <xf numFmtId="0" fontId="15" fillId="0" borderId="0"/>
    <xf numFmtId="0" fontId="15" fillId="0" borderId="0"/>
    <xf numFmtId="9" fontId="3" fillId="0" borderId="0" applyFont="0" applyFill="0" applyBorder="0" applyAlignment="0" applyProtection="0"/>
  </cellStyleXfs>
  <cellXfs count="198">
    <xf numFmtId="0" fontId="0" fillId="0" borderId="0" xfId="0"/>
    <xf numFmtId="0" fontId="15" fillId="0" borderId="0" xfId="1"/>
    <xf numFmtId="9" fontId="2" fillId="0" borderId="0" xfId="3" applyFont="1"/>
    <xf numFmtId="0" fontId="13" fillId="2" borderId="1" xfId="0" applyFont="1" applyFill="1" applyBorder="1" applyAlignment="1">
      <alignment vertical="top" wrapText="1"/>
    </xf>
    <xf numFmtId="0" fontId="13" fillId="2" borderId="1" xfId="0" applyFont="1" applyFill="1" applyBorder="1" applyAlignment="1">
      <alignment vertical="top"/>
    </xf>
    <xf numFmtId="0" fontId="11" fillId="3" borderId="1" xfId="1" applyFont="1" applyFill="1" applyBorder="1"/>
    <xf numFmtId="0" fontId="13" fillId="2" borderId="2" xfId="0" applyFont="1" applyFill="1" applyBorder="1" applyAlignment="1">
      <alignment vertical="top" wrapText="1"/>
    </xf>
    <xf numFmtId="15" fontId="2" fillId="2" borderId="2" xfId="0" applyNumberFormat="1" applyFont="1" applyFill="1" applyBorder="1" applyAlignment="1">
      <alignment vertical="top" wrapText="1"/>
    </xf>
    <xf numFmtId="0" fontId="2" fillId="2" borderId="2" xfId="0" applyFont="1" applyFill="1" applyBorder="1" applyAlignment="1">
      <alignment vertical="top" wrapText="1"/>
    </xf>
    <xf numFmtId="0" fontId="11" fillId="3" borderId="2" xfId="0" applyFont="1" applyFill="1" applyBorder="1" applyAlignment="1">
      <alignment horizontal="center" vertical="center" wrapText="1"/>
    </xf>
    <xf numFmtId="0" fontId="13" fillId="3" borderId="0" xfId="1" applyFont="1" applyFill="1"/>
    <xf numFmtId="0" fontId="13" fillId="3" borderId="0" xfId="1" applyFont="1" applyFill="1" applyAlignment="1">
      <alignment horizontal="left"/>
    </xf>
    <xf numFmtId="0" fontId="13" fillId="3" borderId="0" xfId="1" applyFont="1" applyFill="1" applyAlignment="1">
      <alignment horizontal="right"/>
    </xf>
    <xf numFmtId="0" fontId="2" fillId="3" borderId="0" xfId="0" applyFont="1" applyFill="1" applyAlignment="1">
      <alignment vertical="center"/>
    </xf>
    <xf numFmtId="0" fontId="2" fillId="3" borderId="0" xfId="0" applyFont="1" applyFill="1"/>
    <xf numFmtId="15" fontId="12" fillId="3" borderId="2" xfId="0" applyNumberFormat="1" applyFont="1" applyFill="1" applyBorder="1" applyAlignment="1">
      <alignment vertical="top" wrapText="1"/>
    </xf>
    <xf numFmtId="0" fontId="12" fillId="3" borderId="2" xfId="0" applyFont="1" applyFill="1" applyBorder="1" applyAlignment="1">
      <alignment vertical="top" wrapText="1"/>
    </xf>
    <xf numFmtId="0" fontId="7" fillId="3" borderId="0" xfId="0" applyFont="1" applyFill="1" applyAlignment="1">
      <alignment vertical="center"/>
    </xf>
    <xf numFmtId="0" fontId="8" fillId="3" borderId="0" xfId="0" applyFont="1" applyFill="1" applyAlignment="1">
      <alignment vertical="center"/>
    </xf>
    <xf numFmtId="0" fontId="6" fillId="3" borderId="4" xfId="0" applyFont="1" applyFill="1" applyBorder="1" applyAlignment="1">
      <alignment horizontal="center" vertical="center" wrapText="1"/>
    </xf>
    <xf numFmtId="0" fontId="6" fillId="3" borderId="5" xfId="0" applyFont="1" applyFill="1" applyBorder="1" applyAlignment="1">
      <alignment vertical="center" wrapText="1"/>
    </xf>
    <xf numFmtId="0" fontId="7" fillId="3" borderId="0" xfId="0" applyFont="1" applyFill="1" applyAlignment="1">
      <alignment vertical="center" wrapText="1"/>
    </xf>
    <xf numFmtId="9" fontId="7" fillId="3" borderId="2" xfId="0" applyNumberFormat="1" applyFont="1" applyFill="1" applyBorder="1" applyAlignment="1">
      <alignment horizontal="center" vertical="center" wrapText="1"/>
    </xf>
    <xf numFmtId="0" fontId="9" fillId="3" borderId="7" xfId="0" applyFont="1" applyFill="1" applyBorder="1" applyAlignment="1">
      <alignment vertical="center" wrapText="1"/>
    </xf>
    <xf numFmtId="0" fontId="13" fillId="0" borderId="1" xfId="1" applyFont="1" applyBorder="1" applyAlignment="1">
      <alignment horizontal="left" vertical="top"/>
    </xf>
    <xf numFmtId="0" fontId="13" fillId="0" borderId="1" xfId="1" applyFont="1" applyBorder="1"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pplyProtection="1">
      <alignment horizontal="left" vertical="top" wrapText="1"/>
      <protection locked="0"/>
    </xf>
    <xf numFmtId="0" fontId="8" fillId="2" borderId="2" xfId="0" applyFont="1" applyFill="1" applyBorder="1" applyAlignment="1">
      <alignment vertical="center" wrapText="1"/>
    </xf>
    <xf numFmtId="0" fontId="9" fillId="3" borderId="2"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vertical="center" wrapText="1"/>
    </xf>
    <xf numFmtId="0" fontId="9" fillId="3" borderId="2" xfId="0" applyFont="1" applyFill="1" applyBorder="1" applyAlignment="1">
      <alignment vertical="center" wrapText="1"/>
    </xf>
    <xf numFmtId="0" fontId="17" fillId="0" borderId="1" xfId="0" applyFont="1" applyBorder="1" applyAlignment="1">
      <alignment vertical="top" wrapText="1"/>
    </xf>
    <xf numFmtId="0" fontId="17" fillId="4" borderId="1" xfId="0" applyFont="1" applyFill="1" applyBorder="1" applyAlignment="1">
      <alignment vertical="top" wrapText="1"/>
    </xf>
    <xf numFmtId="0" fontId="17" fillId="4" borderId="1" xfId="0" applyFont="1" applyFill="1" applyBorder="1" applyAlignment="1">
      <alignment horizontal="justify" vertical="top" wrapText="1"/>
    </xf>
    <xf numFmtId="0" fontId="14" fillId="0" borderId="1" xfId="1" applyFont="1" applyBorder="1" applyAlignment="1">
      <alignment horizontal="left"/>
    </xf>
    <xf numFmtId="0" fontId="14" fillId="0" borderId="1" xfId="1" applyFont="1" applyBorder="1" applyAlignment="1">
      <alignment horizontal="left" wrapText="1"/>
    </xf>
    <xf numFmtId="0" fontId="13" fillId="2" borderId="3" xfId="0" applyFont="1" applyFill="1" applyBorder="1" applyAlignment="1">
      <alignment horizontal="left" vertical="top" wrapText="1"/>
    </xf>
    <xf numFmtId="0" fontId="13" fillId="2" borderId="3" xfId="1" applyFont="1" applyFill="1" applyBorder="1" applyAlignment="1">
      <alignment horizontal="left" vertical="top" wrapText="1"/>
    </xf>
    <xf numFmtId="0" fontId="13" fillId="2" borderId="3" xfId="1" applyFont="1" applyFill="1" applyBorder="1" applyAlignment="1">
      <alignment horizontal="left" vertical="top"/>
    </xf>
    <xf numFmtId="0" fontId="13" fillId="0" borderId="12" xfId="1" applyFont="1" applyBorder="1" applyAlignment="1">
      <alignment horizontal="left" vertical="top"/>
    </xf>
    <xf numFmtId="0" fontId="0" fillId="0" borderId="3" xfId="1" applyFont="1" applyBorder="1" applyAlignment="1">
      <alignment horizontal="left" vertical="center" wrapText="1"/>
    </xf>
    <xf numFmtId="0" fontId="0" fillId="0" borderId="1" xfId="1" applyFont="1" applyBorder="1" applyAlignment="1">
      <alignment horizontal="left" vertical="center" wrapText="1"/>
    </xf>
    <xf numFmtId="2" fontId="13" fillId="3" borderId="14" xfId="1" applyNumberFormat="1" applyFont="1" applyFill="1" applyBorder="1" applyAlignment="1">
      <alignment horizontal="center"/>
    </xf>
    <xf numFmtId="164" fontId="11" fillId="3" borderId="14" xfId="1" applyNumberFormat="1" applyFont="1" applyFill="1" applyBorder="1" applyAlignment="1">
      <alignment horizontal="center"/>
    </xf>
    <xf numFmtId="0" fontId="13" fillId="2" borderId="15" xfId="1" applyFont="1" applyFill="1" applyBorder="1" applyAlignment="1">
      <alignment vertical="top" wrapText="1"/>
    </xf>
    <xf numFmtId="0" fontId="13" fillId="0" borderId="15" xfId="1" applyFont="1" applyBorder="1" applyAlignment="1">
      <alignment vertical="top" wrapText="1"/>
    </xf>
    <xf numFmtId="0" fontId="13" fillId="0" borderId="15" xfId="1" applyFont="1" applyBorder="1" applyAlignment="1">
      <alignment vertical="top"/>
    </xf>
    <xf numFmtId="0" fontId="13" fillId="2" borderId="15" xfId="1" applyFont="1" applyFill="1" applyBorder="1" applyAlignment="1">
      <alignment horizontal="left" vertical="top"/>
    </xf>
    <xf numFmtId="9" fontId="13" fillId="3" borderId="15" xfId="3" applyFont="1" applyFill="1" applyBorder="1" applyAlignment="1">
      <alignment horizontal="left"/>
    </xf>
    <xf numFmtId="9" fontId="11" fillId="3" borderId="15" xfId="1" applyNumberFormat="1" applyFont="1" applyFill="1" applyBorder="1" applyAlignment="1">
      <alignment horizontal="left"/>
    </xf>
    <xf numFmtId="0" fontId="1" fillId="0" borderId="3"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top" wrapText="1"/>
    </xf>
    <xf numFmtId="0" fontId="13" fillId="2" borderId="1" xfId="0" applyFont="1" applyFill="1" applyBorder="1" applyAlignment="1">
      <alignment horizontal="left" vertical="center"/>
    </xf>
    <xf numFmtId="0" fontId="14" fillId="4" borderId="15" xfId="1" applyFont="1" applyFill="1" applyBorder="1"/>
    <xf numFmtId="0" fontId="16" fillId="4" borderId="1" xfId="0" applyFont="1" applyFill="1" applyBorder="1" applyAlignment="1">
      <alignment horizontal="center" vertical="center" wrapText="1"/>
    </xf>
    <xf numFmtId="0" fontId="0" fillId="4" borderId="1" xfId="1" applyFont="1" applyFill="1" applyBorder="1" applyAlignment="1">
      <alignment horizontal="left" vertical="center"/>
    </xf>
    <xf numFmtId="0" fontId="14" fillId="4" borderId="1" xfId="1" applyFont="1" applyFill="1" applyBorder="1"/>
    <xf numFmtId="0" fontId="13" fillId="4" borderId="1" xfId="0" applyFont="1" applyFill="1" applyBorder="1" applyAlignment="1">
      <alignment vertical="top"/>
    </xf>
    <xf numFmtId="0" fontId="19" fillId="4" borderId="0" xfId="0" applyFont="1" applyFill="1" applyAlignment="1">
      <alignment horizontal="left" vertical="center"/>
    </xf>
    <xf numFmtId="0" fontId="13" fillId="4" borderId="1" xfId="0" applyFont="1" applyFill="1" applyBorder="1" applyAlignment="1">
      <alignment horizontal="left" vertical="top" wrapText="1"/>
    </xf>
    <xf numFmtId="0" fontId="13" fillId="4" borderId="1" xfId="1" applyFont="1" applyFill="1" applyBorder="1" applyAlignment="1">
      <alignment horizontal="left" vertical="top"/>
    </xf>
    <xf numFmtId="0" fontId="13" fillId="4" borderId="1" xfId="0" applyFont="1" applyFill="1" applyBorder="1" applyAlignment="1">
      <alignment vertical="top" wrapText="1"/>
    </xf>
    <xf numFmtId="0" fontId="13" fillId="4" borderId="15" xfId="1" applyFont="1" applyFill="1" applyBorder="1" applyAlignment="1">
      <alignment vertical="top"/>
    </xf>
    <xf numFmtId="2" fontId="13" fillId="2" borderId="14" xfId="1" applyNumberFormat="1" applyFont="1" applyFill="1" applyBorder="1" applyAlignment="1">
      <alignment horizontal="right" vertical="top"/>
    </xf>
    <xf numFmtId="2" fontId="13" fillId="0" borderId="14" xfId="1" applyNumberFormat="1" applyFont="1" applyBorder="1" applyAlignment="1">
      <alignment horizontal="right" vertical="top"/>
    </xf>
    <xf numFmtId="2" fontId="13" fillId="4" borderId="14" xfId="1" applyNumberFormat="1" applyFont="1" applyFill="1" applyBorder="1" applyAlignment="1">
      <alignment horizontal="right" vertical="top"/>
    </xf>
    <xf numFmtId="2" fontId="17" fillId="0" borderId="14" xfId="0" applyNumberFormat="1" applyFont="1" applyBorder="1" applyAlignment="1">
      <alignment horizontal="right" vertical="top"/>
    </xf>
    <xf numFmtId="2" fontId="17" fillId="4" borderId="14" xfId="0" applyNumberFormat="1" applyFont="1" applyFill="1" applyBorder="1" applyAlignment="1">
      <alignment horizontal="right" vertical="top"/>
    </xf>
    <xf numFmtId="2" fontId="13" fillId="3" borderId="0" xfId="1" applyNumberFormat="1" applyFont="1" applyFill="1" applyAlignment="1">
      <alignment horizontal="center"/>
    </xf>
    <xf numFmtId="164" fontId="11" fillId="3" borderId="0" xfId="1" applyNumberFormat="1" applyFont="1" applyFill="1" applyAlignment="1">
      <alignment horizontal="center"/>
    </xf>
    <xf numFmtId="0" fontId="13" fillId="5" borderId="18" xfId="0" applyFont="1" applyFill="1" applyBorder="1" applyAlignment="1">
      <alignment vertical="center"/>
    </xf>
    <xf numFmtId="0" fontId="13" fillId="0" borderId="18" xfId="0" applyFont="1" applyBorder="1" applyAlignment="1">
      <alignment vertical="center"/>
    </xf>
    <xf numFmtId="2" fontId="13" fillId="4" borderId="18" xfId="1" applyNumberFormat="1" applyFont="1" applyFill="1" applyBorder="1" applyAlignment="1">
      <alignment horizontal="center" vertical="center"/>
    </xf>
    <xf numFmtId="0" fontId="18" fillId="0" borderId="18" xfId="0" applyFont="1" applyBorder="1" applyAlignment="1">
      <alignment vertical="center"/>
    </xf>
    <xf numFmtId="2" fontId="17" fillId="4" borderId="18" xfId="0" applyNumberFormat="1" applyFont="1" applyFill="1" applyBorder="1" applyAlignment="1">
      <alignment vertical="top"/>
    </xf>
    <xf numFmtId="0" fontId="13" fillId="3" borderId="18" xfId="1" applyFont="1" applyFill="1" applyBorder="1" applyAlignment="1">
      <alignment horizontal="right"/>
    </xf>
    <xf numFmtId="2" fontId="13" fillId="3" borderId="18" xfId="1" applyNumberFormat="1" applyFont="1" applyFill="1" applyBorder="1" applyAlignment="1">
      <alignment horizontal="center"/>
    </xf>
    <xf numFmtId="164" fontId="11" fillId="3" borderId="18" xfId="1" applyNumberFormat="1" applyFont="1" applyFill="1" applyBorder="1" applyAlignment="1">
      <alignment horizontal="center"/>
    </xf>
    <xf numFmtId="0" fontId="11" fillId="3" borderId="13" xfId="1" applyFont="1" applyFill="1" applyBorder="1" applyAlignment="1">
      <alignment horizontal="center" vertical="top" wrapText="1"/>
    </xf>
    <xf numFmtId="0" fontId="11" fillId="3" borderId="13" xfId="0" applyFont="1" applyFill="1" applyBorder="1" applyAlignment="1">
      <alignment horizontal="center" vertical="top"/>
    </xf>
    <xf numFmtId="0" fontId="11" fillId="3" borderId="19" xfId="1" applyFont="1" applyFill="1" applyBorder="1" applyAlignment="1">
      <alignment horizontal="center" vertical="top" wrapText="1"/>
    </xf>
    <xf numFmtId="0" fontId="11" fillId="3" borderId="21" xfId="1" applyFont="1" applyFill="1" applyBorder="1" applyAlignment="1">
      <alignment horizontal="center" vertical="top" wrapText="1"/>
    </xf>
    <xf numFmtId="0" fontId="11" fillId="3" borderId="20" xfId="1" applyFont="1" applyFill="1" applyBorder="1" applyAlignment="1">
      <alignment horizontal="center" vertical="top" wrapText="1"/>
    </xf>
    <xf numFmtId="0" fontId="1" fillId="0" borderId="15" xfId="1" applyFont="1" applyBorder="1" applyAlignment="1">
      <alignment wrapText="1"/>
    </xf>
    <xf numFmtId="0" fontId="1" fillId="4" borderId="15" xfId="1" applyFont="1" applyFill="1" applyBorder="1" applyAlignment="1">
      <alignment wrapText="1"/>
    </xf>
    <xf numFmtId="0" fontId="13" fillId="0" borderId="1" xfId="1" quotePrefix="1" applyFont="1" applyBorder="1" applyAlignment="1">
      <alignment horizontal="left" vertical="top" wrapText="1"/>
    </xf>
    <xf numFmtId="0" fontId="13" fillId="2" borderId="1" xfId="1" quotePrefix="1" applyFont="1" applyFill="1" applyBorder="1" applyAlignment="1">
      <alignment horizontal="left" vertical="top" wrapText="1"/>
    </xf>
    <xf numFmtId="0" fontId="13" fillId="0" borderId="1" xfId="0" quotePrefix="1" applyFont="1" applyBorder="1" applyAlignment="1" applyProtection="1">
      <alignment horizontal="left" vertical="top" wrapText="1"/>
      <protection locked="0"/>
    </xf>
    <xf numFmtId="0" fontId="13" fillId="6" borderId="13" xfId="0" quotePrefix="1" applyFont="1" applyFill="1" applyBorder="1" applyAlignment="1">
      <alignment horizontal="left" vertical="top" wrapText="1"/>
    </xf>
    <xf numFmtId="0" fontId="13" fillId="6" borderId="22" xfId="1" applyFont="1" applyFill="1" applyBorder="1" applyAlignment="1">
      <alignment horizontal="left" vertical="top"/>
    </xf>
    <xf numFmtId="0" fontId="13" fillId="6" borderId="1" xfId="0" quotePrefix="1" applyFont="1" applyFill="1" applyBorder="1" applyAlignment="1" applyProtection="1">
      <alignment horizontal="left" vertical="top" wrapText="1"/>
      <protection locked="0"/>
    </xf>
    <xf numFmtId="0" fontId="13" fillId="6" borderId="1" xfId="0" applyFont="1" applyFill="1" applyBorder="1" applyAlignment="1">
      <alignment vertical="top" wrapText="1"/>
    </xf>
    <xf numFmtId="0" fontId="13" fillId="6" borderId="1" xfId="0" applyFont="1" applyFill="1" applyBorder="1" applyAlignment="1">
      <alignment vertical="top"/>
    </xf>
    <xf numFmtId="2" fontId="13" fillId="6" borderId="14" xfId="1" applyNumberFormat="1" applyFont="1" applyFill="1" applyBorder="1" applyAlignment="1">
      <alignment horizontal="right" vertical="top"/>
    </xf>
    <xf numFmtId="0" fontId="13" fillId="6" borderId="18" xfId="0" applyFont="1" applyFill="1" applyBorder="1" applyAlignment="1">
      <alignment vertical="center"/>
    </xf>
    <xf numFmtId="0" fontId="13" fillId="6" borderId="15" xfId="1" applyFont="1" applyFill="1" applyBorder="1" applyAlignment="1">
      <alignment vertical="top"/>
    </xf>
    <xf numFmtId="0" fontId="13" fillId="2" borderId="0" xfId="0" applyFont="1" applyFill="1" applyAlignment="1">
      <alignment horizontal="left" vertical="center"/>
    </xf>
    <xf numFmtId="0" fontId="13" fillId="6" borderId="3" xfId="0" applyFont="1" applyFill="1" applyBorder="1" applyAlignment="1">
      <alignment horizontal="left" vertical="top" wrapText="1"/>
    </xf>
    <xf numFmtId="0" fontId="13" fillId="6" borderId="3" xfId="1" applyFont="1" applyFill="1" applyBorder="1" applyAlignment="1">
      <alignment horizontal="left" vertical="top" wrapText="1"/>
    </xf>
    <xf numFmtId="0" fontId="13" fillId="6" borderId="1" xfId="1" applyFont="1" applyFill="1" applyBorder="1" applyAlignment="1">
      <alignment horizontal="left" vertical="top"/>
    </xf>
    <xf numFmtId="0" fontId="13" fillId="6" borderId="1" xfId="0" applyFont="1" applyFill="1" applyBorder="1" applyAlignment="1" applyProtection="1">
      <alignment horizontal="left" vertical="top" wrapText="1"/>
      <protection locked="0"/>
    </xf>
    <xf numFmtId="0" fontId="1" fillId="6" borderId="1" xfId="0" applyFont="1" applyFill="1" applyBorder="1" applyAlignment="1">
      <alignment horizontal="left" vertical="center" wrapText="1"/>
    </xf>
    <xf numFmtId="0" fontId="0" fillId="6" borderId="3" xfId="1" applyFont="1" applyFill="1" applyBorder="1" applyAlignment="1">
      <alignment horizontal="left" vertical="center" wrapText="1"/>
    </xf>
    <xf numFmtId="0" fontId="14" fillId="6" borderId="1" xfId="1" applyFont="1" applyFill="1" applyBorder="1" applyAlignment="1">
      <alignment horizontal="left"/>
    </xf>
    <xf numFmtId="0" fontId="17" fillId="6" borderId="1" xfId="0" applyFont="1" applyFill="1" applyBorder="1" applyAlignment="1">
      <alignment vertical="top" wrapText="1"/>
    </xf>
    <xf numFmtId="2" fontId="17" fillId="6" borderId="14" xfId="0" applyNumberFormat="1" applyFont="1" applyFill="1" applyBorder="1" applyAlignment="1">
      <alignment horizontal="right" vertical="top"/>
    </xf>
    <xf numFmtId="0" fontId="18" fillId="6" borderId="18" xfId="0" applyFont="1" applyFill="1" applyBorder="1" applyAlignment="1">
      <alignment vertical="center"/>
    </xf>
    <xf numFmtId="0" fontId="1" fillId="6" borderId="15" xfId="1" applyFont="1" applyFill="1" applyBorder="1" applyAlignment="1">
      <alignment wrapText="1"/>
    </xf>
    <xf numFmtId="0" fontId="20" fillId="7" borderId="1" xfId="0" applyFont="1" applyFill="1" applyBorder="1" applyAlignment="1">
      <alignment wrapText="1"/>
    </xf>
    <xf numFmtId="0" fontId="20" fillId="7" borderId="15" xfId="0" applyFont="1" applyFill="1" applyBorder="1" applyAlignment="1">
      <alignment wrapText="1"/>
    </xf>
    <xf numFmtId="0" fontId="20" fillId="7" borderId="13" xfId="0" applyFont="1" applyFill="1" applyBorder="1" applyAlignment="1">
      <alignment wrapText="1"/>
    </xf>
    <xf numFmtId="0" fontId="20" fillId="7" borderId="20" xfId="0" applyFont="1" applyFill="1" applyBorder="1" applyAlignment="1">
      <alignment wrapText="1"/>
    </xf>
    <xf numFmtId="0" fontId="20" fillId="0" borderId="1" xfId="0" applyFont="1" applyBorder="1" applyAlignment="1">
      <alignment vertical="top" wrapText="1"/>
    </xf>
    <xf numFmtId="0" fontId="13" fillId="3" borderId="0" xfId="1" applyFont="1" applyFill="1" applyAlignment="1">
      <alignment vertical="top"/>
    </xf>
    <xf numFmtId="9" fontId="20" fillId="7" borderId="14" xfId="0" applyNumberFormat="1" applyFont="1" applyFill="1" applyBorder="1" applyAlignment="1">
      <alignment horizontal="left" wrapText="1"/>
    </xf>
    <xf numFmtId="0" fontId="20" fillId="7" borderId="24" xfId="0" applyFont="1" applyFill="1" applyBorder="1" applyAlignment="1">
      <alignment horizontal="left" wrapText="1"/>
    </xf>
    <xf numFmtId="0" fontId="20" fillId="7" borderId="23" xfId="0" applyFont="1" applyFill="1" applyBorder="1" applyAlignment="1">
      <alignment horizontal="left" wrapText="1"/>
    </xf>
    <xf numFmtId="0" fontId="8" fillId="2" borderId="5" xfId="0" applyFont="1" applyFill="1" applyBorder="1" applyAlignment="1">
      <alignment vertical="center" wrapText="1"/>
    </xf>
    <xf numFmtId="0" fontId="7" fillId="2" borderId="5" xfId="0" applyFont="1" applyFill="1" applyBorder="1" applyAlignment="1">
      <alignment vertical="center" wrapText="1"/>
    </xf>
    <xf numFmtId="0" fontId="7" fillId="2" borderId="8" xfId="0" applyFont="1" applyFill="1" applyBorder="1" applyAlignment="1">
      <alignment vertical="center" wrapText="1"/>
    </xf>
    <xf numFmtId="0" fontId="8" fillId="2" borderId="2" xfId="0" applyFont="1" applyFill="1" applyBorder="1" applyAlignment="1">
      <alignment vertical="center" wrapText="1"/>
    </xf>
    <xf numFmtId="0" fontId="7" fillId="2" borderId="2" xfId="0" applyFont="1" applyFill="1" applyBorder="1" applyAlignment="1">
      <alignment vertical="center" wrapText="1"/>
    </xf>
    <xf numFmtId="0" fontId="7" fillId="2" borderId="9" xfId="0" applyFont="1" applyFill="1" applyBorder="1" applyAlignment="1">
      <alignment vertical="center" wrapText="1"/>
    </xf>
    <xf numFmtId="0" fontId="8" fillId="2" borderId="2" xfId="0" applyFont="1" applyFill="1" applyBorder="1" applyAlignment="1">
      <alignment horizontal="left" vertical="center" wrapText="1"/>
    </xf>
    <xf numFmtId="0" fontId="7" fillId="2" borderId="2" xfId="0" applyFont="1" applyFill="1" applyBorder="1" applyAlignment="1">
      <alignment horizontal="left" vertical="center" wrapText="1"/>
    </xf>
    <xf numFmtId="0" fontId="7" fillId="2" borderId="9" xfId="0" applyFont="1" applyFill="1" applyBorder="1" applyAlignment="1">
      <alignment horizontal="left" vertical="center" wrapText="1"/>
    </xf>
    <xf numFmtId="0" fontId="20" fillId="7" borderId="14" xfId="0" applyFont="1" applyFill="1" applyBorder="1" applyAlignment="1">
      <alignment wrapText="1"/>
    </xf>
    <xf numFmtId="0" fontId="20" fillId="7" borderId="24" xfId="0" applyFont="1" applyFill="1" applyBorder="1" applyAlignment="1">
      <alignment wrapText="1"/>
    </xf>
    <xf numFmtId="0" fontId="20" fillId="7" borderId="23" xfId="0" applyFont="1" applyFill="1" applyBorder="1" applyAlignment="1">
      <alignment wrapText="1"/>
    </xf>
    <xf numFmtId="0" fontId="9" fillId="3" borderId="2" xfId="0" applyFont="1" applyFill="1" applyBorder="1" applyAlignment="1">
      <alignment horizontal="left" vertical="center" wrapText="1"/>
    </xf>
    <xf numFmtId="0" fontId="9" fillId="3" borderId="9" xfId="0" applyFont="1" applyFill="1" applyBorder="1" applyAlignment="1">
      <alignment horizontal="left" vertical="center" wrapText="1"/>
    </xf>
    <xf numFmtId="0" fontId="22" fillId="7" borderId="14" xfId="0" applyFont="1" applyFill="1" applyBorder="1" applyAlignment="1">
      <alignment wrapText="1"/>
    </xf>
    <xf numFmtId="0" fontId="22" fillId="7" borderId="24" xfId="0" applyFont="1" applyFill="1" applyBorder="1" applyAlignment="1">
      <alignment wrapText="1"/>
    </xf>
    <xf numFmtId="0" fontId="22" fillId="7" borderId="23" xfId="0" applyFont="1" applyFill="1" applyBorder="1" applyAlignment="1">
      <alignment wrapText="1"/>
    </xf>
    <xf numFmtId="0" fontId="5" fillId="3" borderId="0" xfId="0" applyFont="1" applyFill="1" applyAlignment="1">
      <alignment horizontal="center" vertical="center"/>
    </xf>
    <xf numFmtId="0" fontId="6" fillId="3" borderId="6" xfId="0" applyFont="1" applyFill="1" applyBorder="1" applyAlignment="1">
      <alignment horizontal="center" vertical="center" wrapText="1"/>
    </xf>
    <xf numFmtId="0" fontId="6" fillId="3" borderId="2" xfId="0" applyFont="1" applyFill="1" applyBorder="1" applyAlignment="1">
      <alignment vertical="center" wrapText="1"/>
    </xf>
    <xf numFmtId="0" fontId="9" fillId="3" borderId="2" xfId="0" applyFont="1" applyFill="1" applyBorder="1" applyAlignment="1">
      <alignment vertical="center" wrapText="1"/>
    </xf>
    <xf numFmtId="0" fontId="6" fillId="3" borderId="2" xfId="0" applyFont="1" applyFill="1" applyBorder="1" applyAlignment="1">
      <alignment horizontal="left" vertical="center" wrapText="1"/>
    </xf>
    <xf numFmtId="0" fontId="18" fillId="7" borderId="14" xfId="0" applyFont="1" applyFill="1" applyBorder="1" applyAlignment="1">
      <alignment wrapText="1"/>
    </xf>
    <xf numFmtId="0" fontId="18" fillId="7" borderId="24" xfId="0" applyFont="1" applyFill="1" applyBorder="1" applyAlignment="1">
      <alignment wrapText="1"/>
    </xf>
    <xf numFmtId="0" fontId="18" fillId="7" borderId="23" xfId="0" applyFont="1" applyFill="1" applyBorder="1" applyAlignment="1">
      <alignment wrapText="1"/>
    </xf>
    <xf numFmtId="0" fontId="8" fillId="2" borderId="7" xfId="0" applyFont="1" applyFill="1" applyBorder="1" applyAlignment="1">
      <alignment vertical="center" wrapText="1"/>
    </xf>
    <xf numFmtId="0" fontId="7" fillId="2" borderId="7" xfId="0" applyFont="1" applyFill="1" applyBorder="1" applyAlignment="1">
      <alignment vertical="center" wrapText="1"/>
    </xf>
    <xf numFmtId="0" fontId="7" fillId="2" borderId="10" xfId="0" applyFont="1" applyFill="1" applyBorder="1" applyAlignment="1">
      <alignment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23" fillId="2" borderId="2" xfId="0" applyFont="1" applyFill="1" applyBorder="1" applyAlignment="1">
      <alignment horizontal="left" vertical="center" wrapText="1"/>
    </xf>
    <xf numFmtId="0" fontId="23" fillId="2" borderId="9" xfId="0" applyFont="1" applyFill="1" applyBorder="1" applyAlignment="1">
      <alignment horizontal="left" vertical="center" wrapText="1"/>
    </xf>
    <xf numFmtId="0" fontId="10" fillId="3" borderId="18" xfId="1" applyFont="1" applyFill="1" applyBorder="1" applyAlignment="1">
      <alignment horizontal="center" vertical="center"/>
    </xf>
    <xf numFmtId="0" fontId="11" fillId="3" borderId="19" xfId="0" applyFont="1" applyFill="1" applyBorder="1" applyAlignment="1">
      <alignment horizontal="center" vertical="top"/>
    </xf>
    <xf numFmtId="0" fontId="11" fillId="3" borderId="20" xfId="0" applyFont="1" applyFill="1" applyBorder="1" applyAlignment="1">
      <alignment horizontal="center" vertical="top"/>
    </xf>
    <xf numFmtId="0" fontId="0" fillId="0" borderId="16" xfId="1" applyFont="1" applyBorder="1" applyAlignment="1">
      <alignment horizontal="left" vertical="center" wrapText="1"/>
    </xf>
    <xf numFmtId="0" fontId="14" fillId="0" borderId="17" xfId="1" applyFont="1" applyBorder="1" applyAlignment="1">
      <alignment horizontal="left" vertical="center" wrapText="1"/>
    </xf>
    <xf numFmtId="0" fontId="13" fillId="2" borderId="3" xfId="0" applyFont="1" applyFill="1" applyBorder="1" applyAlignment="1">
      <alignment horizontal="left" vertical="center" wrapText="1"/>
    </xf>
    <xf numFmtId="0" fontId="13" fillId="2" borderId="12" xfId="0" applyFont="1" applyFill="1" applyBorder="1" applyAlignment="1">
      <alignment horizontal="left" vertical="center" wrapText="1"/>
    </xf>
    <xf numFmtId="0" fontId="13" fillId="0" borderId="1" xfId="0" applyFont="1" applyBorder="1" applyAlignment="1">
      <alignment horizontal="left" vertical="center" wrapText="1"/>
    </xf>
    <xf numFmtId="0" fontId="13" fillId="2" borderId="3" xfId="0" applyFont="1" applyFill="1" applyBorder="1" applyAlignment="1">
      <alignment horizontal="left" vertical="center"/>
    </xf>
    <xf numFmtId="0" fontId="13" fillId="2" borderId="12" xfId="0" applyFont="1" applyFill="1" applyBorder="1" applyAlignment="1">
      <alignment horizontal="left" vertical="center"/>
    </xf>
    <xf numFmtId="0" fontId="13" fillId="2" borderId="13" xfId="0" applyFont="1" applyFill="1" applyBorder="1" applyAlignment="1">
      <alignment horizontal="left" vertical="center"/>
    </xf>
    <xf numFmtId="0" fontId="0" fillId="0" borderId="17" xfId="1" applyFont="1" applyBorder="1" applyAlignment="1">
      <alignment horizontal="left" vertical="center" wrapText="1"/>
    </xf>
    <xf numFmtId="0" fontId="0" fillId="0" borderId="20" xfId="1" applyFont="1" applyBorder="1" applyAlignment="1">
      <alignment horizontal="left" vertical="center" wrapText="1"/>
    </xf>
    <xf numFmtId="0" fontId="13" fillId="2" borderId="3" xfId="0" applyFont="1" applyFill="1" applyBorder="1" applyAlignment="1">
      <alignment horizontal="left" vertical="top" wrapText="1"/>
    </xf>
    <xf numFmtId="0" fontId="13" fillId="2" borderId="13" xfId="0" applyFont="1" applyFill="1" applyBorder="1" applyAlignment="1">
      <alignment horizontal="left" vertical="top" wrapText="1"/>
    </xf>
    <xf numFmtId="0" fontId="13" fillId="2" borderId="3" xfId="1" applyFont="1" applyFill="1" applyBorder="1" applyAlignment="1">
      <alignment horizontal="left" vertical="top"/>
    </xf>
    <xf numFmtId="0" fontId="13" fillId="2" borderId="13" xfId="1" applyFont="1" applyFill="1" applyBorder="1" applyAlignment="1">
      <alignment horizontal="left" vertical="top"/>
    </xf>
    <xf numFmtId="0" fontId="13" fillId="0" borderId="3" xfId="0" applyFont="1" applyBorder="1" applyAlignment="1">
      <alignment horizontal="left" vertical="top" wrapText="1"/>
    </xf>
    <xf numFmtId="0" fontId="13" fillId="0" borderId="13" xfId="0" applyFont="1" applyBorder="1" applyAlignment="1">
      <alignment horizontal="left" vertical="top" wrapText="1"/>
    </xf>
    <xf numFmtId="0" fontId="13" fillId="0" borderId="3" xfId="1" applyFont="1" applyBorder="1" applyAlignment="1">
      <alignment horizontal="left" vertical="top"/>
    </xf>
    <xf numFmtId="0" fontId="13" fillId="0" borderId="13" xfId="1" applyFont="1" applyBorder="1" applyAlignment="1">
      <alignment horizontal="left" vertical="top"/>
    </xf>
    <xf numFmtId="0" fontId="13" fillId="0" borderId="3" xfId="1" quotePrefix="1" applyFont="1" applyBorder="1" applyAlignment="1">
      <alignment horizontal="left" vertical="top" wrapText="1"/>
    </xf>
    <xf numFmtId="0" fontId="13" fillId="0" borderId="13" xfId="1" quotePrefix="1" applyFont="1" applyBorder="1" applyAlignment="1">
      <alignment horizontal="left" vertical="top" wrapText="1"/>
    </xf>
    <xf numFmtId="0" fontId="12" fillId="3" borderId="0" xfId="0" applyFont="1" applyFill="1" applyAlignment="1">
      <alignment horizontal="left" vertical="center"/>
    </xf>
    <xf numFmtId="0" fontId="13" fillId="2" borderId="3" xfId="0" quotePrefix="1" applyFont="1" applyFill="1" applyBorder="1" applyAlignment="1">
      <alignment horizontal="left" vertical="top" wrapText="1"/>
    </xf>
    <xf numFmtId="0" fontId="13" fillId="2" borderId="1" xfId="0" quotePrefix="1" applyFont="1" applyFill="1" applyBorder="1" applyAlignment="1">
      <alignment vertical="top" wrapText="1"/>
    </xf>
    <xf numFmtId="0" fontId="13" fillId="2" borderId="3" xfId="1" quotePrefix="1" applyFont="1" applyFill="1" applyBorder="1" applyAlignment="1">
      <alignment horizontal="left" vertical="top"/>
    </xf>
    <xf numFmtId="0" fontId="13" fillId="2" borderId="13" xfId="1" quotePrefix="1" applyFont="1" applyFill="1" applyBorder="1" applyAlignment="1">
      <alignment horizontal="left" vertical="top"/>
    </xf>
    <xf numFmtId="0" fontId="13" fillId="2" borderId="13" xfId="0" applyFont="1" applyFill="1" applyBorder="1" applyAlignment="1">
      <alignment vertical="top" wrapText="1"/>
    </xf>
    <xf numFmtId="0" fontId="13" fillId="2" borderId="25" xfId="0" quotePrefix="1" applyFont="1" applyFill="1" applyBorder="1" applyAlignment="1">
      <alignment vertical="top" wrapText="1"/>
    </xf>
    <xf numFmtId="0" fontId="13" fillId="2" borderId="13" xfId="0" applyFont="1" applyFill="1" applyBorder="1" applyAlignment="1">
      <alignment horizontal="left" vertical="center" wrapText="1"/>
    </xf>
    <xf numFmtId="0" fontId="13" fillId="0" borderId="12" xfId="0" applyFont="1" applyBorder="1" applyAlignment="1">
      <alignment horizontal="left" vertical="top" wrapText="1"/>
    </xf>
    <xf numFmtId="0" fontId="13" fillId="0" borderId="12" xfId="1" applyFont="1" applyBorder="1" applyAlignment="1">
      <alignment horizontal="left" vertical="top"/>
    </xf>
    <xf numFmtId="0" fontId="13" fillId="0" borderId="12" xfId="1" quotePrefix="1" applyFont="1" applyBorder="1" applyAlignment="1">
      <alignment horizontal="left" vertical="top" wrapText="1"/>
    </xf>
    <xf numFmtId="0" fontId="13" fillId="2" borderId="12" xfId="0" quotePrefix="1" applyFont="1" applyFill="1" applyBorder="1" applyAlignment="1">
      <alignment horizontal="left" vertical="top" wrapText="1"/>
    </xf>
    <xf numFmtId="0" fontId="20" fillId="0" borderId="1" xfId="0" quotePrefix="1" applyFont="1" applyBorder="1" applyAlignment="1">
      <alignment vertical="top" wrapText="1"/>
    </xf>
    <xf numFmtId="2" fontId="13" fillId="0" borderId="26" xfId="1" applyNumberFormat="1" applyFont="1" applyBorder="1" applyAlignment="1">
      <alignment vertical="top"/>
    </xf>
    <xf numFmtId="2" fontId="13" fillId="0" borderId="27" xfId="1" applyNumberFormat="1" applyFont="1" applyBorder="1" applyAlignment="1">
      <alignment vertical="top"/>
    </xf>
    <xf numFmtId="0" fontId="24" fillId="0" borderId="0" xfId="0" quotePrefix="1" applyFont="1" applyAlignment="1">
      <alignment vertical="top"/>
    </xf>
    <xf numFmtId="0" fontId="13" fillId="2" borderId="13" xfId="0" quotePrefix="1" applyFont="1" applyFill="1" applyBorder="1" applyAlignment="1">
      <alignment horizontal="left" vertical="top" wrapText="1"/>
    </xf>
    <xf numFmtId="0" fontId="13" fillId="0" borderId="22" xfId="1" applyFont="1" applyBorder="1" applyAlignment="1">
      <alignment horizontal="left" vertical="top"/>
    </xf>
    <xf numFmtId="0" fontId="13" fillId="0" borderId="13" xfId="0" quotePrefix="1" applyFont="1" applyBorder="1" applyAlignment="1">
      <alignment horizontal="left" vertical="top" wrapText="1"/>
    </xf>
    <xf numFmtId="0" fontId="18" fillId="7" borderId="14" xfId="0" applyFont="1" applyFill="1" applyBorder="1" applyAlignment="1"/>
    <xf numFmtId="0" fontId="18" fillId="7" borderId="24" xfId="0" applyFont="1" applyFill="1" applyBorder="1" applyAlignment="1"/>
    <xf numFmtId="0" fontId="18" fillId="7" borderId="23" xfId="0" applyFont="1" applyFill="1" applyBorder="1" applyAlignment="1"/>
  </cellXfs>
  <cellStyles count="4">
    <cellStyle name="Bình thường" xfId="0" builtinId="0" customBuiltin="1"/>
    <cellStyle name="Normal 2" xfId="1" xr:uid="{00000000-0005-0000-0000-000001000000}"/>
    <cellStyle name="Normal 2 5" xfId="2" xr:uid="{00000000-0005-0000-0000-000002000000}"/>
    <cellStyle name="Phần trăm"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7"/>
  <sheetViews>
    <sheetView topLeftCell="A15" zoomScale="90" zoomScaleNormal="90" zoomScaleSheetLayoutView="100" workbookViewId="0">
      <selection activeCell="D37" sqref="D37:F37"/>
    </sheetView>
  </sheetViews>
  <sheetFormatPr defaultRowHeight="12.75"/>
  <cols>
    <col min="1" max="1" width="4.85546875" style="17" customWidth="1"/>
    <col min="2" max="2" width="17.42578125" style="17" customWidth="1"/>
    <col min="3" max="3" width="19.140625" style="17" customWidth="1"/>
    <col min="4" max="4" width="9.7109375" style="17" customWidth="1"/>
    <col min="5" max="5" width="54.28515625" style="17" customWidth="1"/>
    <col min="6" max="6" width="12.42578125" style="17" customWidth="1"/>
    <col min="7" max="7" width="0.140625" style="17" customWidth="1"/>
    <col min="8" max="16384" width="9.140625" style="17"/>
  </cols>
  <sheetData>
    <row r="1" spans="1:7" ht="29.25" customHeight="1">
      <c r="A1" s="138" t="s">
        <v>0</v>
      </c>
      <c r="B1" s="138"/>
      <c r="C1" s="138"/>
      <c r="D1" s="138"/>
      <c r="E1" s="138"/>
      <c r="F1" s="138"/>
    </row>
    <row r="2" spans="1:7">
      <c r="A2" s="18" t="s">
        <v>1</v>
      </c>
    </row>
    <row r="3" spans="1:7">
      <c r="A3" s="18" t="s">
        <v>2</v>
      </c>
    </row>
    <row r="4" spans="1:7">
      <c r="A4" s="18"/>
    </row>
    <row r="5" spans="1:7">
      <c r="A5" s="19">
        <v>1</v>
      </c>
      <c r="B5" s="20" t="s">
        <v>3</v>
      </c>
      <c r="C5" s="121" t="s">
        <v>4</v>
      </c>
      <c r="D5" s="122"/>
      <c r="E5" s="122"/>
      <c r="F5" s="123"/>
    </row>
    <row r="6" spans="1:7">
      <c r="A6" s="31">
        <v>2</v>
      </c>
      <c r="B6" s="32" t="s">
        <v>5</v>
      </c>
      <c r="C6" s="124"/>
      <c r="D6" s="125"/>
      <c r="E6" s="125"/>
      <c r="F6" s="126"/>
    </row>
    <row r="7" spans="1:7" ht="13.5">
      <c r="A7" s="31">
        <v>3</v>
      </c>
      <c r="B7" s="32" t="s">
        <v>6</v>
      </c>
      <c r="C7" s="127" t="s">
        <v>7</v>
      </c>
      <c r="D7" s="128"/>
      <c r="E7" s="128"/>
      <c r="F7" s="129"/>
    </row>
    <row r="8" spans="1:7" ht="18" customHeight="1">
      <c r="A8" s="31">
        <v>4</v>
      </c>
      <c r="B8" s="32" t="s">
        <v>8</v>
      </c>
      <c r="C8" s="125" t="s">
        <v>9</v>
      </c>
      <c r="D8" s="125"/>
      <c r="E8" s="125"/>
      <c r="F8" s="126"/>
    </row>
    <row r="9" spans="1:7" ht="42.75" customHeight="1">
      <c r="A9" s="139">
        <v>5</v>
      </c>
      <c r="B9" s="142" t="s">
        <v>10</v>
      </c>
      <c r="C9" s="125" t="s">
        <v>11</v>
      </c>
      <c r="D9" s="125"/>
      <c r="E9" s="125"/>
      <c r="F9" s="126"/>
    </row>
    <row r="10" spans="1:7" ht="16.5" customHeight="1">
      <c r="A10" s="139"/>
      <c r="B10" s="142"/>
      <c r="C10" s="30" t="s">
        <v>12</v>
      </c>
      <c r="D10" s="30" t="s">
        <v>13</v>
      </c>
      <c r="E10" s="133" t="s">
        <v>14</v>
      </c>
      <c r="F10" s="134"/>
    </row>
    <row r="11" spans="1:7" ht="28.5" customHeight="1">
      <c r="A11" s="139"/>
      <c r="B11" s="142"/>
      <c r="C11" s="112" t="s">
        <v>15</v>
      </c>
      <c r="D11" s="113" t="s">
        <v>16</v>
      </c>
      <c r="E11" s="131" t="s">
        <v>17</v>
      </c>
      <c r="F11" s="132"/>
    </row>
    <row r="12" spans="1:7" ht="28.5" customHeight="1">
      <c r="A12" s="139"/>
      <c r="B12" s="142"/>
      <c r="C12" s="114" t="s">
        <v>18</v>
      </c>
      <c r="D12" s="115" t="s">
        <v>16</v>
      </c>
      <c r="E12" s="131" t="s">
        <v>19</v>
      </c>
      <c r="F12" s="132"/>
    </row>
    <row r="13" spans="1:7" ht="39" customHeight="1">
      <c r="A13" s="139"/>
      <c r="B13" s="142"/>
      <c r="C13" s="114" t="s">
        <v>20</v>
      </c>
      <c r="D13" s="115" t="s">
        <v>16</v>
      </c>
      <c r="E13" s="131" t="s">
        <v>21</v>
      </c>
      <c r="F13" s="132"/>
    </row>
    <row r="14" spans="1:7" ht="66.75" customHeight="1">
      <c r="A14" s="139"/>
      <c r="B14" s="142"/>
      <c r="C14" s="135" t="s">
        <v>22</v>
      </c>
      <c r="D14" s="136"/>
      <c r="E14" s="136"/>
      <c r="F14" s="137"/>
    </row>
    <row r="15" spans="1:7" ht="141" customHeight="1">
      <c r="A15" s="31">
        <v>6</v>
      </c>
      <c r="B15" s="32" t="s">
        <v>23</v>
      </c>
      <c r="C15" s="130" t="s">
        <v>24</v>
      </c>
      <c r="D15" s="131"/>
      <c r="E15" s="131"/>
      <c r="F15" s="132"/>
      <c r="G15" s="21"/>
    </row>
    <row r="16" spans="1:7" ht="13.5">
      <c r="A16" s="139">
        <v>7</v>
      </c>
      <c r="B16" s="140" t="s">
        <v>25</v>
      </c>
      <c r="C16" s="33" t="s">
        <v>26</v>
      </c>
      <c r="D16" s="22">
        <f>Linux_Emb_Schedule_Offline!J26</f>
        <v>0.62264150943396224</v>
      </c>
      <c r="E16" s="29" t="s">
        <v>27</v>
      </c>
      <c r="F16" s="126" t="s">
        <v>28</v>
      </c>
    </row>
    <row r="17" spans="1:6" ht="13.5">
      <c r="A17" s="139"/>
      <c r="B17" s="140"/>
      <c r="C17" s="33" t="s">
        <v>29</v>
      </c>
      <c r="D17" s="22">
        <f>Linux_Emb_Schedule_Offline!J27</f>
        <v>0.16981132075471697</v>
      </c>
      <c r="E17" s="29" t="s">
        <v>30</v>
      </c>
      <c r="F17" s="126"/>
    </row>
    <row r="18" spans="1:6" ht="27.75">
      <c r="A18" s="139"/>
      <c r="B18" s="140"/>
      <c r="C18" s="33" t="s">
        <v>31</v>
      </c>
      <c r="D18" s="22">
        <f>Linux_Emb_Schedule_Offline!J28</f>
        <v>9.4339622641509441E-2</v>
      </c>
      <c r="E18" s="29" t="s">
        <v>32</v>
      </c>
      <c r="F18" s="126"/>
    </row>
    <row r="19" spans="1:6" ht="13.5">
      <c r="A19" s="139"/>
      <c r="B19" s="140"/>
      <c r="C19" s="33" t="s">
        <v>33</v>
      </c>
      <c r="D19" s="22">
        <f>Linux_Emb_Schedule_Offline!J29</f>
        <v>0</v>
      </c>
      <c r="E19" s="29" t="s">
        <v>34</v>
      </c>
      <c r="F19" s="126"/>
    </row>
    <row r="20" spans="1:6" ht="13.5">
      <c r="A20" s="139"/>
      <c r="B20" s="140"/>
      <c r="C20" s="33" t="s">
        <v>35</v>
      </c>
      <c r="D20" s="22">
        <f>Linux_Emb_Schedule_Offline!J30</f>
        <v>0.11320754716981132</v>
      </c>
      <c r="E20" s="29" t="s">
        <v>36</v>
      </c>
      <c r="F20" s="126"/>
    </row>
    <row r="21" spans="1:6" ht="14.25">
      <c r="A21" s="139">
        <v>8</v>
      </c>
      <c r="B21" s="140" t="s">
        <v>37</v>
      </c>
      <c r="C21" s="141" t="s">
        <v>38</v>
      </c>
      <c r="D21" s="151" t="s">
        <v>39</v>
      </c>
      <c r="E21" s="151"/>
      <c r="F21" s="152"/>
    </row>
    <row r="22" spans="1:6" ht="33.75" customHeight="1">
      <c r="A22" s="139"/>
      <c r="B22" s="140"/>
      <c r="C22" s="141"/>
      <c r="D22" s="151" t="s">
        <v>40</v>
      </c>
      <c r="E22" s="151"/>
      <c r="F22" s="152"/>
    </row>
    <row r="23" spans="1:6" ht="15">
      <c r="A23" s="139"/>
      <c r="B23" s="140"/>
      <c r="C23" s="141" t="s">
        <v>41</v>
      </c>
      <c r="D23" s="195" t="s">
        <v>42</v>
      </c>
      <c r="E23" s="196"/>
      <c r="F23" s="197"/>
    </row>
    <row r="24" spans="1:6" ht="15">
      <c r="A24" s="139"/>
      <c r="B24" s="140"/>
      <c r="C24" s="141"/>
      <c r="D24" s="195" t="s">
        <v>43</v>
      </c>
      <c r="E24" s="196"/>
      <c r="F24" s="197"/>
    </row>
    <row r="25" spans="1:6" ht="33.75" customHeight="1">
      <c r="A25" s="139"/>
      <c r="B25" s="140"/>
      <c r="C25" s="33" t="s">
        <v>44</v>
      </c>
      <c r="D25" s="143" t="s">
        <v>45</v>
      </c>
      <c r="E25" s="144"/>
      <c r="F25" s="145"/>
    </row>
    <row r="26" spans="1:6" ht="15">
      <c r="A26" s="139">
        <v>9</v>
      </c>
      <c r="B26" s="140" t="s">
        <v>46</v>
      </c>
      <c r="C26" s="33" t="s">
        <v>47</v>
      </c>
      <c r="D26" s="130" t="s">
        <v>48</v>
      </c>
      <c r="E26" s="131"/>
      <c r="F26" s="132"/>
    </row>
    <row r="27" spans="1:6" ht="30" customHeight="1">
      <c r="A27" s="139"/>
      <c r="B27" s="140"/>
      <c r="C27" s="33" t="s">
        <v>49</v>
      </c>
      <c r="D27" s="130" t="s">
        <v>50</v>
      </c>
      <c r="E27" s="131"/>
      <c r="F27" s="132"/>
    </row>
    <row r="28" spans="1:6" ht="15">
      <c r="A28" s="139"/>
      <c r="B28" s="140"/>
      <c r="C28" s="33" t="s">
        <v>51</v>
      </c>
      <c r="D28" s="118" t="s">
        <v>52</v>
      </c>
      <c r="E28" s="119"/>
      <c r="F28" s="120"/>
    </row>
    <row r="29" spans="1:6" ht="15">
      <c r="A29" s="139"/>
      <c r="B29" s="140"/>
      <c r="C29" s="33" t="s">
        <v>53</v>
      </c>
      <c r="D29" s="118" t="s">
        <v>54</v>
      </c>
      <c r="E29" s="119"/>
      <c r="F29" s="120"/>
    </row>
    <row r="30" spans="1:6" ht="45.75" customHeight="1">
      <c r="A30" s="139"/>
      <c r="B30" s="140"/>
      <c r="C30" s="33" t="s">
        <v>55</v>
      </c>
      <c r="D30" s="130" t="s">
        <v>56</v>
      </c>
      <c r="E30" s="131"/>
      <c r="F30" s="132"/>
    </row>
    <row r="31" spans="1:6" ht="17.25" customHeight="1">
      <c r="A31" s="139">
        <v>10</v>
      </c>
      <c r="B31" s="142" t="s">
        <v>57</v>
      </c>
      <c r="C31" s="33" t="s">
        <v>58</v>
      </c>
      <c r="D31" s="130" t="s">
        <v>59</v>
      </c>
      <c r="E31" s="131"/>
      <c r="F31" s="132"/>
    </row>
    <row r="32" spans="1:6" ht="33.75" customHeight="1">
      <c r="A32" s="139"/>
      <c r="B32" s="142"/>
      <c r="C32" s="33" t="s">
        <v>60</v>
      </c>
      <c r="D32" s="130" t="s">
        <v>61</v>
      </c>
      <c r="E32" s="131"/>
      <c r="F32" s="132"/>
    </row>
    <row r="33" spans="1:6" ht="81" customHeight="1">
      <c r="A33" s="139"/>
      <c r="B33" s="142"/>
      <c r="C33" s="33" t="s">
        <v>62</v>
      </c>
      <c r="D33" s="130" t="s">
        <v>63</v>
      </c>
      <c r="E33" s="131"/>
      <c r="F33" s="132"/>
    </row>
    <row r="34" spans="1:6" ht="20.25" customHeight="1">
      <c r="A34" s="139"/>
      <c r="B34" s="142"/>
      <c r="C34" s="33" t="s">
        <v>64</v>
      </c>
      <c r="D34" s="124" t="s">
        <v>65</v>
      </c>
      <c r="E34" s="125"/>
      <c r="F34" s="126"/>
    </row>
    <row r="35" spans="1:6" ht="78.75" customHeight="1">
      <c r="A35" s="139"/>
      <c r="B35" s="142"/>
      <c r="C35" s="33" t="s">
        <v>66</v>
      </c>
      <c r="D35" s="124" t="s">
        <v>67</v>
      </c>
      <c r="E35" s="125"/>
      <c r="F35" s="126"/>
    </row>
    <row r="36" spans="1:6" ht="36.75" customHeight="1">
      <c r="A36" s="139"/>
      <c r="B36" s="142"/>
      <c r="C36" s="33" t="s">
        <v>68</v>
      </c>
      <c r="D36" s="146" t="s">
        <v>69</v>
      </c>
      <c r="E36" s="147"/>
      <c r="F36" s="148"/>
    </row>
    <row r="37" spans="1:6" ht="40.5" customHeight="1">
      <c r="A37" s="149"/>
      <c r="B37" s="150"/>
      <c r="C37" s="23" t="s">
        <v>70</v>
      </c>
      <c r="D37" s="146" t="s">
        <v>71</v>
      </c>
      <c r="E37" s="147"/>
      <c r="F37" s="148"/>
    </row>
  </sheetData>
  <mergeCells count="42">
    <mergeCell ref="D37:F37"/>
    <mergeCell ref="C21:C22"/>
    <mergeCell ref="D35:F35"/>
    <mergeCell ref="A31:A37"/>
    <mergeCell ref="B31:B37"/>
    <mergeCell ref="D32:F32"/>
    <mergeCell ref="D31:F31"/>
    <mergeCell ref="D33:F33"/>
    <mergeCell ref="D34:F34"/>
    <mergeCell ref="D36:F36"/>
    <mergeCell ref="D21:F21"/>
    <mergeCell ref="D29:F29"/>
    <mergeCell ref="D30:F30"/>
    <mergeCell ref="D22:F22"/>
    <mergeCell ref="D23:F23"/>
    <mergeCell ref="A1:F1"/>
    <mergeCell ref="A26:A30"/>
    <mergeCell ref="B26:B30"/>
    <mergeCell ref="D26:F26"/>
    <mergeCell ref="D27:F27"/>
    <mergeCell ref="A9:A14"/>
    <mergeCell ref="C23:C24"/>
    <mergeCell ref="B21:B25"/>
    <mergeCell ref="D24:F24"/>
    <mergeCell ref="B9:B14"/>
    <mergeCell ref="C9:F9"/>
    <mergeCell ref="A21:A25"/>
    <mergeCell ref="A16:A20"/>
    <mergeCell ref="D25:F25"/>
    <mergeCell ref="F16:F20"/>
    <mergeCell ref="B16:B20"/>
    <mergeCell ref="D28:F28"/>
    <mergeCell ref="C5:F5"/>
    <mergeCell ref="C6:F6"/>
    <mergeCell ref="C7:F7"/>
    <mergeCell ref="C8:F8"/>
    <mergeCell ref="C15:F15"/>
    <mergeCell ref="E11:F11"/>
    <mergeCell ref="E10:F10"/>
    <mergeCell ref="E13:F13"/>
    <mergeCell ref="C14:F14"/>
    <mergeCell ref="E12:F12"/>
  </mergeCells>
  <phoneticPr fontId="4" type="noConversion"/>
  <pageMargins left="0.70866141732283505" right="0.70866141732283505" top="0.31496062992126" bottom="0.31496062992126" header="0.23622047244094499" footer="0.23622047244094499"/>
  <pageSetup paperSize="9" scale="90" orientation="landscape" r:id="rId1"/>
  <headerFooter>
    <oddFooter>&amp;L18e-BM/DT/FSOFT v1/1&amp;CInternal use&amp;R&amp;P/&amp;N</oddFooter>
  </headerFooter>
  <customProperties>
    <customPr name="DVSECTION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114"/>
  <sheetViews>
    <sheetView tabSelected="1" zoomScaleNormal="100" zoomScaleSheetLayoutView="100" workbookViewId="0">
      <pane ySplit="2" topLeftCell="A3" activePane="bottomLeft" state="frozen"/>
      <selection pane="bottomLeft" activeCell="D8" sqref="D8:D9"/>
    </sheetView>
  </sheetViews>
  <sheetFormatPr defaultColWidth="9" defaultRowHeight="12.75"/>
  <cols>
    <col min="1" max="1" width="16" style="10" customWidth="1"/>
    <col min="2" max="2" width="23.7109375" style="10" customWidth="1"/>
    <col min="3" max="3" width="8" style="11" bestFit="1" customWidth="1"/>
    <col min="4" max="4" width="37.85546875" style="11" customWidth="1"/>
    <col min="5" max="5" width="43.42578125" style="117" customWidth="1"/>
    <col min="6" max="6" width="34.85546875" style="10" customWidth="1"/>
    <col min="7" max="7" width="22" style="10" customWidth="1"/>
    <col min="8" max="9" width="12.7109375" style="12" customWidth="1"/>
    <col min="10" max="10" width="45.42578125" style="12" customWidth="1"/>
    <col min="11" max="16384" width="9" style="10"/>
  </cols>
  <sheetData>
    <row r="1" spans="1:10" ht="36.75" customHeight="1">
      <c r="A1" s="153" t="str">
        <f>Linux_Emb_Syllabus!C5 &amp; " - Training Schedule"</f>
        <v>Linux Embedded - Training Schedule</v>
      </c>
      <c r="B1" s="153"/>
      <c r="C1" s="153"/>
      <c r="D1" s="153"/>
      <c r="E1" s="153"/>
      <c r="F1" s="153"/>
      <c r="G1" s="153"/>
      <c r="H1" s="153"/>
      <c r="I1" s="153"/>
      <c r="J1" s="153"/>
    </row>
    <row r="2" spans="1:10" ht="32.25" customHeight="1">
      <c r="A2" s="154" t="s">
        <v>72</v>
      </c>
      <c r="B2" s="155"/>
      <c r="C2" s="82" t="s">
        <v>73</v>
      </c>
      <c r="D2" s="82" t="s">
        <v>74</v>
      </c>
      <c r="E2" s="83" t="s">
        <v>75</v>
      </c>
      <c r="F2" s="83" t="s">
        <v>76</v>
      </c>
      <c r="G2" s="82" t="s">
        <v>77</v>
      </c>
      <c r="H2" s="84" t="s">
        <v>78</v>
      </c>
      <c r="I2" s="85" t="s">
        <v>60</v>
      </c>
      <c r="J2" s="86" t="s">
        <v>79</v>
      </c>
    </row>
    <row r="3" spans="1:10" ht="76.5">
      <c r="A3" s="158" t="s">
        <v>80</v>
      </c>
      <c r="B3" s="166" t="s">
        <v>81</v>
      </c>
      <c r="C3" s="168" t="s">
        <v>82</v>
      </c>
      <c r="D3" s="168" t="s">
        <v>83</v>
      </c>
      <c r="E3" s="116" t="s">
        <v>84</v>
      </c>
      <c r="F3" s="182" t="s">
        <v>85</v>
      </c>
      <c r="G3" s="4" t="s">
        <v>26</v>
      </c>
      <c r="H3" s="67">
        <v>3</v>
      </c>
      <c r="I3" s="74"/>
      <c r="J3" s="47"/>
    </row>
    <row r="4" spans="1:10" ht="72">
      <c r="A4" s="159"/>
      <c r="B4" s="167"/>
      <c r="C4" s="169"/>
      <c r="D4" s="169"/>
      <c r="E4" s="191" t="s">
        <v>86</v>
      </c>
      <c r="F4" s="181" t="s">
        <v>87</v>
      </c>
      <c r="G4" s="4" t="s">
        <v>31</v>
      </c>
      <c r="H4" s="67">
        <v>0.5</v>
      </c>
      <c r="I4" s="74"/>
      <c r="J4" s="47"/>
    </row>
    <row r="5" spans="1:10" ht="32.25" customHeight="1">
      <c r="A5" s="159"/>
      <c r="B5" s="170" t="s">
        <v>88</v>
      </c>
      <c r="C5" s="172" t="s">
        <v>89</v>
      </c>
      <c r="D5" s="174" t="s">
        <v>90</v>
      </c>
      <c r="E5" s="116" t="s">
        <v>91</v>
      </c>
      <c r="F5" s="3" t="s">
        <v>92</v>
      </c>
      <c r="G5" s="27" t="s">
        <v>26</v>
      </c>
      <c r="H5" s="190">
        <v>1.5</v>
      </c>
      <c r="I5" s="75"/>
      <c r="J5" s="48"/>
    </row>
    <row r="6" spans="1:10" ht="36">
      <c r="A6" s="159"/>
      <c r="B6" s="184"/>
      <c r="C6" s="185"/>
      <c r="D6" s="186"/>
      <c r="E6" s="116" t="s">
        <v>93</v>
      </c>
      <c r="F6" s="3" t="s">
        <v>94</v>
      </c>
      <c r="G6" s="4" t="s">
        <v>26</v>
      </c>
      <c r="H6" s="189">
        <v>1.5</v>
      </c>
      <c r="I6" s="75"/>
      <c r="J6" s="48"/>
    </row>
    <row r="7" spans="1:10" ht="24">
      <c r="A7" s="183"/>
      <c r="B7" s="171"/>
      <c r="C7" s="173"/>
      <c r="D7" s="175"/>
      <c r="E7" s="89" t="s">
        <v>95</v>
      </c>
      <c r="F7" s="3" t="s">
        <v>96</v>
      </c>
      <c r="G7" s="27" t="s">
        <v>31</v>
      </c>
      <c r="H7" s="68">
        <v>0.5</v>
      </c>
      <c r="I7" s="75"/>
      <c r="J7" s="48"/>
    </row>
    <row r="8" spans="1:10" ht="60.75">
      <c r="A8" s="161" t="s">
        <v>97</v>
      </c>
      <c r="B8" s="177" t="s">
        <v>98</v>
      </c>
      <c r="C8" s="168" t="s">
        <v>99</v>
      </c>
      <c r="D8" s="179" t="s">
        <v>100</v>
      </c>
      <c r="E8" s="188" t="s">
        <v>101</v>
      </c>
      <c r="F8" s="178" t="s">
        <v>102</v>
      </c>
      <c r="G8" s="4" t="s">
        <v>26</v>
      </c>
      <c r="H8" s="68">
        <v>3</v>
      </c>
      <c r="I8" s="74"/>
      <c r="J8" s="47"/>
    </row>
    <row r="9" spans="1:10" ht="24">
      <c r="A9" s="162"/>
      <c r="B9" s="187"/>
      <c r="C9" s="169"/>
      <c r="D9" s="180"/>
      <c r="E9" s="89" t="s">
        <v>103</v>
      </c>
      <c r="F9" s="3" t="s">
        <v>104</v>
      </c>
      <c r="G9" s="4" t="s">
        <v>31</v>
      </c>
      <c r="H9" s="68">
        <v>0.5</v>
      </c>
      <c r="I9" s="74"/>
      <c r="J9" s="47"/>
    </row>
    <row r="10" spans="1:10" ht="72">
      <c r="A10" s="162"/>
      <c r="B10" s="187"/>
      <c r="C10" s="172" t="s">
        <v>105</v>
      </c>
      <c r="D10" s="179" t="s">
        <v>106</v>
      </c>
      <c r="E10" s="91" t="s">
        <v>107</v>
      </c>
      <c r="F10" s="178" t="s">
        <v>108</v>
      </c>
      <c r="G10" s="27" t="s">
        <v>26</v>
      </c>
      <c r="H10" s="68">
        <v>3</v>
      </c>
      <c r="I10" s="75"/>
      <c r="J10" s="49"/>
    </row>
    <row r="11" spans="1:10" ht="24">
      <c r="A11" s="162"/>
      <c r="B11" s="192"/>
      <c r="C11" s="193"/>
      <c r="D11" s="180"/>
      <c r="E11" s="89" t="s">
        <v>109</v>
      </c>
      <c r="F11" s="178" t="s">
        <v>110</v>
      </c>
      <c r="G11" s="27" t="s">
        <v>31</v>
      </c>
      <c r="H11" s="68">
        <v>0.5</v>
      </c>
      <c r="I11" s="75"/>
      <c r="J11" s="49"/>
    </row>
    <row r="12" spans="1:10" ht="36">
      <c r="A12" s="163"/>
      <c r="B12" s="92" t="s">
        <v>111</v>
      </c>
      <c r="C12" s="93" t="s">
        <v>112</v>
      </c>
      <c r="D12" s="94"/>
      <c r="E12" s="94"/>
      <c r="F12" s="95" t="s">
        <v>113</v>
      </c>
      <c r="G12" s="96" t="s">
        <v>29</v>
      </c>
      <c r="H12" s="97">
        <v>3</v>
      </c>
      <c r="I12" s="98"/>
      <c r="J12" s="99"/>
    </row>
    <row r="13" spans="1:10" ht="48">
      <c r="A13" s="160" t="s">
        <v>114</v>
      </c>
      <c r="B13" s="194" t="s">
        <v>115</v>
      </c>
      <c r="C13" s="42" t="s">
        <v>116</v>
      </c>
      <c r="D13" s="24"/>
      <c r="E13" s="25"/>
      <c r="F13" s="26" t="s">
        <v>113</v>
      </c>
      <c r="G13" s="27" t="s">
        <v>26</v>
      </c>
      <c r="H13" s="68">
        <v>3</v>
      </c>
      <c r="I13" s="75"/>
      <c r="J13" s="48"/>
    </row>
    <row r="14" spans="1:10" ht="35.25" customHeight="1">
      <c r="A14" s="160"/>
      <c r="B14" s="39" t="s">
        <v>117</v>
      </c>
      <c r="C14" s="41" t="s">
        <v>118</v>
      </c>
      <c r="D14" s="90"/>
      <c r="E14" s="90" t="s">
        <v>119</v>
      </c>
      <c r="F14" s="3" t="s">
        <v>113</v>
      </c>
      <c r="G14" s="4" t="s">
        <v>26</v>
      </c>
      <c r="H14" s="68">
        <v>3</v>
      </c>
      <c r="I14" s="74"/>
      <c r="J14" s="50"/>
    </row>
    <row r="15" spans="1:10" ht="35.25" customHeight="1">
      <c r="A15" s="56" t="s">
        <v>120</v>
      </c>
      <c r="B15" s="39" t="s">
        <v>121</v>
      </c>
      <c r="C15" s="40" t="s">
        <v>122</v>
      </c>
      <c r="D15" s="24"/>
      <c r="E15" s="28"/>
      <c r="F15" s="3" t="s">
        <v>113</v>
      </c>
      <c r="G15" s="27" t="s">
        <v>31</v>
      </c>
      <c r="H15" s="68">
        <v>3</v>
      </c>
      <c r="I15" s="75"/>
      <c r="J15" s="49"/>
    </row>
    <row r="16" spans="1:10" ht="35.25" customHeight="1">
      <c r="A16" s="100"/>
      <c r="B16" s="101" t="s">
        <v>123</v>
      </c>
      <c r="C16" s="102" t="s">
        <v>124</v>
      </c>
      <c r="D16" s="103"/>
      <c r="E16" s="104"/>
      <c r="F16" s="95" t="s">
        <v>113</v>
      </c>
      <c r="G16" s="96" t="s">
        <v>29</v>
      </c>
      <c r="H16" s="97">
        <v>3</v>
      </c>
      <c r="I16" s="98"/>
      <c r="J16" s="99"/>
    </row>
    <row r="17" spans="1:10" ht="16.5">
      <c r="A17" s="62" t="s">
        <v>125</v>
      </c>
      <c r="B17" s="63"/>
      <c r="C17" s="64" t="s">
        <v>126</v>
      </c>
      <c r="D17" s="64"/>
      <c r="E17" s="65"/>
      <c r="F17" s="65"/>
      <c r="G17" s="61" t="s">
        <v>35</v>
      </c>
      <c r="H17" s="69">
        <f>180/60</f>
        <v>3</v>
      </c>
      <c r="I17" s="76"/>
      <c r="J17" s="66"/>
    </row>
    <row r="18" spans="1:10" ht="31.5" customHeight="1">
      <c r="A18" s="156" t="s">
        <v>127</v>
      </c>
      <c r="B18" s="53" t="s">
        <v>128</v>
      </c>
      <c r="C18" s="43" t="s">
        <v>129</v>
      </c>
      <c r="D18" s="37"/>
      <c r="E18" s="34"/>
      <c r="F18" s="3" t="s">
        <v>113</v>
      </c>
      <c r="G18" s="4" t="s">
        <v>26</v>
      </c>
      <c r="H18" s="70">
        <v>3</v>
      </c>
      <c r="I18" s="77"/>
      <c r="J18" s="87"/>
    </row>
    <row r="19" spans="1:10" ht="15">
      <c r="A19" s="164"/>
      <c r="B19" s="53" t="s">
        <v>130</v>
      </c>
      <c r="C19" s="43" t="s">
        <v>131</v>
      </c>
      <c r="D19" s="38"/>
      <c r="E19" s="34"/>
      <c r="F19" s="3" t="s">
        <v>113</v>
      </c>
      <c r="G19" s="4" t="s">
        <v>26</v>
      </c>
      <c r="H19" s="70">
        <v>3</v>
      </c>
      <c r="I19" s="77"/>
      <c r="J19" s="87"/>
    </row>
    <row r="20" spans="1:10" ht="15">
      <c r="A20" s="164"/>
      <c r="B20" s="54" t="s">
        <v>132</v>
      </c>
      <c r="C20" s="44" t="s">
        <v>133</v>
      </c>
      <c r="D20" s="37"/>
      <c r="E20" s="34"/>
      <c r="F20" s="3" t="s">
        <v>113</v>
      </c>
      <c r="G20" s="4" t="s">
        <v>26</v>
      </c>
      <c r="H20" s="70">
        <v>3</v>
      </c>
      <c r="I20" s="77"/>
      <c r="J20" s="87"/>
    </row>
    <row r="21" spans="1:10" ht="32.25" customHeight="1">
      <c r="A21" s="165"/>
      <c r="B21" s="105" t="s">
        <v>134</v>
      </c>
      <c r="C21" s="106" t="s">
        <v>135</v>
      </c>
      <c r="D21" s="107"/>
      <c r="E21" s="108"/>
      <c r="F21" s="95" t="s">
        <v>113</v>
      </c>
      <c r="G21" s="96" t="s">
        <v>29</v>
      </c>
      <c r="H21" s="109">
        <v>3</v>
      </c>
      <c r="I21" s="110"/>
      <c r="J21" s="111"/>
    </row>
    <row r="22" spans="1:10" ht="15">
      <c r="A22" s="156" t="s">
        <v>136</v>
      </c>
      <c r="B22" s="55" t="s">
        <v>137</v>
      </c>
      <c r="C22" s="43" t="s">
        <v>138</v>
      </c>
      <c r="D22" s="38"/>
      <c r="E22" s="34"/>
      <c r="F22" s="3" t="s">
        <v>113</v>
      </c>
      <c r="G22" s="4" t="s">
        <v>26</v>
      </c>
      <c r="H22" s="70">
        <v>3</v>
      </c>
      <c r="I22" s="77"/>
      <c r="J22" s="87"/>
    </row>
    <row r="23" spans="1:10" ht="25.5" customHeight="1">
      <c r="A23" s="157"/>
      <c r="B23" s="55" t="s">
        <v>139</v>
      </c>
      <c r="C23" s="44" t="s">
        <v>140</v>
      </c>
      <c r="D23" s="38"/>
      <c r="E23" s="34"/>
      <c r="F23" s="3" t="s">
        <v>113</v>
      </c>
      <c r="G23" s="4" t="s">
        <v>26</v>
      </c>
      <c r="H23" s="70">
        <v>3</v>
      </c>
      <c r="I23" s="77"/>
      <c r="J23" s="87"/>
    </row>
    <row r="24" spans="1:10" ht="15">
      <c r="A24" s="57"/>
      <c r="B24" s="58" t="s">
        <v>141</v>
      </c>
      <c r="C24" s="59" t="s">
        <v>142</v>
      </c>
      <c r="D24" s="60"/>
      <c r="E24" s="35"/>
      <c r="F24" s="36"/>
      <c r="G24" s="61" t="s">
        <v>35</v>
      </c>
      <c r="H24" s="71">
        <v>3</v>
      </c>
      <c r="I24" s="78"/>
      <c r="J24" s="88"/>
    </row>
    <row r="25" spans="1:10">
      <c r="I25" s="79"/>
    </row>
    <row r="26" spans="1:10">
      <c r="G26" s="5" t="s">
        <v>26</v>
      </c>
      <c r="H26" s="45">
        <f>SUMIF(G$3:G$24,G26,H$3:H$24)</f>
        <v>33</v>
      </c>
      <c r="I26" s="80"/>
      <c r="J26" s="51">
        <f>H26/$H$31</f>
        <v>0.62264150943396224</v>
      </c>
    </row>
    <row r="27" spans="1:10">
      <c r="G27" s="5" t="s">
        <v>29</v>
      </c>
      <c r="H27" s="45">
        <f>SUMIF(G$3:G$24,G27,H$3:H$24)</f>
        <v>9</v>
      </c>
      <c r="I27" s="80"/>
      <c r="J27" s="51">
        <f>H27/$H$31</f>
        <v>0.16981132075471697</v>
      </c>
    </row>
    <row r="28" spans="1:10">
      <c r="G28" s="5" t="s">
        <v>31</v>
      </c>
      <c r="H28" s="45">
        <f>SUMIF(G$3:G$24,G28,H$3:H$24)</f>
        <v>5</v>
      </c>
      <c r="I28" s="80"/>
      <c r="J28" s="51">
        <f>H28/$H$31</f>
        <v>9.4339622641509441E-2</v>
      </c>
    </row>
    <row r="29" spans="1:10">
      <c r="G29" s="5" t="s">
        <v>33</v>
      </c>
      <c r="H29" s="45">
        <f>SUMIF(G$3:G$24,G29,H$3:H$24)</f>
        <v>0</v>
      </c>
      <c r="I29" s="80"/>
      <c r="J29" s="51">
        <f>H29/$H$31</f>
        <v>0</v>
      </c>
    </row>
    <row r="30" spans="1:10" ht="15" customHeight="1">
      <c r="G30" s="5" t="s">
        <v>35</v>
      </c>
      <c r="H30" s="45">
        <f>SUMIF(G$3:G$24,G30,H$3:H$24)</f>
        <v>6</v>
      </c>
      <c r="I30" s="80"/>
      <c r="J30" s="51">
        <f>H30/$H$31</f>
        <v>0.11320754716981132</v>
      </c>
    </row>
    <row r="31" spans="1:10">
      <c r="G31" s="5" t="s">
        <v>143</v>
      </c>
      <c r="H31" s="46">
        <f>SUM(H26:H30)</f>
        <v>53</v>
      </c>
      <c r="I31" s="81"/>
      <c r="J31" s="52">
        <f>SUM(J26:J30)</f>
        <v>0.99999999999999989</v>
      </c>
    </row>
    <row r="109" spans="7:10">
      <c r="G109" s="5" t="s">
        <v>26</v>
      </c>
      <c r="H109" s="45">
        <f>SUMIF(G$3:G$17,G109,H$3:H$17)</f>
        <v>18</v>
      </c>
      <c r="I109" s="72"/>
      <c r="J109" s="51">
        <f>H109/$H$31</f>
        <v>0.33962264150943394</v>
      </c>
    </row>
    <row r="110" spans="7:10">
      <c r="G110" s="5" t="s">
        <v>29</v>
      </c>
      <c r="H110" s="45">
        <f>SUMIF(G$3:G$14,G110,H$3:H$14)</f>
        <v>3</v>
      </c>
      <c r="I110" s="72"/>
      <c r="J110" s="51">
        <f>H110/$H$31</f>
        <v>5.6603773584905662E-2</v>
      </c>
    </row>
    <row r="111" spans="7:10">
      <c r="G111" s="5" t="s">
        <v>31</v>
      </c>
      <c r="H111" s="45">
        <f>SUMIF(G$3:G$14,G111,H$3:H$14)</f>
        <v>2</v>
      </c>
      <c r="I111" s="72"/>
      <c r="J111" s="51">
        <f>H111/$H$31</f>
        <v>3.7735849056603772E-2</v>
      </c>
    </row>
    <row r="112" spans="7:10">
      <c r="G112" s="5" t="s">
        <v>33</v>
      </c>
      <c r="H112" s="45">
        <f>SUMIF(G$3:G$14,G112,H$3:H$14)</f>
        <v>0</v>
      </c>
      <c r="I112" s="72"/>
      <c r="J112" s="51">
        <f>H112/$H$31</f>
        <v>0</v>
      </c>
    </row>
    <row r="113" spans="7:10">
      <c r="G113" s="5" t="s">
        <v>35</v>
      </c>
      <c r="H113" s="45">
        <f>SUMIF(G$3:G$14,G113,H$3:H$14)</f>
        <v>0</v>
      </c>
      <c r="I113" s="72"/>
      <c r="J113" s="51">
        <f>H113/$H$31</f>
        <v>0</v>
      </c>
    </row>
    <row r="114" spans="7:10">
      <c r="G114" s="5" t="s">
        <v>143</v>
      </c>
      <c r="H114" s="46">
        <f>SUM(H109:H113)</f>
        <v>23</v>
      </c>
      <c r="I114" s="73"/>
      <c r="J114" s="52">
        <f>SUM(J109:J113)</f>
        <v>0.43396226415094336</v>
      </c>
    </row>
  </sheetData>
  <autoFilter ref="A2:J14" xr:uid="{00000000-0009-0000-0000-000001000000}"/>
  <dataConsolidate/>
  <mergeCells count="18">
    <mergeCell ref="D8:D9"/>
    <mergeCell ref="A3:A7"/>
    <mergeCell ref="D10:D11"/>
    <mergeCell ref="C10:C11"/>
    <mergeCell ref="B8:B11"/>
    <mergeCell ref="A1:J1"/>
    <mergeCell ref="A2:B2"/>
    <mergeCell ref="A22:A23"/>
    <mergeCell ref="A13:A14"/>
    <mergeCell ref="A8:A12"/>
    <mergeCell ref="A18:A21"/>
    <mergeCell ref="B3:B4"/>
    <mergeCell ref="C3:C4"/>
    <mergeCell ref="D3:D4"/>
    <mergeCell ref="B5:B7"/>
    <mergeCell ref="C5:C7"/>
    <mergeCell ref="D5:D7"/>
    <mergeCell ref="C8:C9"/>
  </mergeCells>
  <phoneticPr fontId="4" type="noConversion"/>
  <dataValidations count="3">
    <dataValidation type="list" allowBlank="1" showInputMessage="1" showErrorMessage="1" sqref="WVP18 JD18 SZ18 ACV18 AMR18 AWN18 BGJ18 BQF18 CAB18 CJX18 CTT18 DDP18 DNL18 DXH18 EHD18 EQZ18 FAV18 FKR18 FUN18 GEJ18 GOF18 GYB18 HHX18 HRT18 IBP18 ILL18 IVH18 JFD18 JOZ18 JYV18 KIR18 KSN18 LCJ18 LMF18 LWB18 MFX18 MPT18 MZP18 NJL18 NTH18 ODD18 OMZ18 OWV18 PGR18 PQN18 QAJ18 QKF18 QUB18 RDX18 RNT18 RXP18 SHL18 SRH18 TBD18 TKZ18 TUV18 UER18 UON18 UYJ18 VIF18 VSB18 WBX18 WLT18" xr:uid="{00000000-0002-0000-0100-000000000000}">
      <formula1>"Concept/Lecture, Assignment/Lab, Test/Quiz, Guides/Review, Seminar/Workshop"</formula1>
    </dataValidation>
    <dataValidation type="list" allowBlank="1" showErrorMessage="1" sqref="JD19:JD24 WVP19:WVP24 WLT19:WLT24 WBX19:WBX24 VSB19:VSB24 VIF19:VIF24 UYJ19:UYJ24 UON19:UON24 UER19:UER24 TUV19:TUV24 TKZ19:TKZ24 TBD19:TBD24 SRH19:SRH24 SHL19:SHL24 RXP19:RXP24 RNT19:RNT24 RDX19:RDX24 QUB19:QUB24 QKF19:QKF24 QAJ19:QAJ24 PQN19:PQN24 PGR19:PGR24 OWV19:OWV24 OMZ19:OMZ24 ODD19:ODD24 NTH19:NTH24 NJL19:NJL24 MZP19:MZP24 MPT19:MPT24 MFX19:MFX24 LWB19:LWB24 LMF19:LMF24 LCJ19:LCJ24 KSN19:KSN24 KIR19:KIR24 JYV19:JYV24 JOZ19:JOZ24 JFD19:JFD24 IVH19:IVH24 ILL19:ILL24 IBP19:IBP24 HRT19:HRT24 HHX19:HHX24 GYB19:GYB24 GOF19:GOF24 GEJ19:GEJ24 FUN19:FUN24 FKR19:FKR24 FAV19:FAV24 EQZ19:EQZ24 EHD19:EHD24 DXH19:DXH24 DNL19:DNL24 DDP19:DDP24 CTT19:CTT24 CJX19:CJX24 CAB19:CAB24 BQF19:BQF24 BGJ19:BGJ24 AWN19:AWN24 AMR19:AMR24 ACV19:ACV24 SZ19:SZ24" xr:uid="{00000000-0002-0000-0100-000001000000}">
      <formula1>"Concept/Lecture, Assignment/Lab, Test/Quiz, Guides/Review, Seminar/Workshop"</formula1>
    </dataValidation>
    <dataValidation type="list" allowBlank="1" showErrorMessage="1" sqref="G3:G24" xr:uid="{00000000-0002-0000-0100-000002000000}">
      <formula1>"Concept/Lecture, Assignment/Lab, Test/Quiz, Exam, Guides/Review, Seminar/Workshop, Class Meeting"</formula1>
    </dataValidation>
  </dataValidations>
  <pageMargins left="0.44" right="0.70866141732283505" top="0.47" bottom="0.55000000000000004" header="0.31496062992126" footer="0.31496062992126"/>
  <pageSetup paperSize="9" scale="34" fitToHeight="2" orientation="landscape" r:id="rId1"/>
  <headerFooter>
    <oddFooter>&amp;L18e-BM/DT/FSOFT v1/1&amp;CInternal use&amp;R&amp;P/&amp;N</oddFooter>
  </headerFooter>
  <customProperties>
    <customPr name="DVSECTION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16"/>
  <sheetViews>
    <sheetView zoomScaleNormal="100" zoomScaleSheetLayoutView="100" workbookViewId="0">
      <selection activeCell="J37" sqref="J37"/>
    </sheetView>
  </sheetViews>
  <sheetFormatPr defaultRowHeight="12.75"/>
  <cols>
    <col min="1" max="1" width="3.140625" style="14" customWidth="1"/>
    <col min="2" max="2" width="14.42578125" style="14" customWidth="1"/>
    <col min="3" max="3" width="23.28515625" style="14" customWidth="1"/>
    <col min="4" max="4" width="15.7109375" style="14" customWidth="1"/>
    <col min="5" max="5" width="14.85546875" style="14" customWidth="1"/>
    <col min="6" max="6" width="16" style="14" customWidth="1"/>
    <col min="7" max="7" width="9.42578125" style="14" customWidth="1"/>
    <col min="8" max="16384" width="9.140625" style="14"/>
  </cols>
  <sheetData>
    <row r="1" spans="1:7" s="13" customFormat="1" ht="20.25" customHeight="1">
      <c r="A1" s="176" t="s">
        <v>144</v>
      </c>
      <c r="B1" s="176"/>
      <c r="C1" s="176"/>
      <c r="D1" s="176"/>
      <c r="E1" s="176"/>
      <c r="F1" s="176"/>
      <c r="G1" s="176"/>
    </row>
    <row r="2" spans="1:7">
      <c r="B2" s="9" t="s">
        <v>145</v>
      </c>
      <c r="C2" s="9" t="s">
        <v>12</v>
      </c>
      <c r="D2" s="9" t="s">
        <v>146</v>
      </c>
      <c r="E2" s="9" t="s">
        <v>147</v>
      </c>
      <c r="F2" s="9" t="s">
        <v>148</v>
      </c>
    </row>
    <row r="3" spans="1:7">
      <c r="B3" s="15" t="s">
        <v>149</v>
      </c>
      <c r="C3" s="6" t="s">
        <v>150</v>
      </c>
      <c r="D3" s="6" t="s">
        <v>151</v>
      </c>
      <c r="E3" s="6"/>
      <c r="F3" s="6"/>
    </row>
    <row r="4" spans="1:7">
      <c r="B4" s="16" t="s">
        <v>152</v>
      </c>
      <c r="C4" s="6"/>
      <c r="D4" s="6"/>
      <c r="E4" s="6"/>
      <c r="F4" s="6"/>
    </row>
    <row r="5" spans="1:7">
      <c r="B5" s="16" t="s">
        <v>153</v>
      </c>
      <c r="C5" s="6"/>
      <c r="D5" s="6"/>
      <c r="E5" s="6"/>
      <c r="F5" s="6"/>
    </row>
    <row r="6" spans="1:7" s="13" customFormat="1" ht="20.25" customHeight="1">
      <c r="A6" s="176" t="s">
        <v>154</v>
      </c>
      <c r="B6" s="176"/>
      <c r="C6" s="176"/>
      <c r="D6" s="176"/>
      <c r="E6" s="176"/>
      <c r="F6" s="176"/>
      <c r="G6" s="176"/>
    </row>
    <row r="7" spans="1:7">
      <c r="A7" s="14" t="s">
        <v>155</v>
      </c>
    </row>
    <row r="9" spans="1:7" ht="25.5">
      <c r="B9" s="9" t="s">
        <v>156</v>
      </c>
      <c r="C9" s="9" t="s">
        <v>157</v>
      </c>
      <c r="D9" s="9"/>
      <c r="E9" s="9" t="s">
        <v>158</v>
      </c>
      <c r="F9" s="9" t="s">
        <v>159</v>
      </c>
      <c r="G9" s="9" t="s">
        <v>6</v>
      </c>
    </row>
    <row r="10" spans="1:7">
      <c r="B10" s="7"/>
      <c r="C10" s="8"/>
      <c r="D10" s="8"/>
      <c r="E10" s="8"/>
      <c r="F10" s="8"/>
      <c r="G10" s="8"/>
    </row>
    <row r="11" spans="1:7">
      <c r="B11" s="8"/>
      <c r="C11" s="8"/>
      <c r="D11" s="8"/>
      <c r="E11" s="8"/>
      <c r="F11" s="8"/>
      <c r="G11" s="8"/>
    </row>
    <row r="12" spans="1:7">
      <c r="B12" s="8"/>
      <c r="C12" s="8"/>
      <c r="D12" s="8"/>
      <c r="E12" s="8"/>
      <c r="F12" s="8"/>
      <c r="G12" s="8"/>
    </row>
    <row r="13" spans="1:7">
      <c r="B13" s="8"/>
      <c r="C13" s="8"/>
      <c r="D13" s="8"/>
      <c r="E13" s="8"/>
      <c r="F13" s="8"/>
      <c r="G13" s="8"/>
    </row>
    <row r="14" spans="1:7">
      <c r="B14" s="8"/>
      <c r="C14" s="8"/>
      <c r="D14" s="8"/>
      <c r="E14" s="8"/>
      <c r="F14" s="8"/>
      <c r="G14" s="8"/>
    </row>
    <row r="15" spans="1:7">
      <c r="B15" s="8"/>
      <c r="C15" s="8"/>
      <c r="D15" s="8"/>
      <c r="E15" s="8"/>
      <c r="F15" s="8"/>
      <c r="G15" s="8"/>
    </row>
    <row r="16" spans="1:7">
      <c r="B16" s="8"/>
      <c r="C16" s="8"/>
      <c r="D16" s="8"/>
      <c r="E16" s="8"/>
      <c r="F16" s="8"/>
      <c r="G16" s="8"/>
    </row>
  </sheetData>
  <mergeCells count="2">
    <mergeCell ref="A1:G1"/>
    <mergeCell ref="A6:G6"/>
  </mergeCells>
  <phoneticPr fontId="4" type="noConversion"/>
  <pageMargins left="0.7" right="0.41" top="0.75" bottom="0.75" header="0.3" footer="0.3"/>
  <pageSetup paperSize="9" scale="96" orientation="portrait" r:id="rId1"/>
  <headerFooter>
    <oddFooter>&amp;L18e-BM/DT/FSOFT v1/1&amp;CInternal use&amp;R&amp;P/&amp;N</oddFooter>
  </headerFooter>
  <customProperties>
    <customPr name="DVSECTION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V5"/>
  <sheetViews>
    <sheetView workbookViewId="0">
      <selection activeCell="AL4" sqref="AL4"/>
    </sheetView>
  </sheetViews>
  <sheetFormatPr defaultRowHeight="12.75"/>
  <sheetData>
    <row r="1" spans="1:256">
      <c r="A1" t="e">
        <f>IF(Linux_Emb_Syllabus!1:1,"AAAAAH7b/wA=",0)</f>
        <v>#VALUE!</v>
      </c>
      <c r="B1" t="e">
        <f>AND(Linux_Emb_Syllabus!#REF!,"AAAAAH7b/wE=")</f>
        <v>#REF!</v>
      </c>
      <c r="C1" t="e">
        <f>AND(Linux_Emb_Syllabus!B1,"AAAAAH7b/wI=")</f>
        <v>#VALUE!</v>
      </c>
      <c r="D1" t="e">
        <f>AND(Linux_Emb_Syllabus!C1,"AAAAAH7b/wM=")</f>
        <v>#VALUE!</v>
      </c>
      <c r="E1" t="e">
        <f>AND(Linux_Emb_Syllabus!D1,"AAAAAH7b/wQ=")</f>
        <v>#VALUE!</v>
      </c>
      <c r="F1" t="e">
        <f>AND(Linux_Emb_Syllabus!E1,"AAAAAH7b/wU=")</f>
        <v>#VALUE!</v>
      </c>
      <c r="G1" t="e">
        <f>AND(Linux_Emb_Syllabus!F1,"AAAAAH7b/wY=")</f>
        <v>#VALUE!</v>
      </c>
      <c r="H1" t="e">
        <f>AND(Linux_Emb_Syllabus!G1,"AAAAAH7b/wc=")</f>
        <v>#VALUE!</v>
      </c>
      <c r="I1">
        <f>IF(Linux_Emb_Syllabus!2:2,"AAAAAH7b/wg=",0)</f>
        <v>0</v>
      </c>
      <c r="J1" t="e">
        <f>AND(Linux_Emb_Syllabus!A2,"AAAAAH7b/wk=")</f>
        <v>#VALUE!</v>
      </c>
      <c r="K1" t="e">
        <f>AND(Linux_Emb_Syllabus!B2,"AAAAAH7b/wo=")</f>
        <v>#VALUE!</v>
      </c>
      <c r="L1" t="e">
        <f>AND(Linux_Emb_Syllabus!C2,"AAAAAH7b/ws=")</f>
        <v>#VALUE!</v>
      </c>
      <c r="M1" t="e">
        <f>AND(Linux_Emb_Syllabus!D2,"AAAAAH7b/ww=")</f>
        <v>#VALUE!</v>
      </c>
      <c r="N1" t="e">
        <f>AND(Linux_Emb_Syllabus!E2,"AAAAAH7b/w0=")</f>
        <v>#VALUE!</v>
      </c>
      <c r="O1" t="e">
        <f>AND(Linux_Emb_Syllabus!F2,"AAAAAH7b/w4=")</f>
        <v>#VALUE!</v>
      </c>
      <c r="P1" t="e">
        <f>AND(Linux_Emb_Syllabus!G2,"AAAAAH7b/w8=")</f>
        <v>#VALUE!</v>
      </c>
      <c r="Q1">
        <f>IF(Linux_Emb_Syllabus!5:5,"AAAAAH7b/xA=",0)</f>
        <v>0</v>
      </c>
      <c r="R1" t="b">
        <f>AND(Linux_Emb_Syllabus!A5,"AAAAAH7b/xE=")</f>
        <v>1</v>
      </c>
      <c r="S1" t="e">
        <f>AND(Linux_Emb_Syllabus!B5,"AAAAAH7b/xI=")</f>
        <v>#VALUE!</v>
      </c>
      <c r="T1" t="e">
        <f>AND(Linux_Emb_Syllabus!C5,"AAAAAH7b/xM=")</f>
        <v>#VALUE!</v>
      </c>
      <c r="U1" t="e">
        <f>AND(Linux_Emb_Syllabus!D5,"AAAAAH7b/xQ=")</f>
        <v>#VALUE!</v>
      </c>
      <c r="V1" t="e">
        <f>AND(Linux_Emb_Syllabus!E5,"AAAAAH7b/xU=")</f>
        <v>#VALUE!</v>
      </c>
      <c r="W1" t="e">
        <f>AND(Linux_Emb_Syllabus!F5,"AAAAAH7b/xY=")</f>
        <v>#VALUE!</v>
      </c>
      <c r="X1" t="e">
        <f>AND(Linux_Emb_Syllabus!G5,"AAAAAH7b/xc=")</f>
        <v>#VALUE!</v>
      </c>
      <c r="Y1">
        <f>IF(Linux_Emb_Syllabus!6:6,"AAAAAH7b/xg=",0)</f>
        <v>0</v>
      </c>
      <c r="Z1" t="b">
        <f>AND(Linux_Emb_Syllabus!A6,"AAAAAH7b/xk=")</f>
        <v>1</v>
      </c>
      <c r="AA1" t="e">
        <f>AND(Linux_Emb_Syllabus!B6,"AAAAAH7b/xo=")</f>
        <v>#VALUE!</v>
      </c>
      <c r="AB1" t="e">
        <f>AND(Linux_Emb_Syllabus!C6,"AAAAAH7b/xs=")</f>
        <v>#VALUE!</v>
      </c>
      <c r="AC1" t="e">
        <f>AND(Linux_Emb_Syllabus!D6,"AAAAAH7b/xw=")</f>
        <v>#VALUE!</v>
      </c>
      <c r="AD1" t="e">
        <f>AND(Linux_Emb_Syllabus!E6,"AAAAAH7b/x0=")</f>
        <v>#VALUE!</v>
      </c>
      <c r="AE1" t="e">
        <f>AND(Linux_Emb_Syllabus!F6,"AAAAAH7b/x4=")</f>
        <v>#VALUE!</v>
      </c>
      <c r="AF1" t="e">
        <f>AND(Linux_Emb_Syllabus!G6,"AAAAAH7b/x8=")</f>
        <v>#VALUE!</v>
      </c>
      <c r="AG1">
        <f>IF(Linux_Emb_Syllabus!7:7,"AAAAAH7b/yA=",0)</f>
        <v>0</v>
      </c>
      <c r="AH1" t="b">
        <f>AND(Linux_Emb_Syllabus!A7,"AAAAAH7b/yE=")</f>
        <v>1</v>
      </c>
      <c r="AI1" t="e">
        <f>AND(Linux_Emb_Syllabus!B7,"AAAAAH7b/yI=")</f>
        <v>#VALUE!</v>
      </c>
      <c r="AJ1" t="e">
        <f>AND(Linux_Emb_Syllabus!C7,"AAAAAH7b/yM=")</f>
        <v>#VALUE!</v>
      </c>
      <c r="AK1" t="e">
        <f>AND(Linux_Emb_Syllabus!D7,"AAAAAH7b/yQ=")</f>
        <v>#VALUE!</v>
      </c>
      <c r="AL1" t="e">
        <f>AND(Linux_Emb_Syllabus!E7,"AAAAAH7b/yU=")</f>
        <v>#VALUE!</v>
      </c>
      <c r="AM1" t="e">
        <f>AND(Linux_Emb_Syllabus!F7,"AAAAAH7b/yY=")</f>
        <v>#VALUE!</v>
      </c>
      <c r="AN1" t="e">
        <f>AND(Linux_Emb_Syllabus!G7,"AAAAAH7b/yc=")</f>
        <v>#VALUE!</v>
      </c>
      <c r="AO1">
        <f>IF(Linux_Emb_Syllabus!8:8,"AAAAAH7b/yg=",0)</f>
        <v>0</v>
      </c>
      <c r="AP1" t="b">
        <f>AND(Linux_Emb_Syllabus!A8,"AAAAAH7b/yk=")</f>
        <v>1</v>
      </c>
      <c r="AQ1" t="e">
        <f>AND(Linux_Emb_Syllabus!B8,"AAAAAH7b/yo=")</f>
        <v>#VALUE!</v>
      </c>
      <c r="AR1" t="e">
        <f>AND(Linux_Emb_Syllabus!C8,"AAAAAH7b/ys=")</f>
        <v>#VALUE!</v>
      </c>
      <c r="AS1" t="e">
        <f>AND(Linux_Emb_Syllabus!D8,"AAAAAH7b/yw=")</f>
        <v>#VALUE!</v>
      </c>
      <c r="AT1" t="e">
        <f>AND(Linux_Emb_Syllabus!E8,"AAAAAH7b/y0=")</f>
        <v>#VALUE!</v>
      </c>
      <c r="AU1" t="e">
        <f>AND(Linux_Emb_Syllabus!F8,"AAAAAH7b/y4=")</f>
        <v>#VALUE!</v>
      </c>
      <c r="AV1" t="e">
        <f>AND(Linux_Emb_Syllabus!G8,"AAAAAH7b/y8=")</f>
        <v>#VALUE!</v>
      </c>
      <c r="AW1">
        <f>IF(Linux_Emb_Syllabus!9:9,"AAAAAH7b/zA=",0)</f>
        <v>0</v>
      </c>
      <c r="AX1" t="b">
        <f>AND(Linux_Emb_Syllabus!A9,"AAAAAH7b/zE=")</f>
        <v>1</v>
      </c>
      <c r="AY1" t="e">
        <f>AND(Linux_Emb_Syllabus!B9,"AAAAAH7b/zI=")</f>
        <v>#VALUE!</v>
      </c>
      <c r="AZ1" t="e">
        <f>AND(Linux_Emb_Syllabus!C9,"AAAAAH7b/zM=")</f>
        <v>#VALUE!</v>
      </c>
      <c r="BA1" t="e">
        <f>AND(Linux_Emb_Syllabus!D9,"AAAAAH7b/zQ=")</f>
        <v>#VALUE!</v>
      </c>
      <c r="BB1" t="e">
        <f>AND(Linux_Emb_Syllabus!E9,"AAAAAH7b/zU=")</f>
        <v>#VALUE!</v>
      </c>
      <c r="BC1" t="e">
        <f>AND(Linux_Emb_Syllabus!F9,"AAAAAH7b/zY=")</f>
        <v>#VALUE!</v>
      </c>
      <c r="BD1" t="e">
        <f>AND(Linux_Emb_Syllabus!G9,"AAAAAH7b/zc=")</f>
        <v>#VALUE!</v>
      </c>
      <c r="BE1">
        <f>IF(Linux_Emb_Syllabus!10:10,"AAAAAH7b/zg=",0)</f>
        <v>0</v>
      </c>
      <c r="BF1" t="e">
        <f>AND(Linux_Emb_Syllabus!A10,"AAAAAH7b/zk=")</f>
        <v>#VALUE!</v>
      </c>
      <c r="BG1" t="e">
        <f>AND(Linux_Emb_Syllabus!B10,"AAAAAH7b/zo=")</f>
        <v>#VALUE!</v>
      </c>
      <c r="BH1" t="e">
        <f>AND(Linux_Emb_Syllabus!C10,"AAAAAH7b/zs=")</f>
        <v>#VALUE!</v>
      </c>
      <c r="BI1" t="e">
        <f>AND(Linux_Emb_Syllabus!D10,"AAAAAH7b/zw=")</f>
        <v>#VALUE!</v>
      </c>
      <c r="BJ1" t="e">
        <f>AND(Linux_Emb_Syllabus!E10,"AAAAAH7b/z0=")</f>
        <v>#VALUE!</v>
      </c>
      <c r="BK1" t="e">
        <f>AND(Linux_Emb_Syllabus!F10,"AAAAAH7b/z4=")</f>
        <v>#VALUE!</v>
      </c>
      <c r="BL1" t="e">
        <f>AND(Linux_Emb_Syllabus!G10,"AAAAAH7b/z8=")</f>
        <v>#VALUE!</v>
      </c>
      <c r="BM1">
        <f>IF(Linux_Emb_Syllabus!11:11,"AAAAAH7b/0A=",0)</f>
        <v>0</v>
      </c>
      <c r="BN1" t="e">
        <f>AND(Linux_Emb_Syllabus!A11,"AAAAAH7b/0E=")</f>
        <v>#VALUE!</v>
      </c>
      <c r="BO1" t="e">
        <f>AND(Linux_Emb_Syllabus!B11,"AAAAAH7b/0I=")</f>
        <v>#VALUE!</v>
      </c>
      <c r="BP1" t="e">
        <f>AND(Linux_Emb_Syllabus!C11,"AAAAAH7b/0M=")</f>
        <v>#VALUE!</v>
      </c>
      <c r="BQ1" t="e">
        <f>AND(Linux_Emb_Syllabus!D11,"AAAAAH7b/0Q=")</f>
        <v>#VALUE!</v>
      </c>
      <c r="BR1" t="e">
        <f>AND(Linux_Emb_Syllabus!E11,"AAAAAH7b/0U=")</f>
        <v>#VALUE!</v>
      </c>
      <c r="BS1" t="e">
        <f>AND(Linux_Emb_Syllabus!F11,"AAAAAH7b/0Y=")</f>
        <v>#VALUE!</v>
      </c>
      <c r="BT1" t="e">
        <f>AND(Linux_Emb_Syllabus!G11,"AAAAAH7b/0c=")</f>
        <v>#VALUE!</v>
      </c>
      <c r="BU1">
        <f>IF(Linux_Emb_Syllabus!13:13,"AAAAAH7b/0g=",0)</f>
        <v>0</v>
      </c>
      <c r="BV1" t="e">
        <f>AND(Linux_Emb_Syllabus!A13,"AAAAAH7b/0k=")</f>
        <v>#VALUE!</v>
      </c>
      <c r="BW1" t="e">
        <f>AND(Linux_Emb_Syllabus!B13,"AAAAAH7b/0o=")</f>
        <v>#VALUE!</v>
      </c>
      <c r="BX1" t="e">
        <f>AND(Linux_Emb_Syllabus!C13,"AAAAAH7b/0s=")</f>
        <v>#VALUE!</v>
      </c>
      <c r="BY1" t="e">
        <f>AND(Linux_Emb_Syllabus!D13,"AAAAAH7b/0w=")</f>
        <v>#VALUE!</v>
      </c>
      <c r="BZ1" t="e">
        <f>AND(Linux_Emb_Syllabus!E13,"AAAAAH7b/00=")</f>
        <v>#VALUE!</v>
      </c>
      <c r="CA1" t="e">
        <f>AND(Linux_Emb_Syllabus!F13,"AAAAAH7b/04=")</f>
        <v>#VALUE!</v>
      </c>
      <c r="CB1" t="e">
        <f>AND(Linux_Emb_Syllabus!G13,"AAAAAH7b/08=")</f>
        <v>#VALUE!</v>
      </c>
      <c r="CC1">
        <f>IF(Linux_Emb_Syllabus!14:14,"AAAAAH7b/1A=",0)</f>
        <v>0</v>
      </c>
      <c r="CD1" t="e">
        <f>AND(Linux_Emb_Syllabus!A14,"AAAAAH7b/1E=")</f>
        <v>#VALUE!</v>
      </c>
      <c r="CE1" t="e">
        <f>AND(Linux_Emb_Syllabus!B14,"AAAAAH7b/1I=")</f>
        <v>#VALUE!</v>
      </c>
      <c r="CF1" t="e">
        <f>AND(Linux_Emb_Syllabus!C14,"AAAAAH7b/1M=")</f>
        <v>#VALUE!</v>
      </c>
      <c r="CG1" t="e">
        <f>AND(Linux_Emb_Syllabus!D14,"AAAAAH7b/1Q=")</f>
        <v>#VALUE!</v>
      </c>
      <c r="CH1" t="e">
        <f>AND(Linux_Emb_Syllabus!E14,"AAAAAH7b/1U=")</f>
        <v>#VALUE!</v>
      </c>
      <c r="CI1" t="e">
        <f>AND(Linux_Emb_Syllabus!F14,"AAAAAH7b/1Y=")</f>
        <v>#VALUE!</v>
      </c>
      <c r="CJ1" t="e">
        <f>AND(Linux_Emb_Syllabus!G14,"AAAAAH7b/1c=")</f>
        <v>#VALUE!</v>
      </c>
      <c r="CK1">
        <f>IF(Linux_Emb_Syllabus!15:15,"AAAAAH7b/1g=",0)</f>
        <v>0</v>
      </c>
      <c r="CL1" t="b">
        <f>AND(Linux_Emb_Syllabus!A15,"AAAAAH7b/1k=")</f>
        <v>1</v>
      </c>
      <c r="CM1" t="e">
        <f>AND(Linux_Emb_Syllabus!B15,"AAAAAH7b/1o=")</f>
        <v>#VALUE!</v>
      </c>
      <c r="CN1" t="e">
        <f>AND(Linux_Emb_Syllabus!C15,"AAAAAH7b/1s=")</f>
        <v>#VALUE!</v>
      </c>
      <c r="CO1" t="e">
        <f>AND(Linux_Emb_Syllabus!D15,"AAAAAH7b/1w=")</f>
        <v>#VALUE!</v>
      </c>
      <c r="CP1" t="e">
        <f>AND(Linux_Emb_Syllabus!E15,"AAAAAH7b/10=")</f>
        <v>#VALUE!</v>
      </c>
      <c r="CQ1" t="e">
        <f>AND(Linux_Emb_Syllabus!F15,"AAAAAH7b/14=")</f>
        <v>#VALUE!</v>
      </c>
      <c r="CR1" t="e">
        <f>AND(Linux_Emb_Syllabus!G15,"AAAAAH7b/18=")</f>
        <v>#VALUE!</v>
      </c>
      <c r="CS1">
        <f>IF(Linux_Emb_Syllabus!16:16,"AAAAAH7b/2A=",0)</f>
        <v>0</v>
      </c>
      <c r="CT1" t="b">
        <f>AND(Linux_Emb_Syllabus!A16,"AAAAAH7b/2E=")</f>
        <v>1</v>
      </c>
      <c r="CU1" t="e">
        <f>AND(Linux_Emb_Syllabus!B16,"AAAAAH7b/2I=")</f>
        <v>#VALUE!</v>
      </c>
      <c r="CV1" t="e">
        <f>AND(Linux_Emb_Syllabus!C16,"AAAAAH7b/2M=")</f>
        <v>#VALUE!</v>
      </c>
      <c r="CW1" t="b">
        <f>AND(Linux_Emb_Syllabus!D16,"AAAAAH7b/2Q=")</f>
        <v>1</v>
      </c>
      <c r="CX1" t="e">
        <f>AND(Linux_Emb_Syllabus!E16,"AAAAAH7b/2U=")</f>
        <v>#VALUE!</v>
      </c>
      <c r="CY1" t="e">
        <f>AND(Linux_Emb_Syllabus!F16,"AAAAAH7b/2Y=")</f>
        <v>#VALUE!</v>
      </c>
      <c r="CZ1" t="e">
        <f>AND(Linux_Emb_Syllabus!G16,"AAAAAH7b/2c=")</f>
        <v>#VALUE!</v>
      </c>
      <c r="DA1">
        <f>IF(Linux_Emb_Syllabus!17:17,"AAAAAH7b/2g=",0)</f>
        <v>0</v>
      </c>
      <c r="DB1" t="e">
        <f>AND(Linux_Emb_Syllabus!A17,"AAAAAH7b/2k=")</f>
        <v>#VALUE!</v>
      </c>
      <c r="DC1" t="e">
        <f>AND(Linux_Emb_Syllabus!B17,"AAAAAH7b/2o=")</f>
        <v>#VALUE!</v>
      </c>
      <c r="DD1" t="e">
        <f>AND(Linux_Emb_Syllabus!C17,"AAAAAH7b/2s=")</f>
        <v>#VALUE!</v>
      </c>
      <c r="DE1" t="b">
        <f>AND(Linux_Emb_Syllabus!D17,"AAAAAH7b/2w=")</f>
        <v>1</v>
      </c>
      <c r="DF1" t="e">
        <f>AND(Linux_Emb_Syllabus!E17,"AAAAAH7b/20=")</f>
        <v>#VALUE!</v>
      </c>
      <c r="DG1" t="e">
        <f>AND(Linux_Emb_Syllabus!F17,"AAAAAH7b/24=")</f>
        <v>#VALUE!</v>
      </c>
      <c r="DH1" t="e">
        <f>AND(Linux_Emb_Syllabus!G17,"AAAAAH7b/28=")</f>
        <v>#VALUE!</v>
      </c>
      <c r="DI1">
        <f>IF(Linux_Emb_Syllabus!18:18,"AAAAAH7b/3A=",0)</f>
        <v>0</v>
      </c>
      <c r="DJ1" t="e">
        <f>AND(Linux_Emb_Syllabus!A18,"AAAAAH7b/3E=")</f>
        <v>#VALUE!</v>
      </c>
      <c r="DK1" t="e">
        <f>AND(Linux_Emb_Syllabus!B18,"AAAAAH7b/3I=")</f>
        <v>#VALUE!</v>
      </c>
      <c r="DL1" t="e">
        <f>AND(Linux_Emb_Syllabus!C18,"AAAAAH7b/3M=")</f>
        <v>#VALUE!</v>
      </c>
      <c r="DM1" t="b">
        <f>AND(Linux_Emb_Syllabus!D18,"AAAAAH7b/3Q=")</f>
        <v>1</v>
      </c>
      <c r="DN1" t="e">
        <f>AND(Linux_Emb_Syllabus!E18,"AAAAAH7b/3U=")</f>
        <v>#VALUE!</v>
      </c>
      <c r="DO1" t="e">
        <f>AND(Linux_Emb_Syllabus!F18,"AAAAAH7b/3Y=")</f>
        <v>#VALUE!</v>
      </c>
      <c r="DP1" t="e">
        <f>AND(Linux_Emb_Syllabus!G18,"AAAAAH7b/3c=")</f>
        <v>#VALUE!</v>
      </c>
      <c r="DQ1">
        <f>IF(Linux_Emb_Syllabus!19:19,"AAAAAH7b/3g=",0)</f>
        <v>0</v>
      </c>
      <c r="DR1" t="e">
        <f>AND(Linux_Emb_Syllabus!A19,"AAAAAH7b/3k=")</f>
        <v>#VALUE!</v>
      </c>
      <c r="DS1" t="e">
        <f>AND(Linux_Emb_Syllabus!B19,"AAAAAH7b/3o=")</f>
        <v>#VALUE!</v>
      </c>
      <c r="DT1" t="e">
        <f>AND(Linux_Emb_Syllabus!C19,"AAAAAH7b/3s=")</f>
        <v>#VALUE!</v>
      </c>
      <c r="DU1" t="b">
        <f>AND(Linux_Emb_Syllabus!D19,"AAAAAH7b/3w=")</f>
        <v>0</v>
      </c>
      <c r="DV1" t="e">
        <f>AND(Linux_Emb_Syllabus!E19,"AAAAAH7b/30=")</f>
        <v>#VALUE!</v>
      </c>
      <c r="DW1" t="e">
        <f>AND(Linux_Emb_Syllabus!F19,"AAAAAH7b/34=")</f>
        <v>#VALUE!</v>
      </c>
      <c r="DX1" t="e">
        <f>AND(Linux_Emb_Syllabus!G19,"AAAAAH7b/38=")</f>
        <v>#VALUE!</v>
      </c>
      <c r="DY1">
        <f>IF(Linux_Emb_Syllabus!20:20,"AAAAAH7b/4A=",0)</f>
        <v>0</v>
      </c>
      <c r="DZ1" t="e">
        <f>AND(Linux_Emb_Syllabus!A20,"AAAAAH7b/4E=")</f>
        <v>#VALUE!</v>
      </c>
      <c r="EA1" t="e">
        <f>AND(Linux_Emb_Syllabus!B20,"AAAAAH7b/4I=")</f>
        <v>#VALUE!</v>
      </c>
      <c r="EB1" t="e">
        <f>AND(Linux_Emb_Syllabus!C20,"AAAAAH7b/4M=")</f>
        <v>#VALUE!</v>
      </c>
      <c r="EC1" t="b">
        <f>AND(Linux_Emb_Syllabus!D20,"AAAAAH7b/4Q=")</f>
        <v>1</v>
      </c>
      <c r="ED1" t="e">
        <f>AND(Linux_Emb_Syllabus!E20,"AAAAAH7b/4U=")</f>
        <v>#VALUE!</v>
      </c>
      <c r="EE1" t="e">
        <f>AND(Linux_Emb_Syllabus!F20,"AAAAAH7b/4Y=")</f>
        <v>#VALUE!</v>
      </c>
      <c r="EF1" t="e">
        <f>AND(Linux_Emb_Syllabus!G20,"AAAAAH7b/4c=")</f>
        <v>#VALUE!</v>
      </c>
      <c r="EG1">
        <f>IF(Linux_Emb_Syllabus!21:21,"AAAAAH7b/4g=",0)</f>
        <v>0</v>
      </c>
      <c r="EH1" t="b">
        <f>AND(Linux_Emb_Syllabus!A21,"AAAAAH7b/4k=")</f>
        <v>1</v>
      </c>
      <c r="EI1" t="e">
        <f>AND(Linux_Emb_Syllabus!B21,"AAAAAH7b/4o=")</f>
        <v>#VALUE!</v>
      </c>
      <c r="EJ1" t="e">
        <f>AND(Linux_Emb_Syllabus!C21,"AAAAAH7b/4s=")</f>
        <v>#VALUE!</v>
      </c>
      <c r="EK1" t="e">
        <f>AND(Linux_Emb_Syllabus!D21,"AAAAAH7b/4w=")</f>
        <v>#VALUE!</v>
      </c>
      <c r="EL1" t="e">
        <f>AND(Linux_Emb_Syllabus!E21,"AAAAAH7b/40=")</f>
        <v>#VALUE!</v>
      </c>
      <c r="EM1" t="e">
        <f>AND(Linux_Emb_Syllabus!F21,"AAAAAH7b/44=")</f>
        <v>#VALUE!</v>
      </c>
      <c r="EN1" t="e">
        <f>AND(Linux_Emb_Syllabus!G21,"AAAAAH7b/48=")</f>
        <v>#VALUE!</v>
      </c>
      <c r="EO1">
        <f>IF(Linux_Emb_Syllabus!22:22,"AAAAAH7b/5A=",0)</f>
        <v>0</v>
      </c>
      <c r="EP1" t="e">
        <f>AND(Linux_Emb_Syllabus!A22,"AAAAAH7b/5E=")</f>
        <v>#VALUE!</v>
      </c>
      <c r="EQ1" t="e">
        <f>AND(Linux_Emb_Syllabus!B22,"AAAAAH7b/5I=")</f>
        <v>#VALUE!</v>
      </c>
      <c r="ER1" t="e">
        <f>AND(Linux_Emb_Syllabus!C22,"AAAAAH7b/5M=")</f>
        <v>#VALUE!</v>
      </c>
      <c r="ES1" t="e">
        <f>AND(Linux_Emb_Syllabus!D22,"AAAAAH7b/5Q=")</f>
        <v>#VALUE!</v>
      </c>
      <c r="ET1" t="e">
        <f>AND(Linux_Emb_Syllabus!E22,"AAAAAH7b/5U=")</f>
        <v>#VALUE!</v>
      </c>
      <c r="EU1" t="e">
        <f>AND(Linux_Emb_Syllabus!F22,"AAAAAH7b/5Y=")</f>
        <v>#VALUE!</v>
      </c>
      <c r="EV1" t="e">
        <f>AND(Linux_Emb_Syllabus!G22,"AAAAAH7b/5c=")</f>
        <v>#VALUE!</v>
      </c>
      <c r="EW1">
        <f>IF(Linux_Emb_Syllabus!23:23,"AAAAAH7b/5g=",0)</f>
        <v>0</v>
      </c>
      <c r="EX1" t="e">
        <f>AND(Linux_Emb_Syllabus!A23,"AAAAAH7b/5k=")</f>
        <v>#VALUE!</v>
      </c>
      <c r="EY1" t="e">
        <f>AND(Linux_Emb_Syllabus!B23,"AAAAAH7b/5o=")</f>
        <v>#VALUE!</v>
      </c>
      <c r="EZ1" t="e">
        <f>AND(Linux_Emb_Syllabus!C23,"AAAAAH7b/5s=")</f>
        <v>#VALUE!</v>
      </c>
      <c r="FA1" t="e">
        <f>AND(Linux_Emb_Syllabus!D23,"AAAAAH7b/5w=")</f>
        <v>#VALUE!</v>
      </c>
      <c r="FB1" t="e">
        <f>AND(Linux_Emb_Syllabus!E23,"AAAAAH7b/50=")</f>
        <v>#VALUE!</v>
      </c>
      <c r="FC1" t="e">
        <f>AND(Linux_Emb_Syllabus!F23,"AAAAAH7b/54=")</f>
        <v>#VALUE!</v>
      </c>
      <c r="FD1" t="e">
        <f>AND(Linux_Emb_Syllabus!G23,"AAAAAH7b/58=")</f>
        <v>#VALUE!</v>
      </c>
      <c r="FE1">
        <f>IF(Linux_Emb_Syllabus!24:24,"AAAAAH7b/6A=",0)</f>
        <v>0</v>
      </c>
      <c r="FF1" t="e">
        <f>AND(Linux_Emb_Syllabus!A24,"AAAAAH7b/6E=")</f>
        <v>#VALUE!</v>
      </c>
      <c r="FG1" t="e">
        <f>AND(Linux_Emb_Syllabus!B24,"AAAAAH7b/6I=")</f>
        <v>#VALUE!</v>
      </c>
      <c r="FH1" t="e">
        <f>AND(Linux_Emb_Syllabus!C24,"AAAAAH7b/6M=")</f>
        <v>#VALUE!</v>
      </c>
      <c r="FI1" t="e">
        <f>AND(Linux_Emb_Syllabus!D24,"AAAAAH7b/6Q=")</f>
        <v>#VALUE!</v>
      </c>
      <c r="FJ1" t="e">
        <f>AND(Linux_Emb_Syllabus!E24,"AAAAAH7b/6U=")</f>
        <v>#VALUE!</v>
      </c>
      <c r="FK1" t="e">
        <f>AND(Linux_Emb_Syllabus!F24,"AAAAAH7b/6Y=")</f>
        <v>#VALUE!</v>
      </c>
      <c r="FL1" t="e">
        <f>AND(Linux_Emb_Syllabus!G24,"AAAAAH7b/6c=")</f>
        <v>#VALUE!</v>
      </c>
      <c r="FM1" t="e">
        <f>IF(_xlfn.SINGLE(Linux_Emb_Syllabus!#REF!),"AAAAAH7b/6g=",0)</f>
        <v>#REF!</v>
      </c>
      <c r="FN1" t="e">
        <f>AND(Linux_Emb_Syllabus!#REF!,"AAAAAH7b/6k=")</f>
        <v>#REF!</v>
      </c>
      <c r="FO1" t="e">
        <f>AND(Linux_Emb_Syllabus!#REF!,"AAAAAH7b/6o=")</f>
        <v>#REF!</v>
      </c>
      <c r="FP1" t="e">
        <f>AND(Linux_Emb_Syllabus!#REF!,"AAAAAH7b/6s=")</f>
        <v>#REF!</v>
      </c>
      <c r="FQ1" t="e">
        <f>AND(Linux_Emb_Syllabus!#REF!,"AAAAAH7b/6w=")</f>
        <v>#REF!</v>
      </c>
      <c r="FR1" t="e">
        <f>AND(Linux_Emb_Syllabus!#REF!,"AAAAAH7b/60=")</f>
        <v>#REF!</v>
      </c>
      <c r="FS1" t="e">
        <f>AND(Linux_Emb_Syllabus!#REF!,"AAAAAH7b/64=")</f>
        <v>#REF!</v>
      </c>
      <c r="FT1" t="e">
        <f>AND(Linux_Emb_Syllabus!#REF!,"AAAAAH7b/68=")</f>
        <v>#REF!</v>
      </c>
      <c r="FU1">
        <f>IF(Linux_Emb_Syllabus!25:25,"AAAAAH7b/7A=",0)</f>
        <v>0</v>
      </c>
      <c r="FV1" t="e">
        <f>AND(Linux_Emb_Syllabus!A25,"AAAAAH7b/7E=")</f>
        <v>#VALUE!</v>
      </c>
      <c r="FW1" t="e">
        <f>AND(Linux_Emb_Syllabus!B25,"AAAAAH7b/7I=")</f>
        <v>#VALUE!</v>
      </c>
      <c r="FX1" t="e">
        <f>AND(Linux_Emb_Syllabus!C25,"AAAAAH7b/7M=")</f>
        <v>#VALUE!</v>
      </c>
      <c r="FY1" t="e">
        <f>AND(Linux_Emb_Syllabus!D25,"AAAAAH7b/7Q=")</f>
        <v>#VALUE!</v>
      </c>
      <c r="FZ1" t="e">
        <f>AND(Linux_Emb_Syllabus!E25,"AAAAAH7b/7U=")</f>
        <v>#VALUE!</v>
      </c>
      <c r="GA1" t="e">
        <f>AND(Linux_Emb_Syllabus!F25,"AAAAAH7b/7Y=")</f>
        <v>#VALUE!</v>
      </c>
      <c r="GB1" t="e">
        <f>AND(Linux_Emb_Syllabus!G25,"AAAAAH7b/7c=")</f>
        <v>#VALUE!</v>
      </c>
      <c r="GC1">
        <f>IF(Linux_Emb_Syllabus!26:26,"AAAAAH7b/7g=",0)</f>
        <v>0</v>
      </c>
      <c r="GD1" t="b">
        <f>AND(Linux_Emb_Syllabus!A26,"AAAAAH7b/7k=")</f>
        <v>1</v>
      </c>
      <c r="GE1" t="e">
        <f>AND(Linux_Emb_Syllabus!B26,"AAAAAH7b/7o=")</f>
        <v>#VALUE!</v>
      </c>
      <c r="GF1" t="e">
        <f>AND(Linux_Emb_Syllabus!C26,"AAAAAH7b/7s=")</f>
        <v>#VALUE!</v>
      </c>
      <c r="GG1" t="e">
        <f>AND(Linux_Emb_Syllabus!D26,"AAAAAH7b/7w=")</f>
        <v>#VALUE!</v>
      </c>
      <c r="GH1" t="e">
        <f>AND(Linux_Emb_Syllabus!E26,"AAAAAH7b/70=")</f>
        <v>#VALUE!</v>
      </c>
      <c r="GI1" t="e">
        <f>AND(Linux_Emb_Syllabus!F26,"AAAAAH7b/74=")</f>
        <v>#VALUE!</v>
      </c>
      <c r="GJ1" t="e">
        <f>AND(Linux_Emb_Syllabus!G26,"AAAAAH7b/78=")</f>
        <v>#VALUE!</v>
      </c>
      <c r="GK1">
        <f>IF(Linux_Emb_Syllabus!27:27,"AAAAAH7b/8A=",0)</f>
        <v>0</v>
      </c>
      <c r="GL1" t="e">
        <f>AND(Linux_Emb_Syllabus!A27,"AAAAAH7b/8E=")</f>
        <v>#VALUE!</v>
      </c>
      <c r="GM1" t="e">
        <f>AND(Linux_Emb_Syllabus!B27,"AAAAAH7b/8I=")</f>
        <v>#VALUE!</v>
      </c>
      <c r="GN1" t="e">
        <f>AND(Linux_Emb_Syllabus!C27,"AAAAAH7b/8M=")</f>
        <v>#VALUE!</v>
      </c>
      <c r="GO1" t="e">
        <f>AND(Linux_Emb_Syllabus!D27,"AAAAAH7b/8Q=")</f>
        <v>#VALUE!</v>
      </c>
      <c r="GP1" t="e">
        <f>AND(Linux_Emb_Syllabus!E27,"AAAAAH7b/8U=")</f>
        <v>#VALUE!</v>
      </c>
      <c r="GQ1" t="e">
        <f>AND(Linux_Emb_Syllabus!F27,"AAAAAH7b/8Y=")</f>
        <v>#VALUE!</v>
      </c>
      <c r="GR1" t="e">
        <f>AND(Linux_Emb_Syllabus!G27,"AAAAAH7b/8c=")</f>
        <v>#VALUE!</v>
      </c>
      <c r="GS1">
        <f>IF(Linux_Emb_Syllabus!29:29,"AAAAAH7b/8g=",0)</f>
        <v>0</v>
      </c>
      <c r="GT1" t="e">
        <f>AND(Linux_Emb_Syllabus!A29,"AAAAAH7b/8k=")</f>
        <v>#VALUE!</v>
      </c>
      <c r="GU1" t="e">
        <f>AND(Linux_Emb_Syllabus!B29,"AAAAAH7b/8o=")</f>
        <v>#VALUE!</v>
      </c>
      <c r="GV1" t="e">
        <f>AND(Linux_Emb_Syllabus!C29,"AAAAAH7b/8s=")</f>
        <v>#VALUE!</v>
      </c>
      <c r="GW1" t="e">
        <f>AND(Linux_Emb_Syllabus!D29,"AAAAAH7b/8w=")</f>
        <v>#VALUE!</v>
      </c>
      <c r="GX1" t="e">
        <f>AND(Linux_Emb_Syllabus!E29,"AAAAAH7b/80=")</f>
        <v>#VALUE!</v>
      </c>
      <c r="GY1" t="e">
        <f>AND(Linux_Emb_Syllabus!F29,"AAAAAH7b/84=")</f>
        <v>#VALUE!</v>
      </c>
      <c r="GZ1" t="e">
        <f>AND(Linux_Emb_Syllabus!G29,"AAAAAH7b/88=")</f>
        <v>#VALUE!</v>
      </c>
      <c r="HA1">
        <f>IF(Linux_Emb_Syllabus!30:30,"AAAAAH7b/9A=",0)</f>
        <v>0</v>
      </c>
      <c r="HB1" t="e">
        <f>AND(Linux_Emb_Syllabus!A30,"AAAAAH7b/9E=")</f>
        <v>#VALUE!</v>
      </c>
      <c r="HC1" t="e">
        <f>AND(Linux_Emb_Syllabus!B30,"AAAAAH7b/9I=")</f>
        <v>#VALUE!</v>
      </c>
      <c r="HD1" t="e">
        <f>AND(Linux_Emb_Syllabus!C30,"AAAAAH7b/9M=")</f>
        <v>#VALUE!</v>
      </c>
      <c r="HE1" t="e">
        <f>AND(Linux_Emb_Syllabus!D30,"AAAAAH7b/9Q=")</f>
        <v>#VALUE!</v>
      </c>
      <c r="HF1" t="e">
        <f>AND(Linux_Emb_Syllabus!E30,"AAAAAH7b/9U=")</f>
        <v>#VALUE!</v>
      </c>
      <c r="HG1" t="e">
        <f>AND(Linux_Emb_Syllabus!F30,"AAAAAH7b/9Y=")</f>
        <v>#VALUE!</v>
      </c>
      <c r="HH1" t="e">
        <f>AND(Linux_Emb_Syllabus!G30,"AAAAAH7b/9c=")</f>
        <v>#VALUE!</v>
      </c>
      <c r="HI1">
        <f>IF(Linux_Emb_Syllabus!31:31,"AAAAAH7b/9g=",0)</f>
        <v>0</v>
      </c>
      <c r="HJ1" t="b">
        <f>AND(Linux_Emb_Syllabus!A31,"AAAAAH7b/9k=")</f>
        <v>1</v>
      </c>
      <c r="HK1" t="e">
        <f>AND(Linux_Emb_Syllabus!B31,"AAAAAH7b/9o=")</f>
        <v>#VALUE!</v>
      </c>
      <c r="HL1" t="e">
        <f>AND(Linux_Emb_Syllabus!C31,"AAAAAH7b/9s=")</f>
        <v>#VALUE!</v>
      </c>
      <c r="HM1" t="e">
        <f>AND(Linux_Emb_Syllabus!D31,"AAAAAH7b/9w=")</f>
        <v>#VALUE!</v>
      </c>
      <c r="HN1" t="e">
        <f>AND(Linux_Emb_Syllabus!E31,"AAAAAH7b/90=")</f>
        <v>#VALUE!</v>
      </c>
      <c r="HO1" t="e">
        <f>AND(Linux_Emb_Syllabus!F31,"AAAAAH7b/94=")</f>
        <v>#VALUE!</v>
      </c>
      <c r="HP1" t="e">
        <f>AND(Linux_Emb_Syllabus!G31,"AAAAAH7b/98=")</f>
        <v>#VALUE!</v>
      </c>
      <c r="HQ1">
        <f>IF(Linux_Emb_Syllabus!32:32,"AAAAAH7b/+A=",0)</f>
        <v>0</v>
      </c>
      <c r="HR1" t="e">
        <f>AND(Linux_Emb_Syllabus!A32,"AAAAAH7b/+E=")</f>
        <v>#VALUE!</v>
      </c>
      <c r="HS1" t="e">
        <f>AND(Linux_Emb_Syllabus!B32,"AAAAAH7b/+I=")</f>
        <v>#VALUE!</v>
      </c>
      <c r="HT1" t="e">
        <f>AND(Linux_Emb_Syllabus!C32,"AAAAAH7b/+M=")</f>
        <v>#VALUE!</v>
      </c>
      <c r="HU1" t="e">
        <f>AND(Linux_Emb_Syllabus!D32,"AAAAAH7b/+Q=")</f>
        <v>#VALUE!</v>
      </c>
      <c r="HV1" t="e">
        <f>AND(Linux_Emb_Syllabus!E32,"AAAAAH7b/+U=")</f>
        <v>#VALUE!</v>
      </c>
      <c r="HW1" t="e">
        <f>AND(Linux_Emb_Syllabus!F32,"AAAAAH7b/+Y=")</f>
        <v>#VALUE!</v>
      </c>
      <c r="HX1" t="e">
        <f>AND(Linux_Emb_Syllabus!G32,"AAAAAH7b/+c=")</f>
        <v>#VALUE!</v>
      </c>
      <c r="HY1">
        <f>IF(Linux_Emb_Syllabus!33:33,"AAAAAH7b/+g=",0)</f>
        <v>0</v>
      </c>
      <c r="HZ1" t="e">
        <f>AND(Linux_Emb_Syllabus!A33,"AAAAAH7b/+k=")</f>
        <v>#VALUE!</v>
      </c>
      <c r="IA1" t="e">
        <f>AND(Linux_Emb_Syllabus!B33,"AAAAAH7b/+o=")</f>
        <v>#VALUE!</v>
      </c>
      <c r="IB1" t="e">
        <f>AND(Linux_Emb_Syllabus!C33,"AAAAAH7b/+s=")</f>
        <v>#VALUE!</v>
      </c>
      <c r="IC1" t="e">
        <f>AND(Linux_Emb_Syllabus!D33,"AAAAAH7b/+w=")</f>
        <v>#VALUE!</v>
      </c>
      <c r="ID1" t="e">
        <f>AND(Linux_Emb_Syllabus!E33,"AAAAAH7b/+0=")</f>
        <v>#VALUE!</v>
      </c>
      <c r="IE1" t="e">
        <f>AND(Linux_Emb_Syllabus!F33,"AAAAAH7b/+4=")</f>
        <v>#VALUE!</v>
      </c>
      <c r="IF1" t="e">
        <f>AND(Linux_Emb_Syllabus!G33,"AAAAAH7b/+8=")</f>
        <v>#VALUE!</v>
      </c>
      <c r="IG1">
        <f>IF(Linux_Emb_Syllabus!34:34,"AAAAAH7b//A=",0)</f>
        <v>0</v>
      </c>
      <c r="IH1" t="e">
        <f>AND(Linux_Emb_Syllabus!A34,"AAAAAH7b//E=")</f>
        <v>#VALUE!</v>
      </c>
      <c r="II1" t="e">
        <f>AND(Linux_Emb_Syllabus!B34,"AAAAAH7b//I=")</f>
        <v>#VALUE!</v>
      </c>
      <c r="IJ1" t="e">
        <f>AND(Linux_Emb_Syllabus!C34,"AAAAAH7b//M=")</f>
        <v>#VALUE!</v>
      </c>
      <c r="IK1" t="e">
        <f>AND(Linux_Emb_Syllabus!D34,"AAAAAH7b//Q=")</f>
        <v>#VALUE!</v>
      </c>
      <c r="IL1" t="e">
        <f>AND(Linux_Emb_Syllabus!E34,"AAAAAH7b//U=")</f>
        <v>#VALUE!</v>
      </c>
      <c r="IM1" t="e">
        <f>AND(Linux_Emb_Syllabus!F34,"AAAAAH7b//Y=")</f>
        <v>#VALUE!</v>
      </c>
      <c r="IN1" t="e">
        <f>AND(Linux_Emb_Syllabus!G34,"AAAAAH7b//c=")</f>
        <v>#VALUE!</v>
      </c>
      <c r="IO1">
        <f>IF(Linux_Emb_Syllabus!35:35,"AAAAAH7b//g=",0)</f>
        <v>0</v>
      </c>
      <c r="IP1" t="e">
        <f>AND(Linux_Emb_Syllabus!A35,"AAAAAH7b//k=")</f>
        <v>#VALUE!</v>
      </c>
      <c r="IQ1" t="e">
        <f>AND(Linux_Emb_Syllabus!B35,"AAAAAH7b//o=")</f>
        <v>#VALUE!</v>
      </c>
      <c r="IR1" t="e">
        <f>AND(Linux_Emb_Syllabus!C35,"AAAAAH7b//s=")</f>
        <v>#VALUE!</v>
      </c>
      <c r="IS1" t="e">
        <f>AND(Linux_Emb_Syllabus!D35,"AAAAAH7b//w=")</f>
        <v>#VALUE!</v>
      </c>
      <c r="IT1" t="e">
        <f>AND(Linux_Emb_Syllabus!E35,"AAAAAH7b//0=")</f>
        <v>#VALUE!</v>
      </c>
      <c r="IU1" t="e">
        <f>AND(Linux_Emb_Syllabus!F35,"AAAAAH7b//4=")</f>
        <v>#VALUE!</v>
      </c>
      <c r="IV1" t="e">
        <f>AND(Linux_Emb_Syllabus!G35,"AAAAAH7b//8=")</f>
        <v>#VALUE!</v>
      </c>
    </row>
    <row r="2" spans="1:256">
      <c r="A2">
        <f>IF(Linux_Emb_Syllabus!36:36,"AAAAAH/vfwA=",0)</f>
        <v>0</v>
      </c>
      <c r="B2" t="e">
        <f>AND(Linux_Emb_Syllabus!A36,"AAAAAH/vfwE=")</f>
        <v>#VALUE!</v>
      </c>
      <c r="C2" t="e">
        <f>AND(Linux_Emb_Syllabus!B36,"AAAAAH/vfwI=")</f>
        <v>#VALUE!</v>
      </c>
      <c r="D2" t="e">
        <f>AND(Linux_Emb_Syllabus!C36,"AAAAAH/vfwM=")</f>
        <v>#VALUE!</v>
      </c>
      <c r="E2" t="e">
        <f>AND(Linux_Emb_Syllabus!D36,"AAAAAH/vfwQ=")</f>
        <v>#VALUE!</v>
      </c>
      <c r="F2" t="e">
        <f>AND(Linux_Emb_Syllabus!E36,"AAAAAH/vfwU=")</f>
        <v>#VALUE!</v>
      </c>
      <c r="G2" t="e">
        <f>AND(Linux_Emb_Syllabus!F36,"AAAAAH/vfwY=")</f>
        <v>#VALUE!</v>
      </c>
      <c r="H2" t="e">
        <f>AND(Linux_Emb_Syllabus!G36,"AAAAAH/vfwc=")</f>
        <v>#VALUE!</v>
      </c>
      <c r="I2">
        <f>IF(Linux_Emb_Syllabus!37:37,"AAAAAH/vfwg=",0)</f>
        <v>0</v>
      </c>
      <c r="J2" t="e">
        <f>AND(Linux_Emb_Syllabus!A37,"AAAAAH/vfwk=")</f>
        <v>#VALUE!</v>
      </c>
      <c r="K2" t="e">
        <f>AND(Linux_Emb_Syllabus!B37,"AAAAAH/vfwo=")</f>
        <v>#VALUE!</v>
      </c>
      <c r="L2" t="e">
        <f>AND(Linux_Emb_Syllabus!C37,"AAAAAH/vfws=")</f>
        <v>#VALUE!</v>
      </c>
      <c r="M2" t="e">
        <f>AND(Linux_Emb_Syllabus!D37,"AAAAAH/vfww=")</f>
        <v>#VALUE!</v>
      </c>
      <c r="N2" t="e">
        <f>AND(Linux_Emb_Syllabus!E37,"AAAAAH/vfw0=")</f>
        <v>#VALUE!</v>
      </c>
      <c r="O2" t="e">
        <f>AND(Linux_Emb_Syllabus!F37,"AAAAAH/vfw4=")</f>
        <v>#VALUE!</v>
      </c>
      <c r="P2" t="e">
        <f>AND(Linux_Emb_Syllabus!G37,"AAAAAH/vfw8=")</f>
        <v>#VALUE!</v>
      </c>
      <c r="Q2" t="e">
        <f>IF(Linux_Emb_Syllabus!#REF!,"AAAAAH/vfxA=",0)</f>
        <v>#REF!</v>
      </c>
      <c r="R2" t="e">
        <f>IF(Linux_Emb_Syllabus!A:A,"AAAAAH/vfxE=",0)</f>
        <v>#VALUE!</v>
      </c>
      <c r="S2">
        <f>IF(Linux_Emb_Syllabus!B:B,"AAAAAH/vfxI=",0)</f>
        <v>0</v>
      </c>
      <c r="T2">
        <f>IF(Linux_Emb_Syllabus!C:C,"AAAAAH/vfxM=",0)</f>
        <v>0</v>
      </c>
      <c r="U2">
        <f>IF(Linux_Emb_Syllabus!D:D,"AAAAAH/vfxQ=",0)</f>
        <v>0</v>
      </c>
      <c r="V2">
        <f>IF(Linux_Emb_Syllabus!E:E,"AAAAAH/vfxU=",0)</f>
        <v>0</v>
      </c>
      <c r="W2">
        <f>IF(Linux_Emb_Syllabus!F:F,"AAAAAH/vfxY=",0)</f>
        <v>0</v>
      </c>
      <c r="X2">
        <f>IF(Linux_Emb_Syllabus!G:G,"AAAAAH/vfxc=",0)</f>
        <v>0</v>
      </c>
      <c r="Y2">
        <f>IF(Linux_Emb_Schedule_Offline!1:1,"AAAAAH/vfxg=",0)</f>
        <v>0</v>
      </c>
      <c r="Z2" t="e">
        <f>AND(Linux_Emb_Schedule_Offline!A1,"AAAAAH/vfxk=")</f>
        <v>#VALUE!</v>
      </c>
      <c r="AA2" t="e">
        <f>AND(Linux_Emb_Schedule_Offline!C1,"AAAAAH/vfxo=")</f>
        <v>#VALUE!</v>
      </c>
      <c r="AB2" t="e">
        <f>AND(Linux_Emb_Schedule_Offline!E1,"AAAAAH/vfxs=")</f>
        <v>#VALUE!</v>
      </c>
      <c r="AC2" t="e">
        <f>AND(Linux_Emb_Schedule_Offline!G1,"AAAAAH/vfxw=")</f>
        <v>#VALUE!</v>
      </c>
      <c r="AD2" t="e">
        <f>AND(Linux_Emb_Schedule_Offline!H1,"AAAAAH/vfx0=")</f>
        <v>#VALUE!</v>
      </c>
      <c r="AE2" t="e">
        <f>AND(Linux_Emb_Schedule_Offline!J1,"AAAAAH/vfx4=")</f>
        <v>#VALUE!</v>
      </c>
      <c r="AF2" t="e">
        <f>IF(Linux_Emb_Schedule_Offline!#REF!,"AAAAAH/vfx8=",0)</f>
        <v>#REF!</v>
      </c>
      <c r="AG2" t="e">
        <f>AND(Linux_Emb_Schedule_Offline!#REF!,"AAAAAH/vfyA=")</f>
        <v>#REF!</v>
      </c>
      <c r="AH2" t="e">
        <f>AND(Linux_Emb_Schedule_Offline!#REF!,"AAAAAH/vfyE=")</f>
        <v>#REF!</v>
      </c>
      <c r="AI2" t="e">
        <f>AND(Linux_Emb_Schedule_Offline!#REF!,"AAAAAH/vfyI=")</f>
        <v>#REF!</v>
      </c>
      <c r="AJ2" t="e">
        <f>AND(Linux_Emb_Schedule_Offline!#REF!,"AAAAAH/vfyM=")</f>
        <v>#REF!</v>
      </c>
      <c r="AK2" t="e">
        <f>AND(Linux_Emb_Schedule_Offline!#REF!,"AAAAAH/vfyQ=")</f>
        <v>#REF!</v>
      </c>
      <c r="AL2" t="e">
        <f>AND(Linux_Emb_Schedule_Offline!#REF!,"AAAAAH/vfyU=")</f>
        <v>#REF!</v>
      </c>
      <c r="AM2">
        <f>IF(Linux_Emb_Schedule_Offline!2:2,"AAAAAH/vfyY=",0)</f>
        <v>0</v>
      </c>
      <c r="AN2" t="e">
        <f>AND(Linux_Emb_Schedule_Offline!A2,"AAAAAH/vfyc=")</f>
        <v>#VALUE!</v>
      </c>
      <c r="AO2" t="e">
        <f>AND(Linux_Emb_Schedule_Offline!C2,"AAAAAH/vfyg=")</f>
        <v>#VALUE!</v>
      </c>
      <c r="AP2" t="e">
        <f>AND(Linux_Emb_Schedule_Offline!E2,"AAAAAH/vfyk=")</f>
        <v>#VALUE!</v>
      </c>
      <c r="AQ2" t="e">
        <f>AND(Linux_Emb_Schedule_Offline!G2,"AAAAAH/vfyo=")</f>
        <v>#VALUE!</v>
      </c>
      <c r="AR2" t="e">
        <f>AND(Linux_Emb_Schedule_Offline!H2,"AAAAAH/vfys=")</f>
        <v>#VALUE!</v>
      </c>
      <c r="AS2" t="e">
        <f>AND(Linux_Emb_Schedule_Offline!J2,"AAAAAH/vfyw=")</f>
        <v>#VALUE!</v>
      </c>
      <c r="AT2" t="e">
        <f>IF(_xlfn.SINGLE(Linux_Emb_Schedule_Offline!#REF!),"AAAAAH/vfy0=",0)</f>
        <v>#REF!</v>
      </c>
      <c r="AU2" t="e">
        <f>AND(Linux_Emb_Schedule_Offline!#REF!,"AAAAAH/vfy4=")</f>
        <v>#REF!</v>
      </c>
      <c r="AV2" t="e">
        <f>AND(Linux_Emb_Schedule_Offline!#REF!,"AAAAAH/vfy8=")</f>
        <v>#REF!</v>
      </c>
      <c r="AW2" t="e">
        <f>AND(Linux_Emb_Schedule_Offline!#REF!,"AAAAAH/vfzA=")</f>
        <v>#REF!</v>
      </c>
      <c r="AX2" t="e">
        <f>AND(Linux_Emb_Schedule_Offline!#REF!,"AAAAAH/vfzE=")</f>
        <v>#REF!</v>
      </c>
      <c r="AY2" t="e">
        <f>AND(Linux_Emb_Schedule_Offline!#REF!,"AAAAAH/vfzI=")</f>
        <v>#REF!</v>
      </c>
      <c r="AZ2" t="e">
        <f>AND(Linux_Emb_Schedule_Offline!#REF!,"AAAAAH/vfzM=")</f>
        <v>#REF!</v>
      </c>
      <c r="BA2" t="e">
        <f>IF(Linux_Emb_Schedule_Offline!#REF!,"AAAAAH/vfzQ=",0)</f>
        <v>#REF!</v>
      </c>
      <c r="BB2" t="e">
        <f>AND(Linux_Emb_Schedule_Offline!#REF!,"AAAAAH/vfzU=")</f>
        <v>#REF!</v>
      </c>
      <c r="BC2" t="e">
        <f>AND(Linux_Emb_Schedule_Offline!#REF!,"AAAAAH/vfzY=")</f>
        <v>#REF!</v>
      </c>
      <c r="BD2" t="e">
        <f>AND(Linux_Emb_Schedule_Offline!#REF!,"AAAAAH/vfzc=")</f>
        <v>#REF!</v>
      </c>
      <c r="BE2" t="e">
        <f>AND(Linux_Emb_Schedule_Offline!#REF!,"AAAAAH/vfzg=")</f>
        <v>#REF!</v>
      </c>
      <c r="BF2" t="e">
        <f>AND(Linux_Emb_Schedule_Offline!#REF!,"AAAAAH/vfzk=")</f>
        <v>#REF!</v>
      </c>
      <c r="BG2" t="e">
        <f>AND(Linux_Emb_Schedule_Offline!#REF!,"AAAAAH/vfzo=")</f>
        <v>#REF!</v>
      </c>
      <c r="BH2" t="e">
        <f>IF(Linux_Emb_Schedule_Offline!#REF!,"AAAAAH/vfzs=",0)</f>
        <v>#REF!</v>
      </c>
      <c r="BI2" t="e">
        <f>AND(Linux_Emb_Schedule_Offline!#REF!,"AAAAAH/vfzw=")</f>
        <v>#REF!</v>
      </c>
      <c r="BJ2" t="e">
        <f>AND(Linux_Emb_Schedule_Offline!#REF!,"AAAAAH/vfz0=")</f>
        <v>#REF!</v>
      </c>
      <c r="BK2" t="e">
        <f>AND(Linux_Emb_Schedule_Offline!#REF!,"AAAAAH/vfz4=")</f>
        <v>#REF!</v>
      </c>
      <c r="BL2" t="e">
        <f>AND(Linux_Emb_Schedule_Offline!#REF!,"AAAAAH/vfz8=")</f>
        <v>#REF!</v>
      </c>
      <c r="BM2" t="e">
        <f>AND(Linux_Emb_Schedule_Offline!#REF!,"AAAAAH/vf0A=")</f>
        <v>#REF!</v>
      </c>
      <c r="BN2" t="e">
        <f>AND(Linux_Emb_Schedule_Offline!#REF!,"AAAAAH/vf0E=")</f>
        <v>#REF!</v>
      </c>
      <c r="BO2" t="e">
        <f>IF(Linux_Emb_Schedule_Offline!#REF!,"AAAAAH/vf0I=",0)</f>
        <v>#REF!</v>
      </c>
      <c r="BP2" t="e">
        <f>AND(Linux_Emb_Schedule_Offline!#REF!,"AAAAAH/vf0M=")</f>
        <v>#REF!</v>
      </c>
      <c r="BQ2" t="e">
        <f>AND(Linux_Emb_Schedule_Offline!#REF!,"AAAAAH/vf0Q=")</f>
        <v>#REF!</v>
      </c>
      <c r="BR2" t="e">
        <f>AND(Linux_Emb_Schedule_Offline!#REF!,"AAAAAH/vf0U=")</f>
        <v>#REF!</v>
      </c>
      <c r="BS2" t="e">
        <f>AND(Linux_Emb_Schedule_Offline!#REF!,"AAAAAH/vf0Y=")</f>
        <v>#REF!</v>
      </c>
      <c r="BT2" t="e">
        <f>AND(Linux_Emb_Schedule_Offline!#REF!,"AAAAAH/vf0c=")</f>
        <v>#REF!</v>
      </c>
      <c r="BU2" t="e">
        <f>AND(Linux_Emb_Schedule_Offline!#REF!,"AAAAAH/vf0g=")</f>
        <v>#REF!</v>
      </c>
      <c r="BV2" t="e">
        <f>IF(Linux_Emb_Schedule_Offline!#REF!,"AAAAAH/vf0k=",0)</f>
        <v>#REF!</v>
      </c>
      <c r="BW2" t="e">
        <f>AND(Linux_Emb_Schedule_Offline!#REF!,"AAAAAH/vf0o=")</f>
        <v>#REF!</v>
      </c>
      <c r="BX2" t="e">
        <f>AND(Linux_Emb_Schedule_Offline!#REF!,"AAAAAH/vf0s=")</f>
        <v>#REF!</v>
      </c>
      <c r="BY2" t="e">
        <f>AND(Linux_Emb_Schedule_Offline!#REF!,"AAAAAH/vf0w=")</f>
        <v>#REF!</v>
      </c>
      <c r="BZ2" t="e">
        <f>AND(Linux_Emb_Schedule_Offline!#REF!,"AAAAAH/vf00=")</f>
        <v>#REF!</v>
      </c>
      <c r="CA2" t="e">
        <f>AND(Linux_Emb_Schedule_Offline!#REF!,"AAAAAH/vf04=")</f>
        <v>#REF!</v>
      </c>
      <c r="CB2" t="e">
        <f>AND(Linux_Emb_Schedule_Offline!#REF!,"AAAAAH/vf08=")</f>
        <v>#REF!</v>
      </c>
      <c r="CC2" t="e">
        <f>IF(Linux_Emb_Schedule_Offline!#REF!,"AAAAAH/vf1A=",0)</f>
        <v>#REF!</v>
      </c>
      <c r="CD2" t="e">
        <f>AND(Linux_Emb_Schedule_Offline!#REF!,"AAAAAH/vf1E=")</f>
        <v>#REF!</v>
      </c>
      <c r="CE2" t="e">
        <f>AND(Linux_Emb_Schedule_Offline!#REF!,"AAAAAH/vf1I=")</f>
        <v>#REF!</v>
      </c>
      <c r="CF2" t="e">
        <f>AND(Linux_Emb_Schedule_Offline!#REF!,"AAAAAH/vf1M=")</f>
        <v>#REF!</v>
      </c>
      <c r="CG2" t="e">
        <f>AND(Linux_Emb_Schedule_Offline!#REF!,"AAAAAH/vf1Q=")</f>
        <v>#REF!</v>
      </c>
      <c r="CH2" t="e">
        <f>AND(Linux_Emb_Schedule_Offline!#REF!,"AAAAAH/vf1U=")</f>
        <v>#REF!</v>
      </c>
      <c r="CI2" t="e">
        <f>AND(Linux_Emb_Schedule_Offline!#REF!,"AAAAAH/vf1Y=")</f>
        <v>#REF!</v>
      </c>
      <c r="CJ2" t="e">
        <f>IF(Linux_Emb_Schedule_Offline!#REF!,"AAAAAH/vf1c=",0)</f>
        <v>#REF!</v>
      </c>
      <c r="CK2" t="e">
        <f>AND(Linux_Emb_Schedule_Offline!#REF!,"AAAAAH/vf1g=")</f>
        <v>#REF!</v>
      </c>
      <c r="CL2" t="e">
        <f>AND(Linux_Emb_Schedule_Offline!#REF!,"AAAAAH/vf1k=")</f>
        <v>#REF!</v>
      </c>
      <c r="CM2" t="e">
        <f>AND(Linux_Emb_Schedule_Offline!#REF!,"AAAAAH/vf1o=")</f>
        <v>#REF!</v>
      </c>
      <c r="CN2" t="e">
        <f>AND(Linux_Emb_Schedule_Offline!#REF!,"AAAAAH/vf1s=")</f>
        <v>#REF!</v>
      </c>
      <c r="CO2" t="e">
        <f>AND(Linux_Emb_Schedule_Offline!#REF!,"AAAAAH/vf1w=")</f>
        <v>#REF!</v>
      </c>
      <c r="CP2" t="e">
        <f>AND(Linux_Emb_Schedule_Offline!#REF!,"AAAAAH/vf10=")</f>
        <v>#REF!</v>
      </c>
      <c r="CQ2" t="e">
        <f>IF(Linux_Emb_Schedule_Offline!#REF!,"AAAAAH/vf14=",0)</f>
        <v>#REF!</v>
      </c>
      <c r="CR2" t="e">
        <f>AND(Linux_Emb_Schedule_Offline!#REF!,"AAAAAH/vf18=")</f>
        <v>#REF!</v>
      </c>
      <c r="CS2" t="e">
        <f>AND(Linux_Emb_Schedule_Offline!#REF!,"AAAAAH/vf2A=")</f>
        <v>#REF!</v>
      </c>
      <c r="CT2" t="e">
        <f>AND(Linux_Emb_Schedule_Offline!#REF!,"AAAAAH/vf2E=")</f>
        <v>#REF!</v>
      </c>
      <c r="CU2" t="e">
        <f>AND(Linux_Emb_Schedule_Offline!#REF!,"AAAAAH/vf2I=")</f>
        <v>#REF!</v>
      </c>
      <c r="CV2" t="e">
        <f>AND(Linux_Emb_Schedule_Offline!#REF!,"AAAAAH/vf2M=")</f>
        <v>#REF!</v>
      </c>
      <c r="CW2" t="e">
        <f>AND(Linux_Emb_Schedule_Offline!#REF!,"AAAAAH/vf2Q=")</f>
        <v>#REF!</v>
      </c>
      <c r="CX2" t="e">
        <f>IF(Linux_Emb_Schedule_Offline!#REF!,"AAAAAH/vf2U=",0)</f>
        <v>#REF!</v>
      </c>
      <c r="CY2" t="e">
        <f>AND(Linux_Emb_Schedule_Offline!#REF!,"AAAAAH/vf2Y=")</f>
        <v>#REF!</v>
      </c>
      <c r="CZ2" t="e">
        <f>AND(Linux_Emb_Schedule_Offline!#REF!,"AAAAAH/vf2c=")</f>
        <v>#REF!</v>
      </c>
      <c r="DA2" t="e">
        <f>AND(Linux_Emb_Schedule_Offline!#REF!,"AAAAAH/vf2g=")</f>
        <v>#REF!</v>
      </c>
      <c r="DB2" t="e">
        <f>AND(Linux_Emb_Schedule_Offline!#REF!,"AAAAAH/vf2k=")</f>
        <v>#REF!</v>
      </c>
      <c r="DC2" t="e">
        <f>AND(Linux_Emb_Schedule_Offline!#REF!,"AAAAAH/vf2o=")</f>
        <v>#REF!</v>
      </c>
      <c r="DD2" t="e">
        <f>AND(Linux_Emb_Schedule_Offline!#REF!,"AAAAAH/vf2s=")</f>
        <v>#REF!</v>
      </c>
      <c r="DE2" t="e">
        <f>IF(Linux_Emb_Schedule_Offline!#REF!,"AAAAAH/vf2w=",0)</f>
        <v>#REF!</v>
      </c>
      <c r="DF2" t="e">
        <f>AND(Linux_Emb_Schedule_Offline!#REF!,"AAAAAH/vf20=")</f>
        <v>#REF!</v>
      </c>
      <c r="DG2" t="e">
        <f>AND(Linux_Emb_Schedule_Offline!#REF!,"AAAAAH/vf24=")</f>
        <v>#REF!</v>
      </c>
      <c r="DH2" t="e">
        <f>AND(Linux_Emb_Schedule_Offline!#REF!,"AAAAAH/vf28=")</f>
        <v>#REF!</v>
      </c>
      <c r="DI2" t="e">
        <f>AND(Linux_Emb_Schedule_Offline!#REF!,"AAAAAH/vf3A=")</f>
        <v>#REF!</v>
      </c>
      <c r="DJ2" t="e">
        <f>AND(Linux_Emb_Schedule_Offline!#REF!,"AAAAAH/vf3E=")</f>
        <v>#REF!</v>
      </c>
      <c r="DK2" t="e">
        <f>AND(Linux_Emb_Schedule_Offline!#REF!,"AAAAAH/vf3I=")</f>
        <v>#REF!</v>
      </c>
      <c r="DL2" t="e">
        <f>IF(Linux_Emb_Schedule_Offline!#REF!,"AAAAAH/vf3M=",0)</f>
        <v>#REF!</v>
      </c>
      <c r="DM2" t="e">
        <f>AND(Linux_Emb_Schedule_Offline!#REF!,"AAAAAH/vf3Q=")</f>
        <v>#REF!</v>
      </c>
      <c r="DN2" t="e">
        <f>AND(Linux_Emb_Schedule_Offline!#REF!,"AAAAAH/vf3U=")</f>
        <v>#REF!</v>
      </c>
      <c r="DO2" t="e">
        <f>AND(Linux_Emb_Schedule_Offline!#REF!,"AAAAAH/vf3Y=")</f>
        <v>#REF!</v>
      </c>
      <c r="DP2" t="e">
        <f>AND(Linux_Emb_Schedule_Offline!#REF!,"AAAAAH/vf3c=")</f>
        <v>#REF!</v>
      </c>
      <c r="DQ2" t="e">
        <f>AND(Linux_Emb_Schedule_Offline!#REF!,"AAAAAH/vf3g=")</f>
        <v>#REF!</v>
      </c>
      <c r="DR2" t="e">
        <f>AND(Linux_Emb_Schedule_Offline!#REF!,"AAAAAH/vf3k=")</f>
        <v>#REF!</v>
      </c>
      <c r="DS2" t="e">
        <f>IF(Linux_Emb_Schedule_Offline!#REF!,"AAAAAH/vf3o=",0)</f>
        <v>#REF!</v>
      </c>
      <c r="DT2" t="e">
        <f>AND(Linux_Emb_Schedule_Offline!#REF!,"AAAAAH/vf3s=")</f>
        <v>#REF!</v>
      </c>
      <c r="DU2" t="e">
        <f>AND(Linux_Emb_Schedule_Offline!#REF!,"AAAAAH/vf3w=")</f>
        <v>#REF!</v>
      </c>
      <c r="DV2" t="e">
        <f>AND(Linux_Emb_Schedule_Offline!#REF!,"AAAAAH/vf30=")</f>
        <v>#REF!</v>
      </c>
      <c r="DW2" t="e">
        <f>AND(Linux_Emb_Schedule_Offline!#REF!,"AAAAAH/vf34=")</f>
        <v>#REF!</v>
      </c>
      <c r="DX2" t="e">
        <f>AND(Linux_Emb_Schedule_Offline!#REF!,"AAAAAH/vf38=")</f>
        <v>#REF!</v>
      </c>
      <c r="DY2" t="e">
        <f>AND(Linux_Emb_Schedule_Offline!#REF!,"AAAAAH/vf4A=")</f>
        <v>#REF!</v>
      </c>
      <c r="DZ2">
        <f>IF(Linux_Emb_Schedule_Offline!5:5,"AAAAAH/vf4E=",0)</f>
        <v>0</v>
      </c>
      <c r="EA2" t="e">
        <f>AND(Linux_Emb_Schedule_Offline!B5,"AAAAAH/vf4I=")</f>
        <v>#VALUE!</v>
      </c>
      <c r="EB2" t="e">
        <f>AND(Linux_Emb_Schedule_Offline!C5,"AAAAAH/vf4M=")</f>
        <v>#VALUE!</v>
      </c>
      <c r="EC2" t="e">
        <f>AND(Linux_Emb_Schedule_Offline!E5,"AAAAAH/vf4Q=")</f>
        <v>#VALUE!</v>
      </c>
      <c r="ED2" t="e">
        <f>AND(Linux_Emb_Schedule_Offline!G5,"AAAAAH/vf4U=")</f>
        <v>#VALUE!</v>
      </c>
      <c r="EE2" t="b">
        <f>AND(Linux_Emb_Schedule_Offline!H5,"AAAAAH/vf4Y=")</f>
        <v>1</v>
      </c>
      <c r="EF2" t="e">
        <f>AND(Linux_Emb_Schedule_Offline!J5,"AAAAAH/vf4c=")</f>
        <v>#VALUE!</v>
      </c>
      <c r="EG2" t="e">
        <f>IF(Linux_Emb_Schedule_Offline!#REF!,"AAAAAH/vf4g=",0)</f>
        <v>#REF!</v>
      </c>
      <c r="EH2" t="e">
        <f>AND(Linux_Emb_Schedule_Offline!#REF!,"AAAAAH/vf4k=")</f>
        <v>#REF!</v>
      </c>
      <c r="EI2" t="e">
        <f>AND(Linux_Emb_Schedule_Offline!#REF!,"AAAAAH/vf4o=")</f>
        <v>#REF!</v>
      </c>
      <c r="EJ2" t="e">
        <f>AND(Linux_Emb_Schedule_Offline!#REF!,"AAAAAH/vf4s=")</f>
        <v>#REF!</v>
      </c>
      <c r="EK2" t="e">
        <f>AND(Linux_Emb_Schedule_Offline!#REF!,"AAAAAH/vf4w=")</f>
        <v>#REF!</v>
      </c>
      <c r="EL2" t="e">
        <f>AND(Linux_Emb_Schedule_Offline!#REF!,"AAAAAH/vf40=")</f>
        <v>#REF!</v>
      </c>
      <c r="EM2" t="e">
        <f>AND(Linux_Emb_Schedule_Offline!#REF!,"AAAAAH/vf44=")</f>
        <v>#REF!</v>
      </c>
      <c r="EN2" t="e">
        <f>IF(Linux_Emb_Schedule_Offline!#REF!,"AAAAAH/vf48=",0)</f>
        <v>#REF!</v>
      </c>
      <c r="EO2" t="e">
        <f>AND(Linux_Emb_Schedule_Offline!#REF!,"AAAAAH/vf5A=")</f>
        <v>#REF!</v>
      </c>
      <c r="EP2" t="e">
        <f>AND(Linux_Emb_Schedule_Offline!#REF!,"AAAAAH/vf5E=")</f>
        <v>#REF!</v>
      </c>
      <c r="EQ2" t="e">
        <f>AND(Linux_Emb_Schedule_Offline!#REF!,"AAAAAH/vf5I=")</f>
        <v>#REF!</v>
      </c>
      <c r="ER2" t="e">
        <f>AND(Linux_Emb_Schedule_Offline!#REF!,"AAAAAH/vf5M=")</f>
        <v>#REF!</v>
      </c>
      <c r="ES2" t="e">
        <f>AND(Linux_Emb_Schedule_Offline!#REF!,"AAAAAH/vf5Q=")</f>
        <v>#REF!</v>
      </c>
      <c r="ET2" t="e">
        <f>AND(Linux_Emb_Schedule_Offline!#REF!,"AAAAAH/vf5U=")</f>
        <v>#REF!</v>
      </c>
      <c r="EU2" t="e">
        <f>IF(Linux_Emb_Schedule_Offline!#REF!,"AAAAAH/vf5Y=",0)</f>
        <v>#REF!</v>
      </c>
      <c r="EV2" t="e">
        <f>AND(Linux_Emb_Schedule_Offline!#REF!,"AAAAAH/vf5c=")</f>
        <v>#REF!</v>
      </c>
      <c r="EW2" t="e">
        <f>AND(Linux_Emb_Schedule_Offline!#REF!,"AAAAAH/vf5g=")</f>
        <v>#REF!</v>
      </c>
      <c r="EX2" t="e">
        <f>AND(Linux_Emb_Schedule_Offline!#REF!,"AAAAAH/vf5k=")</f>
        <v>#REF!</v>
      </c>
      <c r="EY2" t="e">
        <f>AND(Linux_Emb_Schedule_Offline!#REF!,"AAAAAH/vf5o=")</f>
        <v>#REF!</v>
      </c>
      <c r="EZ2" t="e">
        <f>AND(Linux_Emb_Schedule_Offline!#REF!,"AAAAAH/vf5s=")</f>
        <v>#REF!</v>
      </c>
      <c r="FA2" t="e">
        <f>AND(Linux_Emb_Schedule_Offline!#REF!,"AAAAAH/vf5w=")</f>
        <v>#REF!</v>
      </c>
      <c r="FB2" t="e">
        <f>IF(Linux_Emb_Schedule_Offline!#REF!,"AAAAAH/vf50=",0)</f>
        <v>#REF!</v>
      </c>
      <c r="FC2" t="e">
        <f>AND(Linux_Emb_Schedule_Offline!#REF!,"AAAAAH/vf54=")</f>
        <v>#REF!</v>
      </c>
      <c r="FD2" t="e">
        <f>AND(Linux_Emb_Schedule_Offline!#REF!,"AAAAAH/vf58=")</f>
        <v>#REF!</v>
      </c>
      <c r="FE2" t="e">
        <f>AND(Linux_Emb_Schedule_Offline!#REF!,"AAAAAH/vf6A=")</f>
        <v>#REF!</v>
      </c>
      <c r="FF2" t="e">
        <f>AND(Linux_Emb_Schedule_Offline!#REF!,"AAAAAH/vf6E=")</f>
        <v>#REF!</v>
      </c>
      <c r="FG2" t="e">
        <f>AND(Linux_Emb_Schedule_Offline!#REF!,"AAAAAH/vf6I=")</f>
        <v>#REF!</v>
      </c>
      <c r="FH2" t="e">
        <f>AND(Linux_Emb_Schedule_Offline!#REF!,"AAAAAH/vf6M=")</f>
        <v>#REF!</v>
      </c>
      <c r="FI2" t="e">
        <f>IF(Linux_Emb_Schedule_Offline!#REF!,"AAAAAH/vf6Q=",0)</f>
        <v>#REF!</v>
      </c>
      <c r="FJ2" t="e">
        <f>AND(Linux_Emb_Schedule_Offline!#REF!,"AAAAAH/vf6U=")</f>
        <v>#REF!</v>
      </c>
      <c r="FK2" t="e">
        <f>AND(Linux_Emb_Schedule_Offline!#REF!,"AAAAAH/vf6Y=")</f>
        <v>#REF!</v>
      </c>
      <c r="FL2" t="e">
        <f>AND(Linux_Emb_Schedule_Offline!#REF!,"AAAAAH/vf6c=")</f>
        <v>#REF!</v>
      </c>
      <c r="FM2" t="e">
        <f>AND(Linux_Emb_Schedule_Offline!#REF!,"AAAAAH/vf6g=")</f>
        <v>#REF!</v>
      </c>
      <c r="FN2" t="e">
        <f>AND(Linux_Emb_Schedule_Offline!#REF!,"AAAAAH/vf6k=")</f>
        <v>#REF!</v>
      </c>
      <c r="FO2" t="e">
        <f>AND(Linux_Emb_Schedule_Offline!#REF!,"AAAAAH/vf6o=")</f>
        <v>#REF!</v>
      </c>
      <c r="FP2" t="e">
        <f>IF(Linux_Emb_Schedule_Offline!#REF!,"AAAAAH/vf6s=",0)</f>
        <v>#REF!</v>
      </c>
      <c r="FQ2" t="e">
        <f>AND(Linux_Emb_Schedule_Offline!#REF!,"AAAAAH/vf6w=")</f>
        <v>#REF!</v>
      </c>
      <c r="FR2" t="e">
        <f>AND(Linux_Emb_Schedule_Offline!#REF!,"AAAAAH/vf60=")</f>
        <v>#REF!</v>
      </c>
      <c r="FS2" t="e">
        <f>AND(Linux_Emb_Schedule_Offline!#REF!,"AAAAAH/vf64=")</f>
        <v>#REF!</v>
      </c>
      <c r="FT2" t="e">
        <f>AND(Linux_Emb_Schedule_Offline!#REF!,"AAAAAH/vf68=")</f>
        <v>#REF!</v>
      </c>
      <c r="FU2" t="e">
        <f>AND(Linux_Emb_Schedule_Offline!#REF!,"AAAAAH/vf7A=")</f>
        <v>#REF!</v>
      </c>
      <c r="FV2" t="e">
        <f>AND(Linux_Emb_Schedule_Offline!#REF!,"AAAAAH/vf7E=")</f>
        <v>#REF!</v>
      </c>
      <c r="FW2" t="e">
        <f>IF(Linux_Emb_Schedule_Offline!#REF!,"AAAAAH/vf7I=",0)</f>
        <v>#REF!</v>
      </c>
      <c r="FX2" t="e">
        <f>AND(Linux_Emb_Schedule_Offline!#REF!,"AAAAAH/vf7M=")</f>
        <v>#REF!</v>
      </c>
      <c r="FY2" t="e">
        <f>AND(Linux_Emb_Schedule_Offline!#REF!,"AAAAAH/vf7Q=")</f>
        <v>#REF!</v>
      </c>
      <c r="FZ2" t="e">
        <f>AND(Linux_Emb_Schedule_Offline!#REF!,"AAAAAH/vf7U=")</f>
        <v>#REF!</v>
      </c>
      <c r="GA2" t="e">
        <f>AND(Linux_Emb_Schedule_Offline!#REF!,"AAAAAH/vf7Y=")</f>
        <v>#REF!</v>
      </c>
      <c r="GB2" t="e">
        <f>AND(Linux_Emb_Schedule_Offline!#REF!,"AAAAAH/vf7c=")</f>
        <v>#REF!</v>
      </c>
      <c r="GC2" t="e">
        <f>AND(Linux_Emb_Schedule_Offline!#REF!,"AAAAAH/vf7g=")</f>
        <v>#REF!</v>
      </c>
      <c r="GD2">
        <f>IF(Linux_Emb_Schedule_Offline!8:8,"AAAAAH/vf7k=",0)</f>
        <v>0</v>
      </c>
      <c r="GE2" t="e">
        <f>AND(Linux_Emb_Schedule_Offline!B8,"AAAAAH/vf7o=")</f>
        <v>#VALUE!</v>
      </c>
      <c r="GF2" t="e">
        <f>AND(Linux_Emb_Schedule_Offline!C8,"AAAAAH/vf7s=")</f>
        <v>#VALUE!</v>
      </c>
      <c r="GG2" t="e">
        <f>AND(Linux_Emb_Schedule_Offline!E8,"AAAAAH/vf7w=")</f>
        <v>#VALUE!</v>
      </c>
      <c r="GH2" t="e">
        <f>AND(Linux_Emb_Schedule_Offline!G8,"AAAAAH/vf70=")</f>
        <v>#VALUE!</v>
      </c>
      <c r="GI2" t="b">
        <f>AND(Linux_Emb_Schedule_Offline!H8,"AAAAAH/vf74=")</f>
        <v>1</v>
      </c>
      <c r="GJ2" t="e">
        <f>AND(Linux_Emb_Schedule_Offline!J8,"AAAAAH/vf78=")</f>
        <v>#VALUE!</v>
      </c>
      <c r="GK2" t="e">
        <f>IF(Linux_Emb_Schedule_Offline!#REF!,"AAAAAH/vf8A=",0)</f>
        <v>#REF!</v>
      </c>
      <c r="GL2" t="e">
        <f>AND(Linux_Emb_Schedule_Offline!#REF!,"AAAAAH/vf8E=")</f>
        <v>#REF!</v>
      </c>
      <c r="GM2" t="e">
        <f>AND(Linux_Emb_Schedule_Offline!#REF!,"AAAAAH/vf8I=")</f>
        <v>#REF!</v>
      </c>
      <c r="GN2" t="e">
        <f>AND(Linux_Emb_Schedule_Offline!#REF!,"AAAAAH/vf8M=")</f>
        <v>#REF!</v>
      </c>
      <c r="GO2" t="e">
        <f>AND(Linux_Emb_Schedule_Offline!#REF!,"AAAAAH/vf8Q=")</f>
        <v>#REF!</v>
      </c>
      <c r="GP2" t="e">
        <f>AND(Linux_Emb_Schedule_Offline!#REF!,"AAAAAH/vf8U=")</f>
        <v>#REF!</v>
      </c>
      <c r="GQ2" t="e">
        <f>AND(Linux_Emb_Schedule_Offline!#REF!,"AAAAAH/vf8Y=")</f>
        <v>#REF!</v>
      </c>
      <c r="GR2" t="e">
        <f>IF(Linux_Emb_Schedule_Offline!#REF!,"AAAAAH/vf8c=",0)</f>
        <v>#REF!</v>
      </c>
      <c r="GS2" t="e">
        <f>AND(Linux_Emb_Schedule_Offline!#REF!,"AAAAAH/vf8g=")</f>
        <v>#REF!</v>
      </c>
      <c r="GT2" t="e">
        <f>AND(Linux_Emb_Schedule_Offline!#REF!,"AAAAAH/vf8k=")</f>
        <v>#REF!</v>
      </c>
      <c r="GU2" t="e">
        <f>AND(Linux_Emb_Schedule_Offline!#REF!,"AAAAAH/vf8o=")</f>
        <v>#REF!</v>
      </c>
      <c r="GV2" t="e">
        <f>AND(Linux_Emb_Schedule_Offline!#REF!,"AAAAAH/vf8s=")</f>
        <v>#REF!</v>
      </c>
      <c r="GW2" t="e">
        <f>AND(Linux_Emb_Schedule_Offline!#REF!,"AAAAAH/vf8w=")</f>
        <v>#REF!</v>
      </c>
      <c r="GX2" t="e">
        <f>AND(Linux_Emb_Schedule_Offline!#REF!,"AAAAAH/vf80=")</f>
        <v>#REF!</v>
      </c>
      <c r="GY2" t="e">
        <f>IF(Linux_Emb_Schedule_Offline!#REF!,"AAAAAH/vf84=",0)</f>
        <v>#REF!</v>
      </c>
      <c r="GZ2" t="e">
        <f>AND(Linux_Emb_Schedule_Offline!#REF!,"AAAAAH/vf88=")</f>
        <v>#REF!</v>
      </c>
      <c r="HA2" t="e">
        <f>AND(Linux_Emb_Schedule_Offline!#REF!,"AAAAAH/vf9A=")</f>
        <v>#REF!</v>
      </c>
      <c r="HB2" t="e">
        <f>AND(Linux_Emb_Schedule_Offline!#REF!,"AAAAAH/vf9E=")</f>
        <v>#REF!</v>
      </c>
      <c r="HC2" t="e">
        <f>AND(Linux_Emb_Schedule_Offline!#REF!,"AAAAAH/vf9I=")</f>
        <v>#REF!</v>
      </c>
      <c r="HD2" t="e">
        <f>AND(Linux_Emb_Schedule_Offline!#REF!,"AAAAAH/vf9M=")</f>
        <v>#REF!</v>
      </c>
      <c r="HE2" t="e">
        <f>AND(Linux_Emb_Schedule_Offline!#REF!,"AAAAAH/vf9Q=")</f>
        <v>#REF!</v>
      </c>
      <c r="HF2" t="e">
        <f>IF(Linux_Emb_Schedule_Offline!#REF!,"AAAAAH/vf9U=",0)</f>
        <v>#REF!</v>
      </c>
      <c r="HG2" t="e">
        <f>AND(Linux_Emb_Schedule_Offline!#REF!,"AAAAAH/vf9Y=")</f>
        <v>#REF!</v>
      </c>
      <c r="HH2" t="e">
        <f>AND(Linux_Emb_Schedule_Offline!#REF!,"AAAAAH/vf9c=")</f>
        <v>#REF!</v>
      </c>
      <c r="HI2" t="e">
        <f>AND(Linux_Emb_Schedule_Offline!#REF!,"AAAAAH/vf9g=")</f>
        <v>#REF!</v>
      </c>
      <c r="HJ2" t="e">
        <f>AND(Linux_Emb_Schedule_Offline!#REF!,"AAAAAH/vf9k=")</f>
        <v>#REF!</v>
      </c>
      <c r="HK2" t="e">
        <f>AND(Linux_Emb_Schedule_Offline!#REF!,"AAAAAH/vf9o=")</f>
        <v>#REF!</v>
      </c>
      <c r="HL2" t="e">
        <f>AND(Linux_Emb_Schedule_Offline!#REF!,"AAAAAH/vf9s=")</f>
        <v>#REF!</v>
      </c>
      <c r="HM2" t="e">
        <f>IF(Linux_Emb_Schedule_Offline!#REF!,"AAAAAH/vf9w=",0)</f>
        <v>#REF!</v>
      </c>
      <c r="HN2" t="e">
        <f>AND(Linux_Emb_Schedule_Offline!#REF!,"AAAAAH/vf90=")</f>
        <v>#REF!</v>
      </c>
      <c r="HO2" t="e">
        <f>AND(Linux_Emb_Schedule_Offline!#REF!,"AAAAAH/vf94=")</f>
        <v>#REF!</v>
      </c>
      <c r="HP2" t="e">
        <f>AND(Linux_Emb_Schedule_Offline!#REF!,"AAAAAH/vf98=")</f>
        <v>#REF!</v>
      </c>
      <c r="HQ2" t="e">
        <f>AND(Linux_Emb_Schedule_Offline!#REF!,"AAAAAH/vf+A=")</f>
        <v>#REF!</v>
      </c>
      <c r="HR2" t="e">
        <f>AND(Linux_Emb_Schedule_Offline!#REF!,"AAAAAH/vf+E=")</f>
        <v>#REF!</v>
      </c>
      <c r="HS2" t="e">
        <f>AND(Linux_Emb_Schedule_Offline!#REF!,"AAAAAH/vf+I=")</f>
        <v>#REF!</v>
      </c>
      <c r="HT2" t="e">
        <f>IF(Linux_Emb_Schedule_Offline!#REF!,"AAAAAH/vf+M=",0)</f>
        <v>#REF!</v>
      </c>
      <c r="HU2" t="e">
        <f>AND(Linux_Emb_Schedule_Offline!#REF!,"AAAAAH/vf+Q=")</f>
        <v>#REF!</v>
      </c>
      <c r="HV2" t="e">
        <f>AND(Linux_Emb_Schedule_Offline!#REF!,"AAAAAH/vf+U=")</f>
        <v>#REF!</v>
      </c>
      <c r="HW2" t="e">
        <f>AND(Linux_Emb_Schedule_Offline!#REF!,"AAAAAH/vf+Y=")</f>
        <v>#REF!</v>
      </c>
      <c r="HX2" t="e">
        <f>AND(Linux_Emb_Schedule_Offline!#REF!,"AAAAAH/vf+c=")</f>
        <v>#REF!</v>
      </c>
      <c r="HY2" t="e">
        <f>AND(Linux_Emb_Schedule_Offline!#REF!,"AAAAAH/vf+g=")</f>
        <v>#REF!</v>
      </c>
      <c r="HZ2" t="e">
        <f>AND(Linux_Emb_Schedule_Offline!#REF!,"AAAAAH/vf+k=")</f>
        <v>#REF!</v>
      </c>
      <c r="IA2">
        <f>IF(Linux_Emb_Schedule_Offline!13:13,"AAAAAH/vf+o=",0)</f>
        <v>0</v>
      </c>
      <c r="IB2" t="e">
        <f>AND(Linux_Emb_Schedule_Offline!B13,"AAAAAH/vf+s=")</f>
        <v>#VALUE!</v>
      </c>
      <c r="IC2" t="e">
        <f>AND(Linux_Emb_Schedule_Offline!C13,"AAAAAH/vf+w=")</f>
        <v>#VALUE!</v>
      </c>
      <c r="ID2" t="e">
        <f>AND(Linux_Emb_Schedule_Offline!E13,"AAAAAH/vf+0=")</f>
        <v>#VALUE!</v>
      </c>
      <c r="IE2" t="e">
        <f>AND(Linux_Emb_Schedule_Offline!G13,"AAAAAH/vf+4=")</f>
        <v>#VALUE!</v>
      </c>
      <c r="IF2" t="b">
        <f>AND(Linux_Emb_Schedule_Offline!H13,"AAAAAH/vf+8=")</f>
        <v>1</v>
      </c>
      <c r="IG2" t="e">
        <f>AND(Linux_Emb_Schedule_Offline!J13,"AAAAAH/vf/A=")</f>
        <v>#VALUE!</v>
      </c>
      <c r="IH2" t="e">
        <f>IF(Linux_Emb_Schedule_Offline!#REF!,"AAAAAH/vf/E=",0)</f>
        <v>#REF!</v>
      </c>
      <c r="II2" t="e">
        <f>AND(Linux_Emb_Schedule_Offline!#REF!,"AAAAAH/vf/I=")</f>
        <v>#REF!</v>
      </c>
      <c r="IJ2" t="e">
        <f>AND(Linux_Emb_Schedule_Offline!#REF!,"AAAAAH/vf/M=")</f>
        <v>#REF!</v>
      </c>
      <c r="IK2" t="e">
        <f>AND(Linux_Emb_Schedule_Offline!#REF!,"AAAAAH/vf/Q=")</f>
        <v>#REF!</v>
      </c>
      <c r="IL2" t="e">
        <f>AND(Linux_Emb_Schedule_Offline!#REF!,"AAAAAH/vf/U=")</f>
        <v>#REF!</v>
      </c>
      <c r="IM2" t="e">
        <f>AND(Linux_Emb_Schedule_Offline!#REF!,"AAAAAH/vf/Y=")</f>
        <v>#REF!</v>
      </c>
      <c r="IN2" t="e">
        <f>AND(Linux_Emb_Schedule_Offline!#REF!,"AAAAAH/vf/c=")</f>
        <v>#REF!</v>
      </c>
      <c r="IO2" t="e">
        <f>IF(Linux_Emb_Schedule_Offline!#REF!,"AAAAAH/vf/g=",0)</f>
        <v>#REF!</v>
      </c>
      <c r="IP2" t="e">
        <f>AND(Linux_Emb_Schedule_Offline!#REF!,"AAAAAH/vf/k=")</f>
        <v>#REF!</v>
      </c>
      <c r="IQ2" t="e">
        <f>AND(Linux_Emb_Schedule_Offline!#REF!,"AAAAAH/vf/o=")</f>
        <v>#REF!</v>
      </c>
      <c r="IR2" t="e">
        <f>AND(Linux_Emb_Schedule_Offline!#REF!,"AAAAAH/vf/s=")</f>
        <v>#REF!</v>
      </c>
      <c r="IS2" t="e">
        <f>AND(Linux_Emb_Schedule_Offline!#REF!,"AAAAAH/vf/w=")</f>
        <v>#REF!</v>
      </c>
      <c r="IT2" t="e">
        <f>AND(Linux_Emb_Schedule_Offline!#REF!,"AAAAAH/vf/0=")</f>
        <v>#REF!</v>
      </c>
      <c r="IU2" t="e">
        <f>AND(Linux_Emb_Schedule_Offline!#REF!,"AAAAAH/vf/4=")</f>
        <v>#REF!</v>
      </c>
      <c r="IV2" t="e">
        <f>IF(Linux_Emb_Schedule_Offline!#REF!,"AAAAAH/vf/8=",0)</f>
        <v>#REF!</v>
      </c>
    </row>
    <row r="3" spans="1:256">
      <c r="A3" t="e">
        <f>AND(Linux_Emb_Schedule_Offline!#REF!,"AAAAABPz/wA=")</f>
        <v>#REF!</v>
      </c>
      <c r="B3" t="e">
        <f>AND(Linux_Emb_Schedule_Offline!#REF!,"AAAAABPz/wE=")</f>
        <v>#REF!</v>
      </c>
      <c r="C3" t="e">
        <f>AND(Linux_Emb_Schedule_Offline!#REF!,"AAAAABPz/wI=")</f>
        <v>#REF!</v>
      </c>
      <c r="D3" t="e">
        <f>AND(Linux_Emb_Schedule_Offline!#REF!,"AAAAABPz/wM=")</f>
        <v>#REF!</v>
      </c>
      <c r="E3" t="e">
        <f>AND(Linux_Emb_Schedule_Offline!#REF!,"AAAAABPz/wQ=")</f>
        <v>#REF!</v>
      </c>
      <c r="F3" t="e">
        <f>AND(Linux_Emb_Schedule_Offline!#REF!,"AAAAABPz/wU=")</f>
        <v>#REF!</v>
      </c>
      <c r="G3" t="e">
        <f>IF(Linux_Emb_Schedule_Offline!#REF!,"AAAAABPz/wY=",0)</f>
        <v>#REF!</v>
      </c>
      <c r="H3" t="e">
        <f>AND(Linux_Emb_Schedule_Offline!#REF!,"AAAAABPz/wc=")</f>
        <v>#REF!</v>
      </c>
      <c r="I3" t="e">
        <f>AND(Linux_Emb_Schedule_Offline!#REF!,"AAAAABPz/wg=")</f>
        <v>#REF!</v>
      </c>
      <c r="J3" t="e">
        <f>AND(Linux_Emb_Schedule_Offline!#REF!,"AAAAABPz/wk=")</f>
        <v>#REF!</v>
      </c>
      <c r="K3" t="e">
        <f>AND(Linux_Emb_Schedule_Offline!#REF!,"AAAAABPz/wo=")</f>
        <v>#REF!</v>
      </c>
      <c r="L3" t="e">
        <f>AND(Linux_Emb_Schedule_Offline!#REF!,"AAAAABPz/ws=")</f>
        <v>#REF!</v>
      </c>
      <c r="M3" t="e">
        <f>AND(Linux_Emb_Schedule_Offline!#REF!,"AAAAABPz/ww=")</f>
        <v>#REF!</v>
      </c>
      <c r="N3" t="e">
        <f>IF(Linux_Emb_Schedule_Offline!#REF!,"AAAAABPz/w0=",0)</f>
        <v>#REF!</v>
      </c>
      <c r="O3" t="e">
        <f>AND(Linux_Emb_Schedule_Offline!#REF!,"AAAAABPz/w4=")</f>
        <v>#REF!</v>
      </c>
      <c r="P3" t="e">
        <f>AND(Linux_Emb_Schedule_Offline!#REF!,"AAAAABPz/w8=")</f>
        <v>#REF!</v>
      </c>
      <c r="Q3" t="e">
        <f>AND(Linux_Emb_Schedule_Offline!#REF!,"AAAAABPz/xA=")</f>
        <v>#REF!</v>
      </c>
      <c r="R3" t="e">
        <f>AND(Linux_Emb_Schedule_Offline!#REF!,"AAAAABPz/xE=")</f>
        <v>#REF!</v>
      </c>
      <c r="S3" t="e">
        <f>AND(Linux_Emb_Schedule_Offline!#REF!,"AAAAABPz/xI=")</f>
        <v>#REF!</v>
      </c>
      <c r="T3" t="e">
        <f>AND(Linux_Emb_Schedule_Offline!#REF!,"AAAAABPz/xM=")</f>
        <v>#REF!</v>
      </c>
      <c r="U3" t="e">
        <f>IF(Linux_Emb_Schedule_Offline!#REF!,"AAAAABPz/xQ=",0)</f>
        <v>#REF!</v>
      </c>
      <c r="V3" t="e">
        <f>AND(Linux_Emb_Schedule_Offline!#REF!,"AAAAABPz/xU=")</f>
        <v>#REF!</v>
      </c>
      <c r="W3" t="e">
        <f>AND(Linux_Emb_Schedule_Offline!#REF!,"AAAAABPz/xY=")</f>
        <v>#REF!</v>
      </c>
      <c r="X3" t="e">
        <f>AND(Linux_Emb_Schedule_Offline!#REF!,"AAAAABPz/xc=")</f>
        <v>#REF!</v>
      </c>
      <c r="Y3" t="e">
        <f>AND(Linux_Emb_Schedule_Offline!#REF!,"AAAAABPz/xg=")</f>
        <v>#REF!</v>
      </c>
      <c r="Z3" t="e">
        <f>AND(Linux_Emb_Schedule_Offline!#REF!,"AAAAABPz/xk=")</f>
        <v>#REF!</v>
      </c>
      <c r="AA3" t="e">
        <f>AND(Linux_Emb_Schedule_Offline!#REF!,"AAAAABPz/xo=")</f>
        <v>#REF!</v>
      </c>
      <c r="AB3" t="e">
        <f>IF(Linux_Emb_Schedule_Offline!#REF!,"AAAAABPz/xs=",0)</f>
        <v>#REF!</v>
      </c>
      <c r="AC3" t="e">
        <f>AND(Linux_Emb_Schedule_Offline!#REF!,"AAAAABPz/xw=")</f>
        <v>#REF!</v>
      </c>
      <c r="AD3" t="e">
        <f>AND(Linux_Emb_Schedule_Offline!#REF!,"AAAAABPz/x0=")</f>
        <v>#REF!</v>
      </c>
      <c r="AE3" t="e">
        <f>AND(Linux_Emb_Schedule_Offline!#REF!,"AAAAABPz/x4=")</f>
        <v>#REF!</v>
      </c>
      <c r="AF3" t="e">
        <f>AND(Linux_Emb_Schedule_Offline!#REF!,"AAAAABPz/x8=")</f>
        <v>#REF!</v>
      </c>
      <c r="AG3" t="e">
        <f>AND(Linux_Emb_Schedule_Offline!#REF!,"AAAAABPz/yA=")</f>
        <v>#REF!</v>
      </c>
      <c r="AH3" t="e">
        <f>AND(Linux_Emb_Schedule_Offline!#REF!,"AAAAABPz/yE=")</f>
        <v>#REF!</v>
      </c>
      <c r="AI3" t="e">
        <f>IF(Linux_Emb_Schedule_Offline!#REF!,"AAAAABPz/yI=",0)</f>
        <v>#REF!</v>
      </c>
      <c r="AJ3" t="e">
        <f>AND(Linux_Emb_Schedule_Offline!#REF!,"AAAAABPz/yM=")</f>
        <v>#REF!</v>
      </c>
      <c r="AK3" t="e">
        <f>AND(Linux_Emb_Schedule_Offline!#REF!,"AAAAABPz/yQ=")</f>
        <v>#REF!</v>
      </c>
      <c r="AL3" t="e">
        <f>AND(Linux_Emb_Schedule_Offline!#REF!,"AAAAABPz/yU=")</f>
        <v>#REF!</v>
      </c>
      <c r="AM3" t="e">
        <f>AND(Linux_Emb_Schedule_Offline!#REF!,"AAAAABPz/yY=")</f>
        <v>#REF!</v>
      </c>
      <c r="AN3" t="e">
        <f>AND(Linux_Emb_Schedule_Offline!#REF!,"AAAAABPz/yc=")</f>
        <v>#REF!</v>
      </c>
      <c r="AO3" t="e">
        <f>AND(Linux_Emb_Schedule_Offline!#REF!,"AAAAABPz/yg=")</f>
        <v>#REF!</v>
      </c>
      <c r="AP3">
        <f>IF(Linux_Emb_Schedule_Offline!14:14,"AAAAABPz/yk=",0)</f>
        <v>0</v>
      </c>
      <c r="AQ3" t="e">
        <f>AND(Linux_Emb_Schedule_Offline!B14,"AAAAABPz/yo=")</f>
        <v>#VALUE!</v>
      </c>
      <c r="AR3" t="e">
        <f>AND(Linux_Emb_Schedule_Offline!C14,"AAAAABPz/ys=")</f>
        <v>#VALUE!</v>
      </c>
      <c r="AS3" t="e">
        <f>AND(Linux_Emb_Schedule_Offline!E14,"AAAAABPz/yw=")</f>
        <v>#VALUE!</v>
      </c>
      <c r="AT3" t="e">
        <f>AND(Linux_Emb_Schedule_Offline!G14,"AAAAABPz/y0=")</f>
        <v>#VALUE!</v>
      </c>
      <c r="AU3" t="b">
        <f>AND(Linux_Emb_Schedule_Offline!H14,"AAAAABPz/y4=")</f>
        <v>1</v>
      </c>
      <c r="AV3" t="e">
        <f>AND(Linux_Emb_Schedule_Offline!J14,"AAAAABPz/y8=")</f>
        <v>#VALUE!</v>
      </c>
      <c r="AW3" t="e">
        <f>IF(Linux_Emb_Schedule_Offline!#REF!,"AAAAABPz/zA=",0)</f>
        <v>#REF!</v>
      </c>
      <c r="AX3" t="e">
        <f>AND(Linux_Emb_Schedule_Offline!#REF!,"AAAAABPz/zE=")</f>
        <v>#REF!</v>
      </c>
      <c r="AY3" t="e">
        <f>AND(Linux_Emb_Schedule_Offline!#REF!,"AAAAABPz/zI=")</f>
        <v>#REF!</v>
      </c>
      <c r="AZ3" t="e">
        <f>AND(Linux_Emb_Schedule_Offline!#REF!,"AAAAABPz/zM=")</f>
        <v>#REF!</v>
      </c>
      <c r="BA3" t="e">
        <f>AND(Linux_Emb_Schedule_Offline!#REF!,"AAAAABPz/zQ=")</f>
        <v>#REF!</v>
      </c>
      <c r="BB3" t="e">
        <f>AND(Linux_Emb_Schedule_Offline!#REF!,"AAAAABPz/zU=")</f>
        <v>#REF!</v>
      </c>
      <c r="BC3" t="e">
        <f>AND(Linux_Emb_Schedule_Offline!#REF!,"AAAAABPz/zY=")</f>
        <v>#REF!</v>
      </c>
      <c r="BD3" t="e">
        <f>IF(Linux_Emb_Schedule_Offline!#REF!,"AAAAABPz/zc=",0)</f>
        <v>#REF!</v>
      </c>
      <c r="BE3" t="e">
        <f>AND(Linux_Emb_Schedule_Offline!#REF!,"AAAAABPz/zg=")</f>
        <v>#REF!</v>
      </c>
      <c r="BF3" t="e">
        <f>AND(Linux_Emb_Schedule_Offline!#REF!,"AAAAABPz/zk=")</f>
        <v>#REF!</v>
      </c>
      <c r="BG3" t="e">
        <f>AND(Linux_Emb_Schedule_Offline!#REF!,"AAAAABPz/zo=")</f>
        <v>#REF!</v>
      </c>
      <c r="BH3" t="e">
        <f>AND(Linux_Emb_Schedule_Offline!#REF!,"AAAAABPz/zs=")</f>
        <v>#REF!</v>
      </c>
      <c r="BI3" t="e">
        <f>AND(Linux_Emb_Schedule_Offline!#REF!,"AAAAABPz/zw=")</f>
        <v>#REF!</v>
      </c>
      <c r="BJ3" t="e">
        <f>AND(Linux_Emb_Schedule_Offline!#REF!,"AAAAABPz/z0=")</f>
        <v>#REF!</v>
      </c>
      <c r="BK3" t="e">
        <f>IF(Linux_Emb_Schedule_Offline!#REF!,"AAAAABPz/z4=",0)</f>
        <v>#REF!</v>
      </c>
      <c r="BL3" t="e">
        <f>AND(Linux_Emb_Schedule_Offline!#REF!,"AAAAABPz/z8=")</f>
        <v>#REF!</v>
      </c>
      <c r="BM3" t="e">
        <f>AND(Linux_Emb_Schedule_Offline!#REF!,"AAAAABPz/0A=")</f>
        <v>#REF!</v>
      </c>
      <c r="BN3" t="e">
        <f>AND(Linux_Emb_Schedule_Offline!#REF!,"AAAAABPz/0E=")</f>
        <v>#REF!</v>
      </c>
      <c r="BO3" t="e">
        <f>AND(Linux_Emb_Schedule_Offline!#REF!,"AAAAABPz/0I=")</f>
        <v>#REF!</v>
      </c>
      <c r="BP3" t="e">
        <f>AND(Linux_Emb_Schedule_Offline!#REF!,"AAAAABPz/0M=")</f>
        <v>#REF!</v>
      </c>
      <c r="BQ3" t="e">
        <f>AND(Linux_Emb_Schedule_Offline!#REF!,"AAAAABPz/0Q=")</f>
        <v>#REF!</v>
      </c>
      <c r="BR3">
        <f>IF(Linux_Emb_Schedule_Offline!25:25,"AAAAABPz/0U=",0)</f>
        <v>0</v>
      </c>
      <c r="BS3" t="e">
        <f>AND(Linux_Emb_Schedule_Offline!A25,"AAAAABPz/0Y=")</f>
        <v>#VALUE!</v>
      </c>
      <c r="BT3" t="e">
        <f>AND(Linux_Emb_Schedule_Offline!C25,"AAAAABPz/0c=")</f>
        <v>#VALUE!</v>
      </c>
      <c r="BU3" t="e">
        <f>AND(Linux_Emb_Schedule_Offline!E25,"AAAAABPz/0g=")</f>
        <v>#VALUE!</v>
      </c>
      <c r="BV3" t="e">
        <f>AND(Linux_Emb_Schedule_Offline!G25,"AAAAABPz/0k=")</f>
        <v>#VALUE!</v>
      </c>
      <c r="BW3" t="e">
        <f>AND(Linux_Emb_Schedule_Offline!H25,"AAAAABPz/0o=")</f>
        <v>#VALUE!</v>
      </c>
      <c r="BX3" t="e">
        <f>AND(Linux_Emb_Schedule_Offline!J25,"AAAAABPz/0s=")</f>
        <v>#VALUE!</v>
      </c>
      <c r="BY3" t="e">
        <f>IF(Linux_Emb_Schedule_Offline!#REF!,"AAAAABPz/0w=",0)</f>
        <v>#REF!</v>
      </c>
      <c r="BZ3" t="e">
        <f>AND(Linux_Emb_Schedule_Offline!#REF!,"AAAAABPz/00=")</f>
        <v>#REF!</v>
      </c>
      <c r="CA3" t="e">
        <f>AND(Linux_Emb_Schedule_Offline!#REF!,"AAAAABPz/04=")</f>
        <v>#REF!</v>
      </c>
      <c r="CB3" t="e">
        <f>AND(Linux_Emb_Schedule_Offline!#REF!,"AAAAABPz/08=")</f>
        <v>#REF!</v>
      </c>
      <c r="CC3" t="e">
        <f>AND(Linux_Emb_Schedule_Offline!#REF!,"AAAAABPz/1A=")</f>
        <v>#REF!</v>
      </c>
      <c r="CD3" t="e">
        <f>AND(Linux_Emb_Schedule_Offline!#REF!,"AAAAABPz/1E=")</f>
        <v>#REF!</v>
      </c>
      <c r="CE3" t="e">
        <f>AND(Linux_Emb_Schedule_Offline!#REF!,"AAAAABPz/1I=")</f>
        <v>#REF!</v>
      </c>
      <c r="CF3">
        <f>IF(Linux_Emb_Schedule_Offline!26:26,"AAAAABPz/1M=",0)</f>
        <v>0</v>
      </c>
      <c r="CG3" t="e">
        <f>AND(Linux_Emb_Schedule_Offline!A26,"AAAAABPz/1Q=")</f>
        <v>#VALUE!</v>
      </c>
      <c r="CH3" t="e">
        <f>AND(Linux_Emb_Schedule_Offline!C26,"AAAAABPz/1U=")</f>
        <v>#VALUE!</v>
      </c>
      <c r="CI3" t="e">
        <f>AND(Linux_Emb_Schedule_Offline!E26,"AAAAABPz/1Y=")</f>
        <v>#VALUE!</v>
      </c>
      <c r="CJ3" t="e">
        <f>AND(Linux_Emb_Schedule_Offline!G26,"AAAAABPz/1c=")</f>
        <v>#VALUE!</v>
      </c>
      <c r="CK3" t="b">
        <f>AND(Linux_Emb_Schedule_Offline!H26,"AAAAABPz/1g=")</f>
        <v>1</v>
      </c>
      <c r="CL3" t="b">
        <f>AND(Linux_Emb_Schedule_Offline!J26,"AAAAABPz/1k=")</f>
        <v>1</v>
      </c>
      <c r="CM3">
        <f>IF(Linux_Emb_Schedule_Offline!27:27,"AAAAABPz/1o=",0)</f>
        <v>0</v>
      </c>
      <c r="CN3" t="e">
        <f>AND(Linux_Emb_Schedule_Offline!A27,"AAAAABPz/1s=")</f>
        <v>#VALUE!</v>
      </c>
      <c r="CO3" t="e">
        <f>AND(Linux_Emb_Schedule_Offline!C27,"AAAAABPz/1w=")</f>
        <v>#VALUE!</v>
      </c>
      <c r="CP3" t="e">
        <f>AND(Linux_Emb_Schedule_Offline!E27,"AAAAABPz/10=")</f>
        <v>#VALUE!</v>
      </c>
      <c r="CQ3" t="e">
        <f>AND(Linux_Emb_Schedule_Offline!G27,"AAAAABPz/14=")</f>
        <v>#VALUE!</v>
      </c>
      <c r="CR3" t="b">
        <f>AND(Linux_Emb_Schedule_Offline!H27,"AAAAABPz/18=")</f>
        <v>1</v>
      </c>
      <c r="CS3" t="b">
        <f>AND(Linux_Emb_Schedule_Offline!J27,"AAAAABPz/2A=")</f>
        <v>1</v>
      </c>
      <c r="CT3">
        <f>IF(Linux_Emb_Schedule_Offline!28:28,"AAAAABPz/2E=",0)</f>
        <v>0</v>
      </c>
      <c r="CU3" t="e">
        <f>AND(Linux_Emb_Schedule_Offline!A28,"AAAAABPz/2I=")</f>
        <v>#VALUE!</v>
      </c>
      <c r="CV3" t="e">
        <f>AND(Linux_Emb_Schedule_Offline!C28,"AAAAABPz/2M=")</f>
        <v>#VALUE!</v>
      </c>
      <c r="CW3" t="e">
        <f>AND(Linux_Emb_Schedule_Offline!E28,"AAAAABPz/2Q=")</f>
        <v>#VALUE!</v>
      </c>
      <c r="CX3" t="e">
        <f>AND(Linux_Emb_Schedule_Offline!G28,"AAAAABPz/2U=")</f>
        <v>#VALUE!</v>
      </c>
      <c r="CY3" t="b">
        <f>AND(Linux_Emb_Schedule_Offline!H28,"AAAAABPz/2Y=")</f>
        <v>1</v>
      </c>
      <c r="CZ3" t="b">
        <f>AND(Linux_Emb_Schedule_Offline!J28,"AAAAABPz/2c=")</f>
        <v>1</v>
      </c>
      <c r="DA3">
        <f>IF(Linux_Emb_Schedule_Offline!29:29,"AAAAABPz/2g=",0)</f>
        <v>0</v>
      </c>
      <c r="DB3" t="e">
        <f>AND(Linux_Emb_Schedule_Offline!A29,"AAAAABPz/2k=")</f>
        <v>#VALUE!</v>
      </c>
      <c r="DC3" t="e">
        <f>AND(Linux_Emb_Schedule_Offline!C29,"AAAAABPz/2o=")</f>
        <v>#VALUE!</v>
      </c>
      <c r="DD3" t="e">
        <f>AND(Linux_Emb_Schedule_Offline!E29,"AAAAABPz/2s=")</f>
        <v>#VALUE!</v>
      </c>
      <c r="DE3" t="e">
        <f>AND(Linux_Emb_Schedule_Offline!G29,"AAAAABPz/2w=")</f>
        <v>#VALUE!</v>
      </c>
      <c r="DF3" t="b">
        <f>AND(Linux_Emb_Schedule_Offline!H29,"AAAAABPz/20=")</f>
        <v>0</v>
      </c>
      <c r="DG3" t="b">
        <f>AND(Linux_Emb_Schedule_Offline!J29,"AAAAABPz/24=")</f>
        <v>0</v>
      </c>
      <c r="DH3">
        <f>IF(Linux_Emb_Schedule_Offline!30:30,"AAAAABPz/28=",0)</f>
        <v>0</v>
      </c>
      <c r="DI3" t="e">
        <f>AND(Linux_Emb_Schedule_Offline!A30,"AAAAABPz/3A=")</f>
        <v>#VALUE!</v>
      </c>
      <c r="DJ3" t="e">
        <f>AND(Linux_Emb_Schedule_Offline!C30,"AAAAABPz/3E=")</f>
        <v>#VALUE!</v>
      </c>
      <c r="DK3" t="e">
        <f>AND(Linux_Emb_Schedule_Offline!E30,"AAAAABPz/3I=")</f>
        <v>#VALUE!</v>
      </c>
      <c r="DL3" t="e">
        <f>AND(Linux_Emb_Schedule_Offline!G30,"AAAAABPz/3M=")</f>
        <v>#VALUE!</v>
      </c>
      <c r="DM3" t="b">
        <f>AND(Linux_Emb_Schedule_Offline!H30,"AAAAABPz/3Q=")</f>
        <v>1</v>
      </c>
      <c r="DN3" t="b">
        <f>AND(Linux_Emb_Schedule_Offline!J30,"AAAAABPz/3U=")</f>
        <v>1</v>
      </c>
      <c r="DO3">
        <f>IF(Linux_Emb_Schedule_Offline!31:31,"AAAAABPz/3Y=",0)</f>
        <v>0</v>
      </c>
      <c r="DP3" t="e">
        <f>AND(Linux_Emb_Schedule_Offline!A31,"AAAAABPz/3c=")</f>
        <v>#VALUE!</v>
      </c>
      <c r="DQ3" t="e">
        <f>AND(Linux_Emb_Schedule_Offline!C31,"AAAAABPz/3g=")</f>
        <v>#VALUE!</v>
      </c>
      <c r="DR3" t="e">
        <f>AND(Linux_Emb_Schedule_Offline!E31,"AAAAABPz/3k=")</f>
        <v>#VALUE!</v>
      </c>
      <c r="DS3" t="e">
        <f>AND(Linux_Emb_Schedule_Offline!G31,"AAAAABPz/3o=")</f>
        <v>#VALUE!</v>
      </c>
      <c r="DT3" t="b">
        <f>AND(Linux_Emb_Schedule_Offline!H31,"AAAAABPz/3s=")</f>
        <v>1</v>
      </c>
      <c r="DU3" t="e">
        <f>IF(Linux_Emb_Schedule_Offline!#REF!,"AAAAABPz/3w=",0)</f>
        <v>#REF!</v>
      </c>
      <c r="DV3" t="e">
        <f>IF(Linux_Emb_Schedule_Offline!A:A,"AAAAABPz/30=",0)</f>
        <v>#VALUE!</v>
      </c>
      <c r="DW3" t="e">
        <f>IF(Linux_Emb_Schedule_Offline!C:C,"AAAAABPz/34=",0)</f>
        <v>#VALUE!</v>
      </c>
      <c r="DX3" t="e">
        <f>IF(Linux_Emb_Schedule_Offline!E:E,"AAAAABPz/38=",0)</f>
        <v>#VALUE!</v>
      </c>
      <c r="DY3" t="e">
        <f>IF(Linux_Emb_Schedule_Offline!G:G,"AAAAABPz/4A=",0)</f>
        <v>#VALUE!</v>
      </c>
      <c r="DZ3" t="str">
        <f>IF(Linux_Emb_Schedule_Offline!H:H,"AAAAABPz/4E=",0)</f>
        <v>AAAAABPz/4E=</v>
      </c>
      <c r="EA3">
        <f>IF(Linux_Emb_Schedule_Offline!J:J,"AAAAABPz/4I=",0)</f>
        <v>0</v>
      </c>
      <c r="EB3">
        <f>IF('Author and Rec of Changes'!1:1,"AAAAABPz/4M=",0)</f>
        <v>0</v>
      </c>
      <c r="EC3" t="e">
        <f>AND('Author and Rec of Changes'!A1,"AAAAABPz/4Q=")</f>
        <v>#VALUE!</v>
      </c>
      <c r="ED3" t="e">
        <f>AND('Author and Rec of Changes'!B1,"AAAAABPz/4U=")</f>
        <v>#VALUE!</v>
      </c>
      <c r="EE3" t="e">
        <f>AND('Author and Rec of Changes'!C1,"AAAAABPz/4Y=")</f>
        <v>#VALUE!</v>
      </c>
      <c r="EF3" t="e">
        <f>AND('Author and Rec of Changes'!E1,"AAAAABPz/4c=")</f>
        <v>#VALUE!</v>
      </c>
      <c r="EG3" t="e">
        <f>AND('Author and Rec of Changes'!F1,"AAAAABPz/4g=")</f>
        <v>#VALUE!</v>
      </c>
      <c r="EH3" t="e">
        <f>AND('Author and Rec of Changes'!G1,"AAAAABPz/4k=")</f>
        <v>#VALUE!</v>
      </c>
      <c r="EI3" t="e">
        <f>IF('Author and Rec of Changes'!#REF!,"AAAAABPz/4o=",0)</f>
        <v>#REF!</v>
      </c>
      <c r="EJ3" t="e">
        <f>AND('Author and Rec of Changes'!#REF!,"AAAAABPz/4s=")</f>
        <v>#REF!</v>
      </c>
      <c r="EK3" t="e">
        <f>AND('Author and Rec of Changes'!#REF!,"AAAAABPz/4w=")</f>
        <v>#REF!</v>
      </c>
      <c r="EL3" t="e">
        <f>AND('Author and Rec of Changes'!#REF!,"AAAAABPz/40=")</f>
        <v>#REF!</v>
      </c>
      <c r="EM3" t="e">
        <f>AND('Author and Rec of Changes'!#REF!,"AAAAABPz/44=")</f>
        <v>#REF!</v>
      </c>
      <c r="EN3" t="e">
        <f>AND('Author and Rec of Changes'!#REF!,"AAAAABPz/48=")</f>
        <v>#REF!</v>
      </c>
      <c r="EO3" t="e">
        <f>AND('Author and Rec of Changes'!#REF!,"AAAAABPz/5A=")</f>
        <v>#REF!</v>
      </c>
      <c r="EP3">
        <f>IF('Author and Rec of Changes'!2:2,"AAAAABPz/5E=",0)</f>
        <v>0</v>
      </c>
      <c r="EQ3" t="e">
        <f>AND('Author and Rec of Changes'!A2,"AAAAABPz/5I=")</f>
        <v>#VALUE!</v>
      </c>
      <c r="ER3" t="e">
        <f>AND('Author and Rec of Changes'!B2,"AAAAABPz/5M=")</f>
        <v>#VALUE!</v>
      </c>
      <c r="ES3" t="e">
        <f>AND('Author and Rec of Changes'!C2,"AAAAABPz/5Q=")</f>
        <v>#VALUE!</v>
      </c>
      <c r="ET3" t="e">
        <f>AND('Author and Rec of Changes'!E2,"AAAAABPz/5U=")</f>
        <v>#VALUE!</v>
      </c>
      <c r="EU3" t="e">
        <f>AND('Author and Rec of Changes'!F2,"AAAAABPz/5Y=")</f>
        <v>#VALUE!</v>
      </c>
      <c r="EV3" t="e">
        <f>AND('Author and Rec of Changes'!G2,"AAAAABPz/5c=")</f>
        <v>#VALUE!</v>
      </c>
      <c r="EW3">
        <f>IF('Author and Rec of Changes'!3:3,"AAAAABPz/5g=",0)</f>
        <v>0</v>
      </c>
      <c r="EX3" t="e">
        <f>AND('Author and Rec of Changes'!A3,"AAAAABPz/5k=")</f>
        <v>#VALUE!</v>
      </c>
      <c r="EY3" t="e">
        <f>AND('Author and Rec of Changes'!B3,"AAAAABPz/5o=")</f>
        <v>#VALUE!</v>
      </c>
      <c r="EZ3" t="e">
        <f>AND('Author and Rec of Changes'!C3,"AAAAABPz/5s=")</f>
        <v>#VALUE!</v>
      </c>
      <c r="FA3" t="e">
        <f>AND('Author and Rec of Changes'!E3,"AAAAABPz/5w=")</f>
        <v>#VALUE!</v>
      </c>
      <c r="FB3" t="e">
        <f>AND('Author and Rec of Changes'!F3,"AAAAABPz/50=")</f>
        <v>#VALUE!</v>
      </c>
      <c r="FC3" t="e">
        <f>AND('Author and Rec of Changes'!G3,"AAAAABPz/54=")</f>
        <v>#VALUE!</v>
      </c>
      <c r="FD3" t="e">
        <f>IF('Author and Rec of Changes'!#REF!,"AAAAABPz/58=",0)</f>
        <v>#REF!</v>
      </c>
      <c r="FE3" t="e">
        <f>AND('Author and Rec of Changes'!#REF!,"AAAAABPz/6A=")</f>
        <v>#REF!</v>
      </c>
      <c r="FF3" t="e">
        <f>AND('Author and Rec of Changes'!#REF!,"AAAAABPz/6E=")</f>
        <v>#REF!</v>
      </c>
      <c r="FG3" t="e">
        <f>AND('Author and Rec of Changes'!#REF!,"AAAAABPz/6I=")</f>
        <v>#REF!</v>
      </c>
      <c r="FH3" t="e">
        <f>AND('Author and Rec of Changes'!#REF!,"AAAAABPz/6M=")</f>
        <v>#REF!</v>
      </c>
      <c r="FI3" t="e">
        <f>AND('Author and Rec of Changes'!#REF!,"AAAAABPz/6Q=")</f>
        <v>#REF!</v>
      </c>
      <c r="FJ3" t="e">
        <f>AND('Author and Rec of Changes'!#REF!,"AAAAABPz/6U=")</f>
        <v>#REF!</v>
      </c>
      <c r="FK3" t="e">
        <f>IF('Author and Rec of Changes'!#REF!,"AAAAABPz/6Y=",0)</f>
        <v>#REF!</v>
      </c>
      <c r="FL3" t="e">
        <f>AND('Author and Rec of Changes'!#REF!,"AAAAABPz/6c=")</f>
        <v>#REF!</v>
      </c>
      <c r="FM3" t="e">
        <f>AND('Author and Rec of Changes'!#REF!,"AAAAABPz/6g=")</f>
        <v>#REF!</v>
      </c>
      <c r="FN3" t="e">
        <f>AND('Author and Rec of Changes'!#REF!,"AAAAABPz/6k=")</f>
        <v>#REF!</v>
      </c>
      <c r="FO3" t="e">
        <f>AND('Author and Rec of Changes'!#REF!,"AAAAABPz/6o=")</f>
        <v>#REF!</v>
      </c>
      <c r="FP3" t="e">
        <f>AND('Author and Rec of Changes'!#REF!,"AAAAABPz/6s=")</f>
        <v>#REF!</v>
      </c>
      <c r="FQ3" t="e">
        <f>AND('Author and Rec of Changes'!#REF!,"AAAAABPz/6w=")</f>
        <v>#REF!</v>
      </c>
      <c r="FR3">
        <f>IF('Author and Rec of Changes'!4:4,"AAAAABPz/60=",0)</f>
        <v>0</v>
      </c>
      <c r="FS3" t="e">
        <f>AND('Author and Rec of Changes'!A4,"AAAAABPz/64=")</f>
        <v>#VALUE!</v>
      </c>
      <c r="FT3" t="e">
        <f>AND('Author and Rec of Changes'!B4,"AAAAABPz/68=")</f>
        <v>#VALUE!</v>
      </c>
      <c r="FU3" t="e">
        <f>AND('Author and Rec of Changes'!C4,"AAAAABPz/7A=")</f>
        <v>#VALUE!</v>
      </c>
      <c r="FV3" t="e">
        <f>AND('Author and Rec of Changes'!E4,"AAAAABPz/7E=")</f>
        <v>#VALUE!</v>
      </c>
      <c r="FW3" t="e">
        <f>AND('Author and Rec of Changes'!F4,"AAAAABPz/7I=")</f>
        <v>#VALUE!</v>
      </c>
      <c r="FX3" t="e">
        <f>AND('Author and Rec of Changes'!G4,"AAAAABPz/7M=")</f>
        <v>#VALUE!</v>
      </c>
      <c r="FY3" t="e">
        <f>IF('Author and Rec of Changes'!#REF!,"AAAAABPz/7Q=",0)</f>
        <v>#REF!</v>
      </c>
      <c r="FZ3" t="e">
        <f>AND('Author and Rec of Changes'!#REF!,"AAAAABPz/7U=")</f>
        <v>#REF!</v>
      </c>
      <c r="GA3" t="e">
        <f>AND('Author and Rec of Changes'!#REF!,"AAAAABPz/7Y=")</f>
        <v>#REF!</v>
      </c>
      <c r="GB3" t="e">
        <f>AND('Author and Rec of Changes'!#REF!,"AAAAABPz/7c=")</f>
        <v>#REF!</v>
      </c>
      <c r="GC3" t="e">
        <f>AND('Author and Rec of Changes'!#REF!,"AAAAABPz/7g=")</f>
        <v>#REF!</v>
      </c>
      <c r="GD3" t="e">
        <f>AND('Author and Rec of Changes'!#REF!,"AAAAABPz/7k=")</f>
        <v>#REF!</v>
      </c>
      <c r="GE3" t="e">
        <f>AND('Author and Rec of Changes'!#REF!,"AAAAABPz/7o=")</f>
        <v>#REF!</v>
      </c>
      <c r="GF3" t="e">
        <f>IF('Author and Rec of Changes'!#REF!,"AAAAABPz/7s=",0)</f>
        <v>#REF!</v>
      </c>
      <c r="GG3" t="e">
        <f>AND('Author and Rec of Changes'!#REF!,"AAAAABPz/7w=")</f>
        <v>#REF!</v>
      </c>
      <c r="GH3" t="e">
        <f>AND('Author and Rec of Changes'!#REF!,"AAAAABPz/70=")</f>
        <v>#REF!</v>
      </c>
      <c r="GI3" t="e">
        <f>AND('Author and Rec of Changes'!#REF!,"AAAAABPz/74=")</f>
        <v>#REF!</v>
      </c>
      <c r="GJ3" t="e">
        <f>AND('Author and Rec of Changes'!#REF!,"AAAAABPz/78=")</f>
        <v>#REF!</v>
      </c>
      <c r="GK3" t="e">
        <f>AND('Author and Rec of Changes'!#REF!,"AAAAABPz/8A=")</f>
        <v>#REF!</v>
      </c>
      <c r="GL3" t="e">
        <f>AND('Author and Rec of Changes'!#REF!,"AAAAABPz/8E=")</f>
        <v>#REF!</v>
      </c>
      <c r="GM3" t="e">
        <f>IF('Author and Rec of Changes'!#REF!,"AAAAABPz/8I=",0)</f>
        <v>#REF!</v>
      </c>
      <c r="GN3" t="e">
        <f>AND('Author and Rec of Changes'!#REF!,"AAAAABPz/8M=")</f>
        <v>#REF!</v>
      </c>
      <c r="GO3" t="e">
        <f>AND('Author and Rec of Changes'!#REF!,"AAAAABPz/8Q=")</f>
        <v>#REF!</v>
      </c>
      <c r="GP3" t="e">
        <f>AND('Author and Rec of Changes'!#REF!,"AAAAABPz/8U=")</f>
        <v>#REF!</v>
      </c>
      <c r="GQ3" t="e">
        <f>AND('Author and Rec of Changes'!#REF!,"AAAAABPz/8Y=")</f>
        <v>#REF!</v>
      </c>
      <c r="GR3" t="e">
        <f>AND('Author and Rec of Changes'!#REF!,"AAAAABPz/8c=")</f>
        <v>#REF!</v>
      </c>
      <c r="GS3" t="e">
        <f>AND('Author and Rec of Changes'!#REF!,"AAAAABPz/8g=")</f>
        <v>#REF!</v>
      </c>
      <c r="GT3" t="e">
        <f>IF('Author and Rec of Changes'!#REF!,"AAAAABPz/8k=",0)</f>
        <v>#REF!</v>
      </c>
      <c r="GU3" t="e">
        <f>AND('Author and Rec of Changes'!#REF!,"AAAAABPz/8o=")</f>
        <v>#REF!</v>
      </c>
      <c r="GV3" t="e">
        <f>AND('Author and Rec of Changes'!#REF!,"AAAAABPz/8s=")</f>
        <v>#REF!</v>
      </c>
      <c r="GW3" t="e">
        <f>AND('Author and Rec of Changes'!#REF!,"AAAAABPz/8w=")</f>
        <v>#REF!</v>
      </c>
      <c r="GX3" t="e">
        <f>AND('Author and Rec of Changes'!#REF!,"AAAAABPz/80=")</f>
        <v>#REF!</v>
      </c>
      <c r="GY3" t="e">
        <f>AND('Author and Rec of Changes'!#REF!,"AAAAABPz/84=")</f>
        <v>#REF!</v>
      </c>
      <c r="GZ3" t="e">
        <f>AND('Author and Rec of Changes'!#REF!,"AAAAABPz/88=")</f>
        <v>#REF!</v>
      </c>
      <c r="HA3" t="e">
        <f>IF('Author and Rec of Changes'!#REF!,"AAAAABPz/9A=",0)</f>
        <v>#REF!</v>
      </c>
      <c r="HB3" t="e">
        <f>AND('Author and Rec of Changes'!#REF!,"AAAAABPz/9E=")</f>
        <v>#REF!</v>
      </c>
      <c r="HC3" t="e">
        <f>AND('Author and Rec of Changes'!#REF!,"AAAAABPz/9I=")</f>
        <v>#REF!</v>
      </c>
      <c r="HD3" t="e">
        <f>AND('Author and Rec of Changes'!#REF!,"AAAAABPz/9M=")</f>
        <v>#REF!</v>
      </c>
      <c r="HE3" t="e">
        <f>AND('Author and Rec of Changes'!#REF!,"AAAAABPz/9Q=")</f>
        <v>#REF!</v>
      </c>
      <c r="HF3" t="e">
        <f>AND('Author and Rec of Changes'!#REF!,"AAAAABPz/9U=")</f>
        <v>#REF!</v>
      </c>
      <c r="HG3" t="e">
        <f>AND('Author and Rec of Changes'!#REF!,"AAAAABPz/9Y=")</f>
        <v>#REF!</v>
      </c>
      <c r="HH3" t="e">
        <f>IF('Author and Rec of Changes'!#REF!,"AAAAABPz/9c=",0)</f>
        <v>#REF!</v>
      </c>
      <c r="HI3" t="e">
        <f>AND('Author and Rec of Changes'!#REF!,"AAAAABPz/9g=")</f>
        <v>#REF!</v>
      </c>
      <c r="HJ3" t="e">
        <f>AND('Author and Rec of Changes'!#REF!,"AAAAABPz/9k=")</f>
        <v>#REF!</v>
      </c>
      <c r="HK3" t="e">
        <f>AND('Author and Rec of Changes'!#REF!,"AAAAABPz/9o=")</f>
        <v>#REF!</v>
      </c>
      <c r="HL3" t="e">
        <f>AND('Author and Rec of Changes'!#REF!,"AAAAABPz/9s=")</f>
        <v>#REF!</v>
      </c>
      <c r="HM3" t="e">
        <f>AND('Author and Rec of Changes'!#REF!,"AAAAABPz/9w=")</f>
        <v>#REF!</v>
      </c>
      <c r="HN3" t="e">
        <f>AND('Author and Rec of Changes'!#REF!,"AAAAABPz/90=")</f>
        <v>#REF!</v>
      </c>
      <c r="HO3" t="e">
        <f>IF('Author and Rec of Changes'!#REF!,"AAAAABPz/94=",0)</f>
        <v>#REF!</v>
      </c>
      <c r="HP3" t="e">
        <f>AND('Author and Rec of Changes'!#REF!,"AAAAABPz/98=")</f>
        <v>#REF!</v>
      </c>
      <c r="HQ3" t="e">
        <f>AND('Author and Rec of Changes'!#REF!,"AAAAABPz/+A=")</f>
        <v>#REF!</v>
      </c>
      <c r="HR3" t="e">
        <f>AND('Author and Rec of Changes'!#REF!,"AAAAABPz/+E=")</f>
        <v>#REF!</v>
      </c>
      <c r="HS3" t="e">
        <f>AND('Author and Rec of Changes'!#REF!,"AAAAABPz/+I=")</f>
        <v>#REF!</v>
      </c>
      <c r="HT3" t="e">
        <f>AND('Author and Rec of Changes'!#REF!,"AAAAABPz/+M=")</f>
        <v>#REF!</v>
      </c>
      <c r="HU3" t="e">
        <f>AND('Author and Rec of Changes'!#REF!,"AAAAABPz/+Q=")</f>
        <v>#REF!</v>
      </c>
      <c r="HV3">
        <f>IF('Author and Rec of Changes'!5:5,"AAAAABPz/+U=",0)</f>
        <v>0</v>
      </c>
      <c r="HW3" t="e">
        <f>AND('Author and Rec of Changes'!A5,"AAAAABPz/+Y=")</f>
        <v>#VALUE!</v>
      </c>
      <c r="HX3" t="e">
        <f>AND('Author and Rec of Changes'!B5,"AAAAABPz/+c=")</f>
        <v>#VALUE!</v>
      </c>
      <c r="HY3" t="e">
        <f>AND('Author and Rec of Changes'!C5,"AAAAABPz/+g=")</f>
        <v>#VALUE!</v>
      </c>
      <c r="HZ3" t="e">
        <f>AND('Author and Rec of Changes'!E5,"AAAAABPz/+k=")</f>
        <v>#VALUE!</v>
      </c>
      <c r="IA3" t="e">
        <f>AND('Author and Rec of Changes'!F5,"AAAAABPz/+o=")</f>
        <v>#VALUE!</v>
      </c>
      <c r="IB3" t="e">
        <f>AND('Author and Rec of Changes'!G5,"AAAAABPz/+s=")</f>
        <v>#VALUE!</v>
      </c>
      <c r="IC3" t="e">
        <f>IF('Author and Rec of Changes'!#REF!,"AAAAABPz/+w=",0)</f>
        <v>#REF!</v>
      </c>
      <c r="ID3" t="e">
        <f>AND('Author and Rec of Changes'!#REF!,"AAAAABPz/+0=")</f>
        <v>#REF!</v>
      </c>
      <c r="IE3" t="e">
        <f>AND('Author and Rec of Changes'!#REF!,"AAAAABPz/+4=")</f>
        <v>#REF!</v>
      </c>
      <c r="IF3" t="e">
        <f>AND('Author and Rec of Changes'!#REF!,"AAAAABPz/+8=")</f>
        <v>#REF!</v>
      </c>
      <c r="IG3" t="e">
        <f>AND('Author and Rec of Changes'!#REF!,"AAAAABPz//A=")</f>
        <v>#REF!</v>
      </c>
      <c r="IH3" t="e">
        <f>AND('Author and Rec of Changes'!#REF!,"AAAAABPz//E=")</f>
        <v>#REF!</v>
      </c>
      <c r="II3" t="e">
        <f>AND('Author and Rec of Changes'!#REF!,"AAAAABPz//I=")</f>
        <v>#REF!</v>
      </c>
      <c r="IJ3" t="e">
        <f>IF('Author and Rec of Changes'!#REF!,"AAAAABPz//M=",0)</f>
        <v>#REF!</v>
      </c>
      <c r="IK3" t="e">
        <f>AND('Author and Rec of Changes'!#REF!,"AAAAABPz//Q=")</f>
        <v>#REF!</v>
      </c>
      <c r="IL3" t="e">
        <f>AND('Author and Rec of Changes'!#REF!,"AAAAABPz//U=")</f>
        <v>#REF!</v>
      </c>
      <c r="IM3" t="e">
        <f>AND('Author and Rec of Changes'!#REF!,"AAAAABPz//Y=")</f>
        <v>#REF!</v>
      </c>
      <c r="IN3" t="e">
        <f>AND('Author and Rec of Changes'!#REF!,"AAAAABPz//c=")</f>
        <v>#REF!</v>
      </c>
      <c r="IO3" t="e">
        <f>AND('Author and Rec of Changes'!#REF!,"AAAAABPz//g=")</f>
        <v>#REF!</v>
      </c>
      <c r="IP3" t="e">
        <f>AND('Author and Rec of Changes'!#REF!,"AAAAABPz//k=")</f>
        <v>#REF!</v>
      </c>
      <c r="IQ3">
        <f>IF('Author and Rec of Changes'!6:6,"AAAAABPz//o=",0)</f>
        <v>0</v>
      </c>
      <c r="IR3" t="e">
        <f>AND('Author and Rec of Changes'!A6,"AAAAABPz//s=")</f>
        <v>#VALUE!</v>
      </c>
      <c r="IS3" t="e">
        <f>AND('Author and Rec of Changes'!B6,"AAAAABPz//w=")</f>
        <v>#VALUE!</v>
      </c>
      <c r="IT3" t="e">
        <f>AND('Author and Rec of Changes'!C6,"AAAAABPz//0=")</f>
        <v>#VALUE!</v>
      </c>
      <c r="IU3" t="e">
        <f>AND('Author and Rec of Changes'!E6,"AAAAABPz//4=")</f>
        <v>#VALUE!</v>
      </c>
      <c r="IV3" t="e">
        <f>AND('Author and Rec of Changes'!F6,"AAAAABPz//8=")</f>
        <v>#VALUE!</v>
      </c>
    </row>
    <row r="4" spans="1:256" ht="15">
      <c r="A4" t="e">
        <f>AND('Author and Rec of Changes'!G6,"AAAAAH/rVAA=")</f>
        <v>#VALUE!</v>
      </c>
      <c r="B4">
        <f>IF('Author and Rec of Changes'!7:7,"AAAAAH/rVAE=",0)</f>
        <v>0</v>
      </c>
      <c r="C4" t="e">
        <f>AND('Author and Rec of Changes'!A7,"AAAAAH/rVAI=")</f>
        <v>#VALUE!</v>
      </c>
      <c r="D4" t="e">
        <f>AND('Author and Rec of Changes'!B7,"AAAAAH/rVAM=")</f>
        <v>#VALUE!</v>
      </c>
      <c r="E4" t="e">
        <f>AND('Author and Rec of Changes'!C7,"AAAAAH/rVAQ=")</f>
        <v>#VALUE!</v>
      </c>
      <c r="F4" t="e">
        <f>AND('Author and Rec of Changes'!E7,"AAAAAH/rVAU=")</f>
        <v>#VALUE!</v>
      </c>
      <c r="G4" t="e">
        <f>AND('Author and Rec of Changes'!F7,"AAAAAH/rVAY=")</f>
        <v>#VALUE!</v>
      </c>
      <c r="H4" t="e">
        <f>AND('Author and Rec of Changes'!G7,"AAAAAH/rVAc=")</f>
        <v>#VALUE!</v>
      </c>
      <c r="I4">
        <f>IF('Author and Rec of Changes'!8:8,"AAAAAH/rVAg=",0)</f>
        <v>0</v>
      </c>
      <c r="J4" t="e">
        <f>AND('Author and Rec of Changes'!A8,"AAAAAH/rVAk=")</f>
        <v>#VALUE!</v>
      </c>
      <c r="K4" t="e">
        <f>AND('Author and Rec of Changes'!B8,"AAAAAH/rVAo=")</f>
        <v>#VALUE!</v>
      </c>
      <c r="L4" t="e">
        <f>AND('Author and Rec of Changes'!C8,"AAAAAH/rVAs=")</f>
        <v>#VALUE!</v>
      </c>
      <c r="M4" t="e">
        <f>AND('Author and Rec of Changes'!E8,"AAAAAH/rVAw=")</f>
        <v>#VALUE!</v>
      </c>
      <c r="N4" t="e">
        <f>AND('Author and Rec of Changes'!F8,"AAAAAH/rVA0=")</f>
        <v>#VALUE!</v>
      </c>
      <c r="O4" t="e">
        <f>AND('Author and Rec of Changes'!G8,"AAAAAH/rVA4=")</f>
        <v>#VALUE!</v>
      </c>
      <c r="P4">
        <f>IF('Author and Rec of Changes'!9:9,"AAAAAH/rVA8=",0)</f>
        <v>0</v>
      </c>
      <c r="Q4" t="e">
        <f>AND('Author and Rec of Changes'!A9,"AAAAAH/rVBA=")</f>
        <v>#VALUE!</v>
      </c>
      <c r="R4" t="e">
        <f>AND('Author and Rec of Changes'!B9,"AAAAAH/rVBE=")</f>
        <v>#VALUE!</v>
      </c>
      <c r="S4" t="e">
        <f>AND('Author and Rec of Changes'!C9,"AAAAAH/rVBI=")</f>
        <v>#VALUE!</v>
      </c>
      <c r="T4" t="e">
        <f>AND('Author and Rec of Changes'!E9,"AAAAAH/rVBM=")</f>
        <v>#VALUE!</v>
      </c>
      <c r="U4" t="e">
        <f>AND('Author and Rec of Changes'!F9,"AAAAAH/rVBQ=")</f>
        <v>#VALUE!</v>
      </c>
      <c r="V4" t="e">
        <f>AND('Author and Rec of Changes'!G9,"AAAAAH/rVBU=")</f>
        <v>#VALUE!</v>
      </c>
      <c r="W4">
        <f>IF('Author and Rec of Changes'!10:10,"AAAAAH/rVBY=",0)</f>
        <v>0</v>
      </c>
      <c r="X4">
        <f>IF('Author and Rec of Changes'!11:11,"AAAAAH/rVBc=",0)</f>
        <v>0</v>
      </c>
      <c r="Y4">
        <f>IF('Author and Rec of Changes'!12:12,"AAAAAH/rVBg=",0)</f>
        <v>0</v>
      </c>
      <c r="Z4">
        <f>IF('Author and Rec of Changes'!13:13,"AAAAAH/rVBk=",0)</f>
        <v>0</v>
      </c>
      <c r="AA4">
        <f>IF('Author and Rec of Changes'!14:14,"AAAAAH/rVBo=",0)</f>
        <v>0</v>
      </c>
      <c r="AB4">
        <f>IF('Author and Rec of Changes'!15:15,"AAAAAH/rVBs=",0)</f>
        <v>0</v>
      </c>
      <c r="AC4">
        <f>IF('Author and Rec of Changes'!16:16,"AAAAAH/rVBw=",0)</f>
        <v>0</v>
      </c>
      <c r="AD4">
        <f>IF('Author and Rec of Changes'!A:A,"AAAAAH/rVB0=",0)</f>
        <v>0</v>
      </c>
      <c r="AE4" t="e">
        <f>IF('Author and Rec of Changes'!B:B,"AAAAAH/rVB4=",0)</f>
        <v>#VALUE!</v>
      </c>
      <c r="AF4">
        <f>IF('Author and Rec of Changes'!C:C,"AAAAAH/rVB8=",0)</f>
        <v>0</v>
      </c>
      <c r="AG4">
        <f>IF('Author and Rec of Changes'!E:E,"AAAAAH/rVCA=",0)</f>
        <v>0</v>
      </c>
      <c r="AH4">
        <f>IF('Author and Rec of Changes'!F:F,"AAAAAH/rVCE=",0)</f>
        <v>0</v>
      </c>
      <c r="AI4">
        <f>IF('Author and Rec of Changes'!G:G,"AAAAAH/rVCI=",0)</f>
        <v>0</v>
      </c>
      <c r="AJ4" t="s">
        <v>160</v>
      </c>
      <c r="AK4" s="1" t="s">
        <v>161</v>
      </c>
      <c r="AL4" s="2" t="s">
        <v>162</v>
      </c>
      <c r="AM4" t="e">
        <f>IF("N",Linux_Emb_Schedule_Offline!_xlnm._FilterDatabase,"AAAAAH/rVCY=")</f>
        <v>#VALUE!</v>
      </c>
    </row>
    <row r="5" spans="1:256">
      <c r="A5" t="e">
        <f>AND(Linux_Emb_Syllabus!A1,"AAAAACvx+wA=")</f>
        <v>#VALUE!</v>
      </c>
      <c r="B5" t="e">
        <f>IF(Linux_Emb_Syllabus!#REF!,"AAAAACvx+wE=",0)</f>
        <v>#REF!</v>
      </c>
      <c r="C5" t="e">
        <f>AND(Linux_Emb_Syllabus!#REF!,"AAAAACvx+wI=")</f>
        <v>#REF!</v>
      </c>
      <c r="D5" t="e">
        <f>AND(Linux_Emb_Syllabus!#REF!,"AAAAACvx+wM=")</f>
        <v>#REF!</v>
      </c>
      <c r="E5" t="e">
        <f>AND(Linux_Emb_Syllabus!#REF!,"AAAAACvx+wQ=")</f>
        <v>#REF!</v>
      </c>
      <c r="F5" t="e">
        <f>AND(Linux_Emb_Syllabus!#REF!,"AAAAACvx+wU=")</f>
        <v>#REF!</v>
      </c>
      <c r="G5" t="e">
        <f>AND(Linux_Emb_Syllabus!#REF!,"AAAAACvx+wY=")</f>
        <v>#REF!</v>
      </c>
      <c r="H5" t="e">
        <f>AND(Linux_Emb_Syllabus!#REF!,"AAAAACvx+wc=")</f>
        <v>#REF!</v>
      </c>
      <c r="I5" t="e">
        <f>AND(Linux_Emb_Syllabus!#REF!,"AAAAACvx+wg=")</f>
        <v>#REF!</v>
      </c>
      <c r="J5">
        <f>IF(Linux_Emb_Syllabus!3:3,"AAAAACvx+wk=",0)</f>
        <v>0</v>
      </c>
      <c r="K5" t="e">
        <f>AND(Linux_Emb_Syllabus!A3,"AAAAACvx+wo=")</f>
        <v>#VALUE!</v>
      </c>
      <c r="L5" t="e">
        <f>AND(Linux_Emb_Syllabus!B3,"AAAAACvx+ws=")</f>
        <v>#VALUE!</v>
      </c>
      <c r="M5" t="e">
        <f>AND(Linux_Emb_Syllabus!C3,"AAAAACvx+ww=")</f>
        <v>#VALUE!</v>
      </c>
      <c r="N5" t="e">
        <f>AND(Linux_Emb_Syllabus!D3,"AAAAACvx+w0=")</f>
        <v>#VALUE!</v>
      </c>
      <c r="O5" t="e">
        <f>AND(Linux_Emb_Syllabus!E3,"AAAAACvx+w4=")</f>
        <v>#VALUE!</v>
      </c>
      <c r="P5" t="e">
        <f>AND(Linux_Emb_Syllabus!F3,"AAAAACvx+w8=")</f>
        <v>#VALUE!</v>
      </c>
      <c r="Q5" t="e">
        <f>AND(Linux_Emb_Syllabus!G3,"AAAAACvx+xA=")</f>
        <v>#VALUE!</v>
      </c>
    </row>
  </sheetData>
  <phoneticPr fontId="4" type="noConversion"/>
  <pageMargins left="0.7" right="0.7" top="0.75" bottom="0.75" header="0.3" footer="0.3"/>
  <customProperties>
    <customPr name="DVSECTIONID" r:id="rId1"/>
  </customPropertie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Training Topic Syllabus</dc:title>
  <dc:subject>1/1</dc:subject>
  <dc:creator>Nguyen Trung Kien</dc:creator>
  <cp:keywords>Syllabus</cp:keywords>
  <dc:description>- Sửa đổi toàn bộ cấu trúc &amp; nội dung tài liệu
Lý do:
Phục vụ nhu cầu thực tế</dc:description>
  <cp:lastModifiedBy>Tran Van Kho (GAM.VN.DAP)</cp:lastModifiedBy>
  <cp:revision/>
  <dcterms:created xsi:type="dcterms:W3CDTF">2010-11-19T03:46:05Z</dcterms:created>
  <dcterms:modified xsi:type="dcterms:W3CDTF">2022-08-28T08:49:15Z</dcterms:modified>
  <cp:category>Template</cp:category>
  <cp:contentStatus>20/11/2012</cp:contentStatus>
</cp:coreProperties>
</file>