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8235" activeTab="7"/>
  </bookViews>
  <sheets>
    <sheet name="Câu 5" sheetId="1" r:id="rId1"/>
    <sheet name="Câu 9" sheetId="2" r:id="rId2"/>
    <sheet name="Câu 10" sheetId="3" r:id="rId3"/>
    <sheet name="Câu 13" sheetId="5" r:id="rId4"/>
    <sheet name="Câu 12" sheetId="4" r:id="rId5"/>
    <sheet name="Câu 14" sheetId="6" r:id="rId6"/>
    <sheet name="Câu 15" sheetId="7" r:id="rId7"/>
    <sheet name="Câu 16" sheetId="8" r:id="rId8"/>
    <sheet name="Câu 18" sheetId="9" r:id="rId9"/>
  </sheets>
  <calcPr calcId="145621"/>
</workbook>
</file>

<file path=xl/calcChain.xml><?xml version="1.0" encoding="utf-8"?>
<calcChain xmlns="http://schemas.openxmlformats.org/spreadsheetml/2006/main">
  <c r="M6" i="8" l="1"/>
  <c r="M5" i="8"/>
  <c r="O5" i="8"/>
  <c r="P5" i="8"/>
  <c r="J6" i="8"/>
  <c r="J5" i="8"/>
  <c r="K5" i="7"/>
  <c r="F10" i="6" l="1"/>
  <c r="F13" i="7"/>
  <c r="G13" i="7" s="1"/>
  <c r="F12" i="7"/>
  <c r="H12" i="7" s="1"/>
  <c r="H11" i="7"/>
  <c r="F11" i="7"/>
  <c r="G11" i="7" s="1"/>
  <c r="H10" i="7"/>
  <c r="F10" i="7"/>
  <c r="G10" i="7" s="1"/>
  <c r="H9" i="7"/>
  <c r="F9" i="7"/>
  <c r="G9" i="7" s="1"/>
  <c r="H8" i="7"/>
  <c r="F8" i="7"/>
  <c r="G8" i="7" s="1"/>
  <c r="H7" i="7"/>
  <c r="F7" i="7"/>
  <c r="G7" i="7" s="1"/>
  <c r="K6" i="7"/>
  <c r="H6" i="7"/>
  <c r="F6" i="7"/>
  <c r="G6" i="7" s="1"/>
  <c r="H5" i="7"/>
  <c r="F5" i="7"/>
  <c r="G5" i="7" s="1"/>
  <c r="K4" i="7"/>
  <c r="H4" i="7"/>
  <c r="F4" i="7"/>
  <c r="G4" i="7" s="1"/>
  <c r="K10" i="7" l="1"/>
  <c r="K8" i="7"/>
  <c r="G12" i="7"/>
  <c r="H13" i="7"/>
  <c r="K7" i="7" s="1"/>
  <c r="F10" i="8"/>
  <c r="G10" i="8" s="1"/>
  <c r="D10" i="8"/>
  <c r="C10" i="8"/>
  <c r="F9" i="8"/>
  <c r="G9" i="8" s="1"/>
  <c r="D9" i="8"/>
  <c r="C9" i="8"/>
  <c r="F8" i="8"/>
  <c r="G8" i="8" s="1"/>
  <c r="D8" i="8"/>
  <c r="C8" i="8"/>
  <c r="F7" i="8"/>
  <c r="G7" i="8" s="1"/>
  <c r="D7" i="8"/>
  <c r="C7" i="8"/>
  <c r="F6" i="8"/>
  <c r="G6" i="8" s="1"/>
  <c r="D6" i="8"/>
  <c r="C6" i="8"/>
  <c r="F5" i="8"/>
  <c r="G5" i="8" s="1"/>
  <c r="D5" i="8"/>
  <c r="C5" i="8"/>
  <c r="F4" i="8"/>
  <c r="G4" i="8" s="1"/>
  <c r="D4" i="8"/>
  <c r="C4" i="8"/>
  <c r="K9" i="7" l="1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E10" i="6"/>
  <c r="F9" i="6"/>
  <c r="E9" i="6"/>
  <c r="F8" i="6"/>
  <c r="E8" i="6"/>
  <c r="F7" i="6"/>
  <c r="E7" i="6"/>
  <c r="F6" i="6"/>
  <c r="E6" i="6"/>
  <c r="F5" i="6"/>
  <c r="E5" i="6"/>
  <c r="C15" i="5" l="1"/>
  <c r="H6" i="4" l="1"/>
  <c r="H5" i="4"/>
  <c r="H4" i="4"/>
  <c r="F11" i="3" l="1"/>
  <c r="F10" i="3"/>
  <c r="F9" i="3"/>
  <c r="F8" i="3"/>
  <c r="F7" i="3"/>
  <c r="F12" i="3" s="1"/>
  <c r="F6" i="3"/>
  <c r="F5" i="3"/>
  <c r="F4" i="3"/>
  <c r="E9" i="2" l="1"/>
  <c r="G9" i="2" s="1"/>
  <c r="H9" i="2" s="1"/>
  <c r="I9" i="2" s="1"/>
  <c r="E8" i="2"/>
  <c r="G8" i="2" s="1"/>
  <c r="H8" i="2" s="1"/>
  <c r="I8" i="2" s="1"/>
  <c r="E7" i="2"/>
  <c r="G7" i="2" s="1"/>
  <c r="H7" i="2" s="1"/>
  <c r="I7" i="2" s="1"/>
  <c r="E6" i="2"/>
  <c r="G6" i="2" s="1"/>
  <c r="H6" i="2" s="1"/>
  <c r="I6" i="2" s="1"/>
  <c r="E5" i="2"/>
  <c r="G5" i="2" s="1"/>
  <c r="H5" i="2" s="1"/>
  <c r="I5" i="2" s="1"/>
  <c r="E4" i="2"/>
  <c r="G4" i="2" s="1"/>
  <c r="H4" i="2" l="1"/>
  <c r="I4" i="2" s="1"/>
  <c r="G10" i="2"/>
</calcChain>
</file>

<file path=xl/sharedStrings.xml><?xml version="1.0" encoding="utf-8"?>
<sst xmlns="http://schemas.openxmlformats.org/spreadsheetml/2006/main" count="385" uniqueCount="183">
  <si>
    <t>Bảng giá thiết bị &amp; nội thất</t>
  </si>
  <si>
    <t>Tên hàng</t>
  </si>
  <si>
    <t>Mã</t>
  </si>
  <si>
    <t>Giá mua</t>
  </si>
  <si>
    <t>Tỉ lệ
chi phí</t>
  </si>
  <si>
    <t>Giá bán</t>
  </si>
  <si>
    <t>Giảm</t>
  </si>
  <si>
    <t>Tiền thu</t>
  </si>
  <si>
    <t>Tỉ lệ lời</t>
  </si>
  <si>
    <t>Máy tính</t>
  </si>
  <si>
    <t>Máy in laser màu</t>
  </si>
  <si>
    <t>Tủ đựng hồ sơ</t>
  </si>
  <si>
    <t>Bộ bàn ghế</t>
  </si>
  <si>
    <t>Bàn máy tính T@able</t>
  </si>
  <si>
    <t>Màn hình 27''</t>
  </si>
  <si>
    <t>1/9/2018</t>
  </si>
  <si>
    <t>Tỷ lệ
chi phí</t>
  </si>
  <si>
    <t>Tiền lời</t>
  </si>
  <si>
    <t>Tỷ lệ lời</t>
  </si>
  <si>
    <t>Bàn máy tính T@ble</t>
  </si>
  <si>
    <t>Màn hình 27"</t>
  </si>
  <si>
    <t xml:space="preserve">Tổng: </t>
  </si>
  <si>
    <t>Bảng giá tour năm 2018</t>
  </si>
  <si>
    <t>Điểm</t>
  </si>
  <si>
    <t>Tiền tour</t>
  </si>
  <si>
    <t>Máy bay</t>
  </si>
  <si>
    <t>Khách sạn</t>
  </si>
  <si>
    <t>Chi phí khác</t>
  </si>
  <si>
    <t>Cộng</t>
  </si>
  <si>
    <t>Hạ long - Cát bà</t>
  </si>
  <si>
    <t>Sapa - Cát cát - Hàm rồng</t>
  </si>
  <si>
    <t>Hà nội - Hạ long - Tuần châu</t>
  </si>
  <si>
    <t>Hạ long - Yên tử - Bái đính</t>
  </si>
  <si>
    <t>Sapa - Fansipan</t>
  </si>
  <si>
    <t>Mai châu - Mộc châu</t>
  </si>
  <si>
    <t>Minqin County</t>
  </si>
  <si>
    <t>Đà nẵng - Hội an - Cù lao chàm</t>
  </si>
  <si>
    <t>Tổng:</t>
  </si>
  <si>
    <t>MS</t>
  </si>
  <si>
    <t>Họ</t>
  </si>
  <si>
    <t>Tên</t>
  </si>
  <si>
    <t>Email</t>
  </si>
  <si>
    <t>Nhập mã số cần tìm trong ô H3.</t>
  </si>
  <si>
    <t>Nguyễn Ngọc</t>
  </si>
  <si>
    <t>An</t>
  </si>
  <si>
    <t>n.an@sin.com</t>
  </si>
  <si>
    <r>
      <t>Tạo công thức hiển thị họ, tên, và email</t>
    </r>
    <r>
      <rPr>
        <sz val="11"/>
        <color theme="1"/>
        <rFont val="Calibri"/>
        <family val="1"/>
        <charset val="2"/>
        <scheme val="minor"/>
      </rPr>
      <t xml:space="preserve"> trong các ô H4, H5 và H6</t>
    </r>
    <r>
      <rPr>
        <sz val="11"/>
        <color theme="1"/>
        <rFont val="Calibri"/>
        <family val="2"/>
        <charset val="163"/>
        <scheme val="minor"/>
      </rPr>
      <t>.</t>
    </r>
  </si>
  <si>
    <t>Huỳnh Thị</t>
  </si>
  <si>
    <t>Châu</t>
  </si>
  <si>
    <t>h.chau@sin.com</t>
  </si>
  <si>
    <t>Phạm Văn</t>
  </si>
  <si>
    <t>Điệp</t>
  </si>
  <si>
    <t>p.diep@sin.com</t>
  </si>
  <si>
    <t>Lê Thị Hồng</t>
  </si>
  <si>
    <t>Giang</t>
  </si>
  <si>
    <t>l.giang@sin.com</t>
  </si>
  <si>
    <t>Nguyễn Hoàng Minh</t>
  </si>
  <si>
    <t>Đức</t>
  </si>
  <si>
    <t>n.duc@sin.com</t>
  </si>
  <si>
    <t>Nguyễn Thu</t>
  </si>
  <si>
    <t>Lan</t>
  </si>
  <si>
    <t>n.lan@sin.com</t>
  </si>
  <si>
    <t>Bùi Thị Mỹ</t>
  </si>
  <si>
    <t>Ngân</t>
  </si>
  <si>
    <t>b.ngan@sin.com</t>
  </si>
  <si>
    <t>Huỳnh  Tuyết</t>
  </si>
  <si>
    <t>Như</t>
  </si>
  <si>
    <t>h.nhu@sin.com</t>
  </si>
  <si>
    <t>Võ Thị</t>
  </si>
  <si>
    <t>Quyên</t>
  </si>
  <si>
    <t>v.quyen@sin.com</t>
  </si>
  <si>
    <t>Lê Ngọc Hoàng</t>
  </si>
  <si>
    <t>Vân</t>
  </si>
  <si>
    <t>l.van@sin.com</t>
  </si>
  <si>
    <t>MENU</t>
  </si>
  <si>
    <t>Small</t>
  </si>
  <si>
    <t>Medium</t>
  </si>
  <si>
    <t>Large</t>
  </si>
  <si>
    <t>HOT COFFEE</t>
  </si>
  <si>
    <t>CAPPUCCINO or LATTE</t>
  </si>
  <si>
    <t>MOCHA or WHITE MOCHA</t>
  </si>
  <si>
    <t>CHAI LATTE</t>
  </si>
  <si>
    <t>MASALA</t>
  </si>
  <si>
    <t>AMERICANO</t>
  </si>
  <si>
    <t>LOOSE LEAF TEA</t>
  </si>
  <si>
    <t>HOT APPLE CIDER</t>
  </si>
  <si>
    <t>HOT CHOCOLATE</t>
  </si>
  <si>
    <t>Nhập thức uống</t>
  </si>
  <si>
    <t>Nhập cỡ ly (S, M, L)</t>
  </si>
  <si>
    <t>Công thức tìm giá</t>
  </si>
  <si>
    <t>M</t>
  </si>
  <si>
    <t>CƠ SỞ SẢN XUẤT BASSA</t>
  </si>
  <si>
    <t>Thuế thu nhập</t>
  </si>
  <si>
    <t>Mã NV</t>
  </si>
  <si>
    <t>Loại NV</t>
  </si>
  <si>
    <t>Số người phụ thuộc</t>
  </si>
  <si>
    <t>Lương</t>
  </si>
  <si>
    <t>Giảm trừ</t>
  </si>
  <si>
    <t>Thuế phải nộp</t>
  </si>
  <si>
    <t>FT</t>
  </si>
  <si>
    <t>PT</t>
  </si>
  <si>
    <t>ĐIỂM THI MÔN TOÁN</t>
  </si>
  <si>
    <t>MSSV</t>
  </si>
  <si>
    <t>HỌ</t>
  </si>
  <si>
    <t>TÊN</t>
  </si>
  <si>
    <t>ĐIỂM QUÁ 
TRÌNH</t>
  </si>
  <si>
    <t>ĐIỂM 
CUỐI KÌ</t>
  </si>
  <si>
    <t>ĐIỂM</t>
  </si>
  <si>
    <t>KẾT QUẢ</t>
  </si>
  <si>
    <t>XẾP LOẠI</t>
  </si>
  <si>
    <t>THỐNG KÊ</t>
  </si>
  <si>
    <t>Điểm cao nhất</t>
  </si>
  <si>
    <t>Điểm thấp nhất</t>
  </si>
  <si>
    <t>Điểm trung bình</t>
  </si>
  <si>
    <t>Lê THị Hồng</t>
  </si>
  <si>
    <t>Giỏi</t>
  </si>
  <si>
    <t>Khá</t>
  </si>
  <si>
    <t>Trung bình</t>
  </si>
  <si>
    <t>Kém</t>
  </si>
  <si>
    <t>Huỳnh Tuyết</t>
  </si>
  <si>
    <t xml:space="preserve"> Võ Thị</t>
  </si>
  <si>
    <t>BÁO CÁO BÁN HÀNG</t>
  </si>
  <si>
    <t>NGÀY</t>
  </si>
  <si>
    <t>MÃ HÀNG</t>
  </si>
  <si>
    <t>TÊN HÀNG</t>
  </si>
  <si>
    <t>ĐVT</t>
  </si>
  <si>
    <t>SỐ LƯỢNG</t>
  </si>
  <si>
    <t>ĐƠN GIÁ</t>
  </si>
  <si>
    <t>THÀNH TIỀN</t>
  </si>
  <si>
    <t>B001-S</t>
  </si>
  <si>
    <t>LOẠI</t>
  </si>
  <si>
    <t>SỐ TIỀN</t>
  </si>
  <si>
    <t>B001-L</t>
  </si>
  <si>
    <t>BÁNH</t>
  </si>
  <si>
    <t>THÁNG 7</t>
  </si>
  <si>
    <t>K002-L</t>
  </si>
  <si>
    <t>KẸO</t>
  </si>
  <si>
    <t>THÁNG 8</t>
  </si>
  <si>
    <t>K002-S</t>
  </si>
  <si>
    <t>K001-S</t>
  </si>
  <si>
    <t>B002-L</t>
  </si>
  <si>
    <t>BẢNG GIÁ</t>
  </si>
  <si>
    <t>GIÁ SỈ</t>
  </si>
  <si>
    <t>GIÁ LẺ</t>
  </si>
  <si>
    <t>B001</t>
  </si>
  <si>
    <t>PÍA ĐẬU XANH</t>
  </si>
  <si>
    <t>CÁI</t>
  </si>
  <si>
    <t>B002</t>
  </si>
  <si>
    <t>PÍA SẦU RIÊNG</t>
  </si>
  <si>
    <t>K001</t>
  </si>
  <si>
    <t>KẸO DỪA</t>
  </si>
  <si>
    <t>KG</t>
  </si>
  <si>
    <t>K002</t>
  </si>
  <si>
    <t>KẸO ĐẬU PHỘNG</t>
  </si>
  <si>
    <t>Ngày</t>
  </si>
  <si>
    <t>Đại lý</t>
  </si>
  <si>
    <t>Nhân viên</t>
  </si>
  <si>
    <t>Số lượng</t>
  </si>
  <si>
    <t xml:space="preserve">Đơn giá </t>
  </si>
  <si>
    <t>Thành tiền</t>
  </si>
  <si>
    <t>Cần thơ</t>
  </si>
  <si>
    <t>Hùng</t>
  </si>
  <si>
    <t>Bút chì</t>
  </si>
  <si>
    <t>Đà nẳng</t>
  </si>
  <si>
    <t>Kim</t>
  </si>
  <si>
    <t>Kẹp giấy</t>
  </si>
  <si>
    <t>Liên</t>
  </si>
  <si>
    <t>Vùng điểu kiện</t>
  </si>
  <si>
    <t>Bách</t>
  </si>
  <si>
    <t>Bút bi</t>
  </si>
  <si>
    <t>Long Xuyên</t>
  </si>
  <si>
    <t>Sơn</t>
  </si>
  <si>
    <t>Hà</t>
  </si>
  <si>
    <t>&gt;400</t>
  </si>
  <si>
    <t>Minh</t>
  </si>
  <si>
    <t>Thành</t>
  </si>
  <si>
    <t>Phin</t>
  </si>
  <si>
    <t>Sang</t>
  </si>
  <si>
    <t>Bàn</t>
  </si>
  <si>
    <t>Bộ 3 bút bi</t>
  </si>
  <si>
    <t>VÙNG ĐIỀU KIỆN</t>
  </si>
  <si>
    <t>Tháng 7</t>
  </si>
  <si>
    <t>Tháng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</si>
</sst>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₫_-;\-* #,##0.00\ _₫_-;_-* &quot;-&quot;??\ _₫_-;_-@_-"/>
    <numFmt numFmtId="164" formatCode="_-[$$-409]* #,##0.00_ ;_-[$$-409]* \-#,##0.00\ ;_-[$$-409]* &quot;-&quot;??_ ;_-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&quot;$&quot;* #,##0_);_(&quot;$&quot;* \(#,##0\);_(&quot;$&quot;* &quot;-&quot;??_);_(@_)"/>
    <numFmt numFmtId="168" formatCode="d/m/yyyy;@"/>
  </numFmts>
  <fonts count="21">
    <font>
      <sz val="11"/>
      <color theme="1"/>
      <name val="Calibri"/>
      <family val="2"/>
      <charset val="163"/>
      <scheme val="minor"/>
    </font>
    <font>
      <b/>
      <sz val="18"/>
      <color rgb="FF7030A0"/>
      <name val="Times New Roman"/>
      <family val="1"/>
    </font>
    <font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</fills>
  <borders count="41">
    <border>
      <left/>
      <right/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ck">
        <color theme="4"/>
      </top>
      <bottom style="thin">
        <color rgb="FF0070C0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2">
    <xf numFmtId="0" fontId="0" fillId="0" borderId="0"/>
    <xf numFmtId="9" fontId="4" fillId="0" borderId="0" applyFont="0" applyFill="0" applyBorder="0" applyAlignment="0" applyProtection="0"/>
    <xf numFmtId="0" fontId="5" fillId="0" borderId="5" applyNumberFormat="0" applyFill="0" applyAlignment="0" applyProtection="0"/>
    <xf numFmtId="0" fontId="6" fillId="3" borderId="6" applyNumberFormat="0" applyAlignment="0" applyProtection="0"/>
    <xf numFmtId="0" fontId="7" fillId="4" borderId="7" applyNumberFormat="0" applyAlignment="0" applyProtection="0"/>
    <xf numFmtId="0" fontId="4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5" borderId="0" applyNumberFormat="0" applyBorder="0" applyAlignment="0" applyProtection="0"/>
  </cellStyleXfs>
  <cellXfs count="121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9" fontId="2" fillId="0" borderId="2" xfId="0" applyNumberFormat="1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164" fontId="2" fillId="0" borderId="2" xfId="0" applyNumberFormat="1" applyFont="1" applyBorder="1"/>
    <xf numFmtId="0" fontId="0" fillId="9" borderId="0" xfId="0" applyFont="1" applyFill="1"/>
    <xf numFmtId="0" fontId="9" fillId="10" borderId="9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 wrapText="1"/>
    </xf>
    <xf numFmtId="0" fontId="9" fillId="10" borderId="11" xfId="0" applyFont="1" applyFill="1" applyBorder="1" applyAlignment="1">
      <alignment horizontal="center"/>
    </xf>
    <xf numFmtId="0" fontId="0" fillId="9" borderId="12" xfId="0" applyFont="1" applyFill="1" applyBorder="1"/>
    <xf numFmtId="165" fontId="0" fillId="9" borderId="12" xfId="0" applyNumberFormat="1" applyFont="1" applyFill="1" applyBorder="1"/>
    <xf numFmtId="9" fontId="0" fillId="9" borderId="12" xfId="1" applyFont="1" applyFill="1" applyBorder="1"/>
    <xf numFmtId="1" fontId="0" fillId="9" borderId="12" xfId="0" applyNumberFormat="1" applyFont="1" applyFill="1" applyBorder="1"/>
    <xf numFmtId="43" fontId="0" fillId="9" borderId="12" xfId="0" applyNumberFormat="1" applyFont="1" applyFill="1" applyBorder="1"/>
    <xf numFmtId="0" fontId="11" fillId="9" borderId="0" xfId="0" applyFont="1" applyFill="1"/>
    <xf numFmtId="1" fontId="0" fillId="9" borderId="0" xfId="0" applyNumberFormat="1" applyFont="1" applyFill="1"/>
    <xf numFmtId="0" fontId="0" fillId="0" borderId="19" xfId="0" applyBorder="1"/>
    <xf numFmtId="0" fontId="11" fillId="11" borderId="0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 wrapText="1"/>
    </xf>
    <xf numFmtId="166" fontId="0" fillId="0" borderId="0" xfId="9" applyFont="1" applyBorder="1"/>
    <xf numFmtId="165" fontId="0" fillId="0" borderId="0" xfId="10" applyFont="1" applyBorder="1"/>
    <xf numFmtId="165" fontId="0" fillId="0" borderId="0" xfId="10" applyFont="1"/>
    <xf numFmtId="0" fontId="0" fillId="9" borderId="0" xfId="0" applyFill="1"/>
    <xf numFmtId="0" fontId="0" fillId="12" borderId="20" xfId="0" applyFill="1" applyBorder="1"/>
    <xf numFmtId="0" fontId="0" fillId="9" borderId="20" xfId="0" applyFill="1" applyBorder="1" applyAlignment="1">
      <alignment horizontal="center"/>
    </xf>
    <xf numFmtId="0" fontId="0" fillId="9" borderId="0" xfId="0" applyFill="1" applyBorder="1"/>
    <xf numFmtId="0" fontId="0" fillId="9" borderId="20" xfId="0" applyFill="1" applyBorder="1"/>
    <xf numFmtId="0" fontId="0" fillId="9" borderId="20" xfId="0" applyFill="1" applyBorder="1" applyAlignment="1">
      <alignment horizontal="left"/>
    </xf>
    <xf numFmtId="0" fontId="0" fillId="9" borderId="21" xfId="0" applyFill="1" applyBorder="1"/>
    <xf numFmtId="0" fontId="15" fillId="6" borderId="0" xfId="5" applyFont="1" applyBorder="1"/>
    <xf numFmtId="0" fontId="15" fillId="6" borderId="0" xfId="5" applyFont="1" applyBorder="1" applyAlignment="1">
      <alignment horizontal="center"/>
    </xf>
    <xf numFmtId="0" fontId="15" fillId="0" borderId="22" xfId="0" applyFont="1" applyBorder="1"/>
    <xf numFmtId="0" fontId="15" fillId="0" borderId="23" xfId="0" applyFont="1" applyBorder="1"/>
    <xf numFmtId="2" fontId="15" fillId="0" borderId="24" xfId="0" applyNumberFormat="1" applyFont="1" applyBorder="1"/>
    <xf numFmtId="0" fontId="15" fillId="0" borderId="25" xfId="0" applyFont="1" applyBorder="1"/>
    <xf numFmtId="0" fontId="15" fillId="0" borderId="26" xfId="0" applyFont="1" applyBorder="1"/>
    <xf numFmtId="2" fontId="15" fillId="0" borderId="27" xfId="0" applyNumberFormat="1" applyFont="1" applyBorder="1"/>
    <xf numFmtId="0" fontId="15" fillId="0" borderId="28" xfId="0" applyFont="1" applyBorder="1"/>
    <xf numFmtId="0" fontId="15" fillId="0" borderId="29" xfId="0" applyFont="1" applyBorder="1"/>
    <xf numFmtId="2" fontId="15" fillId="0" borderId="30" xfId="0" applyNumberFormat="1" applyFont="1" applyBorder="1"/>
    <xf numFmtId="0" fontId="15" fillId="0" borderId="0" xfId="0" applyFont="1"/>
    <xf numFmtId="0" fontId="6" fillId="3" borderId="6" xfId="3"/>
    <xf numFmtId="0" fontId="6" fillId="3" borderId="6" xfId="3" applyAlignment="1">
      <alignment horizontal="center"/>
    </xf>
    <xf numFmtId="2" fontId="7" fillId="4" borderId="7" xfId="4" applyNumberFormat="1"/>
    <xf numFmtId="0" fontId="0" fillId="2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top" wrapText="1"/>
    </xf>
    <xf numFmtId="0" fontId="15" fillId="0" borderId="0" xfId="8" applyFont="1"/>
    <xf numFmtId="0" fontId="15" fillId="5" borderId="0" xfId="11" applyFont="1" applyAlignment="1">
      <alignment horizontal="center" vertical="center" wrapText="1"/>
    </xf>
    <xf numFmtId="0" fontId="15" fillId="0" borderId="0" xfId="8" applyFont="1" applyAlignment="1">
      <alignment horizontal="center"/>
    </xf>
    <xf numFmtId="167" fontId="15" fillId="0" borderId="0" xfId="10" applyNumberFormat="1" applyFont="1"/>
    <xf numFmtId="39" fontId="15" fillId="0" borderId="0" xfId="8" applyNumberFormat="1" applyFont="1"/>
    <xf numFmtId="165" fontId="15" fillId="0" borderId="0" xfId="8" applyNumberFormat="1" applyFont="1"/>
    <xf numFmtId="0" fontId="0" fillId="0" borderId="17" xfId="0" applyBorder="1"/>
    <xf numFmtId="0" fontId="0" fillId="0" borderId="18" xfId="0" applyBorder="1"/>
    <xf numFmtId="0" fontId="16" fillId="13" borderId="13" xfId="0" applyFont="1" applyFill="1" applyBorder="1" applyAlignment="1">
      <alignment horizontal="center"/>
    </xf>
    <xf numFmtId="0" fontId="16" fillId="13" borderId="13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31" xfId="0" applyBorder="1"/>
    <xf numFmtId="0" fontId="0" fillId="0" borderId="32" xfId="0" applyBorder="1"/>
    <xf numFmtId="0" fontId="0" fillId="0" borderId="15" xfId="0" applyBorder="1"/>
    <xf numFmtId="0" fontId="11" fillId="14" borderId="13" xfId="0" applyFont="1" applyFill="1" applyBorder="1" applyAlignment="1">
      <alignment horizontal="center"/>
    </xf>
    <xf numFmtId="14" fontId="0" fillId="0" borderId="13" xfId="0" applyNumberFormat="1" applyBorder="1"/>
    <xf numFmtId="0" fontId="0" fillId="14" borderId="34" xfId="0" applyFill="1" applyBorder="1" applyAlignment="1">
      <alignment horizontal="center"/>
    </xf>
    <xf numFmtId="0" fontId="0" fillId="14" borderId="34" xfId="0" applyFill="1" applyBorder="1"/>
    <xf numFmtId="0" fontId="0" fillId="0" borderId="13" xfId="0" applyFill="1" applyBorder="1"/>
    <xf numFmtId="3" fontId="0" fillId="0" borderId="13" xfId="0" applyNumberFormat="1" applyBorder="1"/>
    <xf numFmtId="0" fontId="9" fillId="15" borderId="9" xfId="0" applyFont="1" applyFill="1" applyBorder="1"/>
    <xf numFmtId="0" fontId="9" fillId="15" borderId="10" xfId="0" applyFont="1" applyFill="1" applyBorder="1"/>
    <xf numFmtId="0" fontId="9" fillId="15" borderId="11" xfId="0" applyFont="1" applyFill="1" applyBorder="1"/>
    <xf numFmtId="0" fontId="20" fillId="0" borderId="0" xfId="8" applyFont="1" applyAlignment="1">
      <alignment vertical="center"/>
    </xf>
    <xf numFmtId="168" fontId="0" fillId="0" borderId="9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16" fillId="2" borderId="13" xfId="8" applyFont="1" applyFill="1" applyBorder="1" applyAlignment="1">
      <alignment vertical="center"/>
    </xf>
    <xf numFmtId="168" fontId="0" fillId="0" borderId="38" xfId="0" applyNumberFormat="1" applyFont="1" applyBorder="1"/>
    <xf numFmtId="0" fontId="0" fillId="0" borderId="39" xfId="0" applyFont="1" applyBorder="1"/>
    <xf numFmtId="0" fontId="0" fillId="0" borderId="40" xfId="0" applyFont="1" applyBorder="1"/>
    <xf numFmtId="0" fontId="20" fillId="0" borderId="0" xfId="8" applyFont="1" applyBorder="1" applyAlignment="1" applyProtection="1">
      <alignment vertical="center"/>
    </xf>
    <xf numFmtId="0" fontId="20" fillId="0" borderId="0" xfId="8" applyFont="1" applyFill="1" applyBorder="1" applyAlignment="1" applyProtection="1">
      <alignment vertical="center"/>
      <protection locked="0"/>
    </xf>
    <xf numFmtId="0" fontId="20" fillId="0" borderId="0" xfId="8" applyFont="1" applyFill="1" applyBorder="1" applyAlignment="1" applyProtection="1">
      <alignment vertical="center"/>
    </xf>
    <xf numFmtId="168" fontId="0" fillId="0" borderId="9" xfId="0" applyNumberFormat="1" applyFont="1" applyBorder="1" applyProtection="1"/>
    <xf numFmtId="0" fontId="0" fillId="0" borderId="10" xfId="0" applyFont="1" applyBorder="1" applyProtection="1"/>
    <xf numFmtId="0" fontId="0" fillId="0" borderId="10" xfId="0" applyFont="1" applyBorder="1" applyProtection="1">
      <protection locked="0"/>
    </xf>
    <xf numFmtId="0" fontId="0" fillId="0" borderId="11" xfId="0" applyFont="1" applyBorder="1" applyProtection="1"/>
    <xf numFmtId="0" fontId="1" fillId="0" borderId="0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9" borderId="5" xfId="2" applyFill="1" applyAlignment="1">
      <alignment horizontal="center"/>
    </xf>
    <xf numFmtId="0" fontId="0" fillId="9" borderId="8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7" borderId="0" xfId="6" applyFont="1" applyAlignment="1">
      <alignment horizontal="center"/>
    </xf>
    <xf numFmtId="0" fontId="0" fillId="9" borderId="0" xfId="0" applyFont="1" applyFill="1" applyBorder="1" applyAlignment="1">
      <alignment horizontal="left" vertical="top" wrapText="1"/>
    </xf>
    <xf numFmtId="0" fontId="17" fillId="8" borderId="31" xfId="7" applyFont="1" applyBorder="1" applyAlignment="1">
      <alignment horizontal="center"/>
    </xf>
    <xf numFmtId="0" fontId="17" fillId="8" borderId="32" xfId="7" applyFont="1" applyBorder="1" applyAlignment="1">
      <alignment horizontal="center"/>
    </xf>
    <xf numFmtId="0" fontId="17" fillId="8" borderId="33" xfId="7" applyFont="1" applyBorder="1" applyAlignment="1">
      <alignment horizontal="center"/>
    </xf>
    <xf numFmtId="0" fontId="15" fillId="0" borderId="31" xfId="8" applyFont="1" applyBorder="1" applyAlignment="1">
      <alignment horizontal="center"/>
    </xf>
    <xf numFmtId="0" fontId="15" fillId="0" borderId="32" xfId="8" applyFont="1" applyBorder="1" applyAlignment="1">
      <alignment horizontal="center"/>
    </xf>
    <xf numFmtId="0" fontId="15" fillId="0" borderId="33" xfId="8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6" fillId="13" borderId="31" xfId="0" applyFont="1" applyFill="1" applyBorder="1" applyAlignment="1">
      <alignment horizontal="center"/>
    </xf>
    <xf numFmtId="0" fontId="16" fillId="13" borderId="33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9" fillId="0" borderId="0" xfId="0" applyFont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6" fillId="2" borderId="13" xfId="8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/>
    </xf>
  </cellXfs>
  <cellStyles count="12">
    <cellStyle name="40% - Accent1 2" xfId="11"/>
    <cellStyle name="40% - Accent4" xfId="5" builtinId="43"/>
    <cellStyle name="60% - Accent4" xfId="6" builtinId="44"/>
    <cellStyle name="Accent5" xfId="7" builtinId="45"/>
    <cellStyle name="Comma 2" xfId="9"/>
    <cellStyle name="Currency 2" xfId="10"/>
    <cellStyle name="Heading 1" xfId="2" builtinId="16"/>
    <cellStyle name="Input" xfId="3" builtinId="20"/>
    <cellStyle name="Normal" xfId="0" builtinId="0"/>
    <cellStyle name="Normal 2" xfId="8"/>
    <cellStyle name="Output" xfId="4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K7" sqref="K7"/>
    </sheetView>
  </sheetViews>
  <sheetFormatPr defaultRowHeight="15"/>
  <cols>
    <col min="1" max="1" width="23.85546875" customWidth="1"/>
    <col min="2" max="2" width="20.42578125" customWidth="1"/>
    <col min="3" max="3" width="11.7109375" customWidth="1"/>
    <col min="4" max="4" width="11.42578125" customWidth="1"/>
    <col min="5" max="6" width="9.85546875" customWidth="1"/>
    <col min="7" max="7" width="10.5703125" customWidth="1"/>
    <col min="8" max="8" width="10" customWidth="1"/>
  </cols>
  <sheetData>
    <row r="1" spans="1:8" ht="23.25" thickBot="1">
      <c r="A1" s="92" t="s">
        <v>0</v>
      </c>
      <c r="B1" s="92"/>
      <c r="C1" s="92"/>
      <c r="D1" s="92"/>
      <c r="E1" s="92"/>
      <c r="F1" s="92"/>
      <c r="G1" s="92"/>
      <c r="H1" s="92"/>
    </row>
    <row r="2" spans="1:8" ht="17.25" thickTop="1">
      <c r="A2" s="93">
        <v>43344</v>
      </c>
      <c r="B2" s="93"/>
      <c r="C2" s="94"/>
      <c r="D2" s="94"/>
      <c r="E2" s="94"/>
      <c r="F2" s="94"/>
      <c r="G2" s="94"/>
      <c r="H2" s="94"/>
    </row>
    <row r="3" spans="1:8" ht="33">
      <c r="A3" s="6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9" t="s">
        <v>8</v>
      </c>
    </row>
    <row r="4" spans="1:8" ht="16.5">
      <c r="A4" s="2" t="s">
        <v>9</v>
      </c>
      <c r="B4" s="3">
        <v>101</v>
      </c>
      <c r="C4" s="10">
        <v>400</v>
      </c>
      <c r="D4" s="4">
        <v>0.5</v>
      </c>
      <c r="E4" s="3"/>
      <c r="F4" s="4">
        <v>0.15</v>
      </c>
      <c r="G4" s="3"/>
      <c r="H4" s="5"/>
    </row>
    <row r="5" spans="1:8" ht="16.5">
      <c r="A5" s="2" t="s">
        <v>10</v>
      </c>
      <c r="B5" s="3">
        <v>102</v>
      </c>
      <c r="C5" s="10">
        <v>457.7</v>
      </c>
      <c r="D5" s="4">
        <v>0.75</v>
      </c>
      <c r="E5" s="3"/>
      <c r="F5" s="4">
        <v>0.2</v>
      </c>
      <c r="G5" s="3"/>
      <c r="H5" s="5"/>
    </row>
    <row r="6" spans="1:8" ht="16.5">
      <c r="A6" s="2" t="s">
        <v>11</v>
      </c>
      <c r="B6" s="3">
        <v>103</v>
      </c>
      <c r="C6" s="10">
        <v>68.75</v>
      </c>
      <c r="D6" s="4">
        <v>0.91</v>
      </c>
      <c r="E6" s="3"/>
      <c r="F6" s="4">
        <v>0.1</v>
      </c>
      <c r="G6" s="3"/>
      <c r="H6" s="5"/>
    </row>
    <row r="7" spans="1:8" ht="16.5">
      <c r="A7" s="2" t="s">
        <v>12</v>
      </c>
      <c r="B7" s="3">
        <v>104</v>
      </c>
      <c r="C7" s="10">
        <v>75</v>
      </c>
      <c r="D7" s="4">
        <v>1</v>
      </c>
      <c r="E7" s="3"/>
      <c r="F7" s="4">
        <v>0.25</v>
      </c>
      <c r="G7" s="3"/>
      <c r="H7" s="5"/>
    </row>
    <row r="8" spans="1:8" ht="16.5">
      <c r="A8" s="2" t="s">
        <v>13</v>
      </c>
      <c r="B8" s="3">
        <v>105</v>
      </c>
      <c r="C8" s="10">
        <v>700</v>
      </c>
      <c r="D8" s="4">
        <v>1.86</v>
      </c>
      <c r="E8" s="3"/>
      <c r="F8" s="4">
        <v>0.3</v>
      </c>
      <c r="G8" s="3"/>
      <c r="H8" s="5"/>
    </row>
    <row r="9" spans="1:8" ht="16.5">
      <c r="A9" s="2" t="s">
        <v>14</v>
      </c>
      <c r="B9" s="3">
        <v>106</v>
      </c>
      <c r="C9" s="10">
        <v>195</v>
      </c>
      <c r="D9" s="4">
        <v>0.84</v>
      </c>
      <c r="E9" s="3"/>
      <c r="F9" s="4">
        <v>0.1</v>
      </c>
      <c r="G9" s="3"/>
      <c r="H9" s="5"/>
    </row>
    <row r="13" spans="1:8">
      <c r="D13" s="1"/>
    </row>
    <row r="14" spans="1:8">
      <c r="D14" s="1"/>
    </row>
    <row r="16" spans="1:8">
      <c r="C16" s="1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8" sqref="E8"/>
    </sheetView>
  </sheetViews>
  <sheetFormatPr defaultRowHeight="15"/>
  <cols>
    <col min="1" max="1" width="18.7109375" bestFit="1" customWidth="1"/>
    <col min="2" max="2" width="10.85546875" customWidth="1"/>
    <col min="3" max="3" width="11.85546875" customWidth="1"/>
    <col min="4" max="4" width="10.42578125" customWidth="1"/>
    <col min="5" max="5" width="9.5703125" customWidth="1"/>
    <col min="6" max="7" width="10.28515625" customWidth="1"/>
    <col min="8" max="8" width="10" customWidth="1"/>
    <col min="9" max="9" width="10.140625" customWidth="1"/>
  </cols>
  <sheetData>
    <row r="1" spans="1:9" ht="20.25" thickBot="1">
      <c r="A1" s="95" t="s">
        <v>0</v>
      </c>
      <c r="B1" s="95"/>
      <c r="C1" s="95"/>
      <c r="D1" s="95"/>
      <c r="E1" s="95"/>
      <c r="F1" s="95"/>
      <c r="G1" s="95"/>
      <c r="H1" s="95"/>
      <c r="I1" s="95"/>
    </row>
    <row r="2" spans="1:9" ht="15.75" thickTop="1">
      <c r="A2" s="96" t="s">
        <v>15</v>
      </c>
      <c r="B2" s="96"/>
      <c r="C2" s="96"/>
      <c r="D2" s="96"/>
      <c r="E2" s="96"/>
      <c r="F2" s="96"/>
      <c r="G2" s="96"/>
      <c r="H2" s="96"/>
      <c r="I2" s="96"/>
    </row>
    <row r="3" spans="1:9" ht="30">
      <c r="A3" s="12" t="s">
        <v>1</v>
      </c>
      <c r="B3" s="13" t="s">
        <v>2</v>
      </c>
      <c r="C3" s="13" t="s">
        <v>3</v>
      </c>
      <c r="D3" s="14" t="s">
        <v>16</v>
      </c>
      <c r="E3" s="13" t="s">
        <v>5</v>
      </c>
      <c r="F3" s="13" t="s">
        <v>6</v>
      </c>
      <c r="G3" s="13" t="s">
        <v>7</v>
      </c>
      <c r="H3" s="13" t="s">
        <v>17</v>
      </c>
      <c r="I3" s="15" t="s">
        <v>18</v>
      </c>
    </row>
    <row r="4" spans="1:9">
      <c r="A4" s="16" t="s">
        <v>9</v>
      </c>
      <c r="B4" s="16">
        <v>101</v>
      </c>
      <c r="C4" s="17">
        <v>400</v>
      </c>
      <c r="D4" s="18">
        <v>0.5</v>
      </c>
      <c r="E4" s="19">
        <f>C4*(1+D4)</f>
        <v>600</v>
      </c>
      <c r="F4" s="18">
        <v>0.15</v>
      </c>
      <c r="G4" s="19">
        <f>E4*(1-F4)</f>
        <v>510</v>
      </c>
      <c r="H4" s="19">
        <f>G4-C4</f>
        <v>110</v>
      </c>
      <c r="I4" s="20">
        <f>H4/G4</f>
        <v>0.21568627450980393</v>
      </c>
    </row>
    <row r="5" spans="1:9">
      <c r="A5" s="16" t="s">
        <v>10</v>
      </c>
      <c r="B5" s="16">
        <v>102</v>
      </c>
      <c r="C5" s="17">
        <v>457.7</v>
      </c>
      <c r="D5" s="18">
        <v>0.75</v>
      </c>
      <c r="E5" s="19">
        <f t="shared" ref="E5:E9" si="0">C5*(1+D5)</f>
        <v>800.97500000000002</v>
      </c>
      <c r="F5" s="18">
        <v>0.2</v>
      </c>
      <c r="G5" s="19">
        <f t="shared" ref="G5:G9" si="1">E5*(1-F5)</f>
        <v>640.78000000000009</v>
      </c>
      <c r="H5" s="19">
        <f t="shared" ref="H5:H9" si="2">G5-C5</f>
        <v>183.0800000000001</v>
      </c>
      <c r="I5" s="20">
        <f t="shared" ref="I5:I9" si="3">H5/G5</f>
        <v>0.28571428571428581</v>
      </c>
    </row>
    <row r="6" spans="1:9">
      <c r="A6" s="16" t="s">
        <v>11</v>
      </c>
      <c r="B6" s="16">
        <v>103</v>
      </c>
      <c r="C6" s="17">
        <v>68.75</v>
      </c>
      <c r="D6" s="18">
        <v>0.90500000000000003</v>
      </c>
      <c r="E6" s="19">
        <f t="shared" si="0"/>
        <v>130.96875</v>
      </c>
      <c r="F6" s="18">
        <v>0.1</v>
      </c>
      <c r="G6" s="19">
        <f t="shared" si="1"/>
        <v>117.871875</v>
      </c>
      <c r="H6" s="19">
        <f t="shared" si="2"/>
        <v>49.121875000000003</v>
      </c>
      <c r="I6" s="20">
        <f t="shared" si="3"/>
        <v>0.41673957421988922</v>
      </c>
    </row>
    <row r="7" spans="1:9">
      <c r="A7" s="16" t="s">
        <v>12</v>
      </c>
      <c r="B7" s="16">
        <v>104</v>
      </c>
      <c r="C7" s="17">
        <v>75</v>
      </c>
      <c r="D7" s="18">
        <v>1</v>
      </c>
      <c r="E7" s="19">
        <f t="shared" si="0"/>
        <v>150</v>
      </c>
      <c r="F7" s="18">
        <v>0.25</v>
      </c>
      <c r="G7" s="19">
        <f t="shared" si="1"/>
        <v>112.5</v>
      </c>
      <c r="H7" s="19">
        <f t="shared" si="2"/>
        <v>37.5</v>
      </c>
      <c r="I7" s="20">
        <f t="shared" si="3"/>
        <v>0.33333333333333331</v>
      </c>
    </row>
    <row r="8" spans="1:9">
      <c r="A8" s="16" t="s">
        <v>19</v>
      </c>
      <c r="B8" s="16">
        <v>105</v>
      </c>
      <c r="C8" s="17">
        <v>700</v>
      </c>
      <c r="D8" s="18">
        <v>1.857</v>
      </c>
      <c r="E8" s="19">
        <f t="shared" si="0"/>
        <v>1999.9</v>
      </c>
      <c r="F8" s="18">
        <v>0.3</v>
      </c>
      <c r="G8" s="19">
        <f t="shared" si="1"/>
        <v>1399.93</v>
      </c>
      <c r="H8" s="19">
        <f t="shared" si="2"/>
        <v>699.93000000000006</v>
      </c>
      <c r="I8" s="20">
        <f t="shared" si="3"/>
        <v>0.4999749987499375</v>
      </c>
    </row>
    <row r="9" spans="1:9">
      <c r="A9" s="16" t="s">
        <v>20</v>
      </c>
      <c r="B9" s="16">
        <v>106</v>
      </c>
      <c r="C9" s="17">
        <v>195</v>
      </c>
      <c r="D9" s="18">
        <v>0.83499999999999996</v>
      </c>
      <c r="E9" s="19">
        <f t="shared" si="0"/>
        <v>357.82499999999999</v>
      </c>
      <c r="F9" s="18">
        <v>0.1</v>
      </c>
      <c r="G9" s="19">
        <f t="shared" si="1"/>
        <v>322.04250000000002</v>
      </c>
      <c r="H9" s="19">
        <f t="shared" si="2"/>
        <v>127.04250000000002</v>
      </c>
      <c r="I9" s="20">
        <f t="shared" si="3"/>
        <v>0.39448985770511658</v>
      </c>
    </row>
    <row r="10" spans="1:9">
      <c r="A10" s="11"/>
      <c r="B10" s="11"/>
      <c r="C10" s="11"/>
      <c r="D10" s="11"/>
      <c r="E10" s="11"/>
      <c r="F10" s="21" t="s">
        <v>21</v>
      </c>
      <c r="G10" s="22">
        <f>SUM(G4:G9)</f>
        <v>3103.1243750000003</v>
      </c>
      <c r="H10" s="11"/>
      <c r="I10" s="11"/>
    </row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6" sqref="E6"/>
    </sheetView>
  </sheetViews>
  <sheetFormatPr defaultRowHeight="15"/>
  <cols>
    <col min="1" max="1" width="28.7109375" customWidth="1"/>
    <col min="2" max="2" width="10.85546875" customWidth="1"/>
    <col min="3" max="3" width="10.5703125" customWidth="1"/>
    <col min="4" max="4" width="10.28515625" customWidth="1"/>
    <col min="5" max="5" width="12.7109375" customWidth="1"/>
    <col min="6" max="6" width="12.5703125" customWidth="1"/>
  </cols>
  <sheetData>
    <row r="1" spans="1:6" ht="21">
      <c r="A1" s="97" t="s">
        <v>22</v>
      </c>
      <c r="B1" s="97"/>
      <c r="C1" s="97"/>
      <c r="D1" s="97"/>
      <c r="E1" s="97"/>
      <c r="F1" s="97"/>
    </row>
    <row r="3" spans="1:6">
      <c r="A3" s="24" t="s">
        <v>23</v>
      </c>
      <c r="B3" s="24" t="s">
        <v>24</v>
      </c>
      <c r="C3" s="24" t="s">
        <v>25</v>
      </c>
      <c r="D3" s="25" t="s">
        <v>26</v>
      </c>
      <c r="E3" s="24" t="s">
        <v>27</v>
      </c>
      <c r="F3" s="24" t="s">
        <v>28</v>
      </c>
    </row>
    <row r="4" spans="1:6">
      <c r="A4" s="1" t="s">
        <v>29</v>
      </c>
      <c r="B4" s="26">
        <v>1000</v>
      </c>
      <c r="C4" s="26">
        <v>800</v>
      </c>
      <c r="D4" s="26">
        <v>500</v>
      </c>
      <c r="E4" s="26">
        <v>0</v>
      </c>
      <c r="F4" s="27">
        <f>SUM(B4:E4)</f>
        <v>2300</v>
      </c>
    </row>
    <row r="5" spans="1:6">
      <c r="A5" s="1" t="s">
        <v>30</v>
      </c>
      <c r="B5" s="26">
        <v>900</v>
      </c>
      <c r="C5" s="26">
        <v>800</v>
      </c>
      <c r="D5" s="26">
        <v>550</v>
      </c>
      <c r="E5" s="26">
        <v>100</v>
      </c>
      <c r="F5" s="27">
        <f t="shared" ref="F5:F11" si="0">SUM(B5:E5)</f>
        <v>2350</v>
      </c>
    </row>
    <row r="6" spans="1:6">
      <c r="A6" s="1" t="s">
        <v>31</v>
      </c>
      <c r="B6" s="26">
        <v>750</v>
      </c>
      <c r="C6" s="26">
        <v>1300</v>
      </c>
      <c r="D6" s="26">
        <v>1000</v>
      </c>
      <c r="E6" s="26">
        <v>200</v>
      </c>
      <c r="F6" s="27">
        <f t="shared" si="0"/>
        <v>3250</v>
      </c>
    </row>
    <row r="7" spans="1:6">
      <c r="A7" s="1" t="s">
        <v>32</v>
      </c>
      <c r="B7" s="26">
        <v>1000</v>
      </c>
      <c r="C7" s="26">
        <v>1200</v>
      </c>
      <c r="D7" s="26">
        <v>1000</v>
      </c>
      <c r="E7" s="26">
        <v>150</v>
      </c>
      <c r="F7" s="27">
        <f t="shared" si="0"/>
        <v>3350</v>
      </c>
    </row>
    <row r="8" spans="1:6">
      <c r="A8" s="1" t="s">
        <v>33</v>
      </c>
      <c r="B8" s="26">
        <v>600</v>
      </c>
      <c r="C8" s="26">
        <v>900</v>
      </c>
      <c r="D8" s="26">
        <v>600</v>
      </c>
      <c r="E8" s="26">
        <v>300</v>
      </c>
      <c r="F8" s="27">
        <f t="shared" si="0"/>
        <v>2400</v>
      </c>
    </row>
    <row r="9" spans="1:6">
      <c r="A9" s="1" t="s">
        <v>34</v>
      </c>
      <c r="B9" s="26">
        <v>400</v>
      </c>
      <c r="C9" s="26">
        <v>1500</v>
      </c>
      <c r="D9" s="26">
        <v>600</v>
      </c>
      <c r="E9" s="26">
        <v>250</v>
      </c>
      <c r="F9" s="27">
        <f t="shared" si="0"/>
        <v>2750</v>
      </c>
    </row>
    <row r="10" spans="1:6">
      <c r="A10" s="1" t="s">
        <v>35</v>
      </c>
      <c r="B10" s="26">
        <v>500</v>
      </c>
      <c r="C10" s="26">
        <v>1200</v>
      </c>
      <c r="D10" s="26">
        <v>750</v>
      </c>
      <c r="E10" s="26">
        <v>300</v>
      </c>
      <c r="F10" s="27">
        <f t="shared" si="0"/>
        <v>2750</v>
      </c>
    </row>
    <row r="11" spans="1:6">
      <c r="A11" s="1" t="s">
        <v>36</v>
      </c>
      <c r="B11" s="26">
        <v>50</v>
      </c>
      <c r="C11" s="26">
        <v>250</v>
      </c>
      <c r="D11" s="26">
        <v>800</v>
      </c>
      <c r="E11" s="26">
        <v>200</v>
      </c>
      <c r="F11" s="27">
        <f t="shared" si="0"/>
        <v>1300</v>
      </c>
    </row>
    <row r="12" spans="1:6">
      <c r="E12" t="s">
        <v>37</v>
      </c>
      <c r="F12" s="28">
        <f>SUM(F4:F11)</f>
        <v>20450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defaultRowHeight="15"/>
  <cols>
    <col min="1" max="1" width="26.28515625" bestFit="1" customWidth="1"/>
    <col min="2" max="2" width="9.5703125" customWidth="1"/>
    <col min="3" max="3" width="10" customWidth="1"/>
    <col min="4" max="4" width="9.42578125" customWidth="1"/>
  </cols>
  <sheetData>
    <row r="1" spans="1:4" ht="15.75">
      <c r="A1" s="98" t="s">
        <v>74</v>
      </c>
      <c r="B1" s="98"/>
      <c r="C1" s="98"/>
      <c r="D1" s="98"/>
    </row>
    <row r="2" spans="1:4" ht="16.5" thickBot="1">
      <c r="A2" s="36"/>
      <c r="B2" s="37" t="s">
        <v>75</v>
      </c>
      <c r="C2" s="37" t="s">
        <v>76</v>
      </c>
      <c r="D2" s="37" t="s">
        <v>77</v>
      </c>
    </row>
    <row r="3" spans="1:4" ht="15.75">
      <c r="A3" s="38" t="s">
        <v>78</v>
      </c>
      <c r="B3" s="39">
        <v>3.5</v>
      </c>
      <c r="C3" s="39">
        <v>3.92</v>
      </c>
      <c r="D3" s="40">
        <v>4</v>
      </c>
    </row>
    <row r="4" spans="1:4" ht="15.75">
      <c r="A4" s="41" t="s">
        <v>79</v>
      </c>
      <c r="B4" s="42">
        <v>1.99</v>
      </c>
      <c r="C4" s="42">
        <v>3.29</v>
      </c>
      <c r="D4" s="43">
        <v>4.1500000000000004</v>
      </c>
    </row>
    <row r="5" spans="1:4" ht="15.75">
      <c r="A5" s="41" t="s">
        <v>80</v>
      </c>
      <c r="B5" s="42">
        <v>2.89</v>
      </c>
      <c r="C5" s="42">
        <v>3.59</v>
      </c>
      <c r="D5" s="43">
        <v>4.5</v>
      </c>
    </row>
    <row r="6" spans="1:4" ht="15.75">
      <c r="A6" s="41" t="s">
        <v>81</v>
      </c>
      <c r="B6" s="42">
        <v>3.19</v>
      </c>
      <c r="C6" s="42">
        <v>3.79</v>
      </c>
      <c r="D6" s="43">
        <v>5</v>
      </c>
    </row>
    <row r="7" spans="1:4" ht="15.75">
      <c r="A7" s="41" t="s">
        <v>82</v>
      </c>
      <c r="B7" s="42">
        <v>2.99</v>
      </c>
      <c r="C7" s="42">
        <v>3.39</v>
      </c>
      <c r="D7" s="43">
        <v>4.25</v>
      </c>
    </row>
    <row r="8" spans="1:4" ht="15.75">
      <c r="A8" s="41" t="s">
        <v>83</v>
      </c>
      <c r="B8" s="42">
        <v>2.69</v>
      </c>
      <c r="C8" s="42">
        <v>3.29</v>
      </c>
      <c r="D8" s="43">
        <v>4.29</v>
      </c>
    </row>
    <row r="9" spans="1:4" ht="15.75">
      <c r="A9" s="41" t="s">
        <v>84</v>
      </c>
      <c r="B9" s="42">
        <v>1.89</v>
      </c>
      <c r="C9" s="42">
        <v>2.09</v>
      </c>
      <c r="D9" s="43">
        <v>3.5</v>
      </c>
    </row>
    <row r="10" spans="1:4" ht="15.75">
      <c r="A10" s="41" t="s">
        <v>85</v>
      </c>
      <c r="B10" s="42">
        <v>2.19</v>
      </c>
      <c r="C10" s="42"/>
      <c r="D10" s="43"/>
    </row>
    <row r="11" spans="1:4" ht="16.5" thickBot="1">
      <c r="A11" s="44" t="s">
        <v>86</v>
      </c>
      <c r="B11" s="45">
        <v>1.89</v>
      </c>
      <c r="C11" s="45"/>
      <c r="D11" s="46"/>
    </row>
    <row r="12" spans="1:4" ht="15.75">
      <c r="A12" s="47"/>
      <c r="B12" s="47"/>
      <c r="C12" s="47"/>
      <c r="D12" s="47"/>
    </row>
    <row r="13" spans="1:4" ht="15.75">
      <c r="A13" s="47"/>
      <c r="B13" s="47"/>
      <c r="C13" s="47"/>
      <c r="D13" s="47"/>
    </row>
    <row r="14" spans="1:4" ht="45">
      <c r="A14" s="51" t="s">
        <v>87</v>
      </c>
      <c r="B14" s="52" t="s">
        <v>88</v>
      </c>
      <c r="C14" s="52" t="s">
        <v>89</v>
      </c>
      <c r="D14" s="47"/>
    </row>
    <row r="15" spans="1:4" ht="15.75">
      <c r="A15" s="48" t="s">
        <v>82</v>
      </c>
      <c r="B15" s="49" t="s">
        <v>90</v>
      </c>
      <c r="C15" s="50">
        <f>VLOOKUP(A15,A3:D11,IF(B15="S",1,IF(B15="M",2,3)),0)</f>
        <v>2.99</v>
      </c>
      <c r="D15" s="47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6" sqref="H6"/>
    </sheetView>
  </sheetViews>
  <sheetFormatPr defaultRowHeight="15"/>
  <cols>
    <col min="1" max="1" width="4.42578125" customWidth="1"/>
    <col min="2" max="2" width="4" bestFit="1" customWidth="1"/>
    <col min="3" max="3" width="19.5703125" customWidth="1"/>
    <col min="4" max="4" width="7.7109375" customWidth="1"/>
    <col min="5" max="5" width="18.28515625" customWidth="1"/>
    <col min="8" max="8" width="15.7109375" bestFit="1" customWidth="1"/>
  </cols>
  <sheetData>
    <row r="1" spans="1:1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>
      <c r="A3" s="29"/>
      <c r="B3" s="30" t="s">
        <v>38</v>
      </c>
      <c r="C3" s="30" t="s">
        <v>39</v>
      </c>
      <c r="D3" s="30" t="s">
        <v>40</v>
      </c>
      <c r="E3" s="30" t="s">
        <v>41</v>
      </c>
      <c r="F3" s="29"/>
      <c r="G3" s="30" t="s">
        <v>38</v>
      </c>
      <c r="H3" s="31">
        <v>357</v>
      </c>
      <c r="I3" s="32"/>
      <c r="J3" s="32" t="s">
        <v>42</v>
      </c>
      <c r="K3" s="32"/>
      <c r="L3" s="32"/>
      <c r="M3" s="32"/>
    </row>
    <row r="4" spans="1:13" ht="15" customHeight="1">
      <c r="A4" s="29"/>
      <c r="B4" s="33">
        <v>231</v>
      </c>
      <c r="C4" s="33" t="s">
        <v>43</v>
      </c>
      <c r="D4" s="33" t="s">
        <v>44</v>
      </c>
      <c r="E4" s="33" t="s">
        <v>45</v>
      </c>
      <c r="F4" s="29"/>
      <c r="G4" s="30" t="s">
        <v>39</v>
      </c>
      <c r="H4" s="34" t="str">
        <f>VLOOKUP(H3,B4:C13,2,0)</f>
        <v>Lê Thị Hồng</v>
      </c>
      <c r="I4" s="35"/>
      <c r="J4" s="99" t="s">
        <v>46</v>
      </c>
      <c r="K4" s="99"/>
      <c r="L4" s="99"/>
      <c r="M4" s="99"/>
    </row>
    <row r="5" spans="1:13">
      <c r="A5" s="29"/>
      <c r="B5" s="33">
        <v>435</v>
      </c>
      <c r="C5" s="33" t="s">
        <v>47</v>
      </c>
      <c r="D5" s="33" t="s">
        <v>48</v>
      </c>
      <c r="E5" s="33" t="s">
        <v>49</v>
      </c>
      <c r="F5" s="29"/>
      <c r="G5" s="30" t="s">
        <v>40</v>
      </c>
      <c r="H5" s="34" t="str">
        <f>VLOOKUP(H3,B4:D13,3,0)</f>
        <v>Giang</v>
      </c>
      <c r="I5" s="35"/>
      <c r="J5" s="99"/>
      <c r="K5" s="99"/>
      <c r="L5" s="99"/>
      <c r="M5" s="99"/>
    </row>
    <row r="6" spans="1:13">
      <c r="A6" s="29"/>
      <c r="B6" s="33">
        <v>238</v>
      </c>
      <c r="C6" s="33" t="s">
        <v>50</v>
      </c>
      <c r="D6" s="33" t="s">
        <v>51</v>
      </c>
      <c r="E6" s="33" t="s">
        <v>52</v>
      </c>
      <c r="F6" s="29"/>
      <c r="G6" s="30" t="s">
        <v>41</v>
      </c>
      <c r="H6" s="34" t="str">
        <f>VLOOKUP(H3,B4:E13,4,0)</f>
        <v>l.giang@sin.com</v>
      </c>
      <c r="I6" s="35"/>
      <c r="J6" s="99"/>
      <c r="K6" s="99"/>
      <c r="L6" s="99"/>
      <c r="M6" s="99"/>
    </row>
    <row r="7" spans="1:13">
      <c r="A7" s="29"/>
      <c r="B7" s="33">
        <v>357</v>
      </c>
      <c r="C7" s="33" t="s">
        <v>53</v>
      </c>
      <c r="D7" s="33" t="s">
        <v>54</v>
      </c>
      <c r="E7" s="33" t="s">
        <v>55</v>
      </c>
      <c r="F7" s="29"/>
      <c r="G7" s="29"/>
      <c r="H7" s="29"/>
      <c r="I7" s="29"/>
      <c r="J7" s="29"/>
      <c r="K7" s="29"/>
      <c r="L7" s="29"/>
      <c r="M7" s="29"/>
    </row>
    <row r="8" spans="1:13">
      <c r="A8" s="29"/>
      <c r="B8" s="33">
        <v>653</v>
      </c>
      <c r="C8" s="33" t="s">
        <v>56</v>
      </c>
      <c r="D8" s="33" t="s">
        <v>57</v>
      </c>
      <c r="E8" s="33" t="s">
        <v>58</v>
      </c>
      <c r="F8" s="29"/>
      <c r="G8" s="29"/>
      <c r="H8" s="29"/>
      <c r="I8" s="29"/>
      <c r="J8" s="29"/>
      <c r="K8" s="29"/>
      <c r="L8" s="29"/>
      <c r="M8" s="29"/>
    </row>
    <row r="9" spans="1:13">
      <c r="A9" s="29"/>
      <c r="B9" s="33">
        <v>986</v>
      </c>
      <c r="C9" s="33" t="s">
        <v>59</v>
      </c>
      <c r="D9" s="33" t="s">
        <v>60</v>
      </c>
      <c r="E9" s="33" t="s">
        <v>61</v>
      </c>
      <c r="F9" s="29"/>
      <c r="G9" s="29"/>
      <c r="H9" s="29"/>
      <c r="I9" s="29"/>
      <c r="J9" s="29"/>
      <c r="K9" s="29"/>
      <c r="L9" s="29"/>
      <c r="M9" s="29"/>
    </row>
    <row r="10" spans="1:13">
      <c r="A10" s="29"/>
      <c r="B10" s="33">
        <v>154</v>
      </c>
      <c r="C10" s="33" t="s">
        <v>62</v>
      </c>
      <c r="D10" s="33" t="s">
        <v>63</v>
      </c>
      <c r="E10" s="33" t="s">
        <v>64</v>
      </c>
      <c r="F10" s="29"/>
      <c r="G10" s="29"/>
      <c r="H10" s="29"/>
      <c r="I10" s="29"/>
      <c r="J10" s="29"/>
      <c r="K10" s="29"/>
      <c r="L10" s="29"/>
      <c r="M10" s="29"/>
    </row>
    <row r="11" spans="1:13">
      <c r="A11" s="29"/>
      <c r="B11" s="33">
        <v>908</v>
      </c>
      <c r="C11" s="33" t="s">
        <v>65</v>
      </c>
      <c r="D11" s="33" t="s">
        <v>66</v>
      </c>
      <c r="E11" s="33" t="s">
        <v>67</v>
      </c>
      <c r="F11" s="29"/>
      <c r="G11" s="29"/>
      <c r="H11" s="29"/>
      <c r="I11" s="29"/>
      <c r="J11" s="29"/>
      <c r="K11" s="29"/>
      <c r="L11" s="29"/>
      <c r="M11" s="29"/>
    </row>
    <row r="12" spans="1:13">
      <c r="A12" s="29"/>
      <c r="B12" s="33">
        <v>457</v>
      </c>
      <c r="C12" s="33" t="s">
        <v>68</v>
      </c>
      <c r="D12" s="33" t="s">
        <v>69</v>
      </c>
      <c r="E12" s="33" t="s">
        <v>70</v>
      </c>
      <c r="F12" s="29"/>
      <c r="G12" s="29"/>
      <c r="H12" s="29"/>
      <c r="I12" s="29"/>
      <c r="J12" s="29"/>
      <c r="K12" s="29"/>
      <c r="L12" s="29"/>
      <c r="M12" s="29"/>
    </row>
    <row r="13" spans="1:13">
      <c r="A13" s="29"/>
      <c r="B13" s="33">
        <v>208</v>
      </c>
      <c r="C13" s="33" t="s">
        <v>71</v>
      </c>
      <c r="D13" s="33" t="s">
        <v>72</v>
      </c>
      <c r="E13" s="33" t="s">
        <v>73</v>
      </c>
      <c r="F13" s="29"/>
      <c r="G13" s="29"/>
      <c r="H13" s="29"/>
      <c r="I13" s="29"/>
      <c r="J13" s="29"/>
      <c r="K13" s="29"/>
      <c r="L13" s="29"/>
      <c r="M13" s="29"/>
    </row>
  </sheetData>
  <mergeCells count="1">
    <mergeCell ref="J4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workbookViewId="0">
      <selection activeCell="F20" sqref="F20"/>
    </sheetView>
  </sheetViews>
  <sheetFormatPr defaultRowHeight="15"/>
  <cols>
    <col min="4" max="4" width="12" customWidth="1"/>
    <col min="5" max="5" width="11.28515625" customWidth="1"/>
    <col min="6" max="6" width="14" customWidth="1"/>
  </cols>
  <sheetData>
    <row r="1" spans="1:6" ht="26.25">
      <c r="A1" s="100" t="s">
        <v>91</v>
      </c>
      <c r="B1" s="101"/>
      <c r="C1" s="101"/>
      <c r="D1" s="101"/>
      <c r="E1" s="101"/>
      <c r="F1" s="102"/>
    </row>
    <row r="2" spans="1:6" ht="15.75">
      <c r="A2" s="103" t="s">
        <v>92</v>
      </c>
      <c r="B2" s="104"/>
      <c r="C2" s="104"/>
      <c r="D2" s="104"/>
      <c r="E2" s="104"/>
      <c r="F2" s="105"/>
    </row>
    <row r="3" spans="1:6" ht="15.75">
      <c r="A3" s="53"/>
      <c r="B3" s="53"/>
      <c r="C3" s="53"/>
      <c r="D3" s="53"/>
      <c r="E3" s="53"/>
      <c r="F3" s="53"/>
    </row>
    <row r="4" spans="1:6" ht="63">
      <c r="A4" s="54" t="s">
        <v>93</v>
      </c>
      <c r="B4" s="54" t="s">
        <v>94</v>
      </c>
      <c r="C4" s="54" t="s">
        <v>95</v>
      </c>
      <c r="D4" s="54" t="s">
        <v>96</v>
      </c>
      <c r="E4" s="54" t="s">
        <v>97</v>
      </c>
      <c r="F4" s="54" t="s">
        <v>98</v>
      </c>
    </row>
    <row r="5" spans="1:6" ht="15.75">
      <c r="A5" s="53">
        <v>7276</v>
      </c>
      <c r="B5" s="55" t="s">
        <v>99</v>
      </c>
      <c r="C5" s="55">
        <v>4</v>
      </c>
      <c r="D5" s="56">
        <v>90212</v>
      </c>
      <c r="E5" s="57">
        <f t="shared" ref="E5:E6" si="0">IF(C5=0,50,IF(C5=1,125,IF(C5=2,250,IF(C5=3,325,500))))</f>
        <v>500</v>
      </c>
      <c r="F5" s="58">
        <f>IF(AND(B5="FT", C5&gt;=1),( D5-E5)*7%,(D5-E5)*5%)</f>
        <v>6279.84</v>
      </c>
    </row>
    <row r="6" spans="1:6" ht="15.75">
      <c r="A6" s="53">
        <v>9858</v>
      </c>
      <c r="B6" s="55" t="s">
        <v>100</v>
      </c>
      <c r="C6" s="55">
        <v>2</v>
      </c>
      <c r="D6" s="56">
        <v>18984</v>
      </c>
      <c r="E6" s="57">
        <f t="shared" si="0"/>
        <v>250</v>
      </c>
      <c r="F6" s="58">
        <f t="shared" ref="F6:F34" si="1">IF(AND(B6="FT", C6&gt;=1),( D6-E6)*7%,(D6-E6)*5%)</f>
        <v>936.7</v>
      </c>
    </row>
    <row r="7" spans="1:6" ht="15.75">
      <c r="A7" s="53">
        <v>8936</v>
      </c>
      <c r="B7" s="55" t="s">
        <v>99</v>
      </c>
      <c r="C7" s="55">
        <v>4</v>
      </c>
      <c r="D7" s="56">
        <v>42906</v>
      </c>
      <c r="E7" s="57">
        <f>IF(C7=0,50,IF(C7=1,125,IF(C7=2,250,IF(C7=3,325,500))))</f>
        <v>500</v>
      </c>
      <c r="F7" s="58">
        <f t="shared" si="1"/>
        <v>2968.42</v>
      </c>
    </row>
    <row r="8" spans="1:6" ht="15.75">
      <c r="A8" s="53">
        <v>6881</v>
      </c>
      <c r="B8" s="55" t="s">
        <v>99</v>
      </c>
      <c r="C8" s="55">
        <v>5</v>
      </c>
      <c r="D8" s="56">
        <v>37191</v>
      </c>
      <c r="E8" s="57">
        <f t="shared" ref="E8:E34" si="2">IF(C8=0,50,IF(C8=1,125,IF(C8=2,250,IF(C8=3,325,500))))</f>
        <v>500</v>
      </c>
      <c r="F8" s="58">
        <f t="shared" si="1"/>
        <v>2568.3700000000003</v>
      </c>
    </row>
    <row r="9" spans="1:6" ht="15.75">
      <c r="A9" s="53">
        <v>3852</v>
      </c>
      <c r="B9" s="55" t="s">
        <v>99</v>
      </c>
      <c r="C9" s="55">
        <v>1</v>
      </c>
      <c r="D9" s="56">
        <v>52528</v>
      </c>
      <c r="E9" s="57">
        <f t="shared" si="2"/>
        <v>125</v>
      </c>
      <c r="F9" s="58">
        <f t="shared" si="1"/>
        <v>3668.2100000000005</v>
      </c>
    </row>
    <row r="10" spans="1:6" ht="15.75">
      <c r="A10" s="53">
        <v>6580</v>
      </c>
      <c r="B10" s="55" t="s">
        <v>100</v>
      </c>
      <c r="C10" s="55">
        <v>5</v>
      </c>
      <c r="D10" s="56">
        <v>17126</v>
      </c>
      <c r="E10" s="57">
        <f t="shared" si="2"/>
        <v>500</v>
      </c>
      <c r="F10" s="58">
        <f>IF(AND(B10="FT", C10&gt;=1),( D10-E10)*7%,(D10-E10)*5%)</f>
        <v>831.30000000000007</v>
      </c>
    </row>
    <row r="11" spans="1:6" ht="15.75">
      <c r="A11" s="53">
        <v>4772</v>
      </c>
      <c r="B11" s="55" t="s">
        <v>99</v>
      </c>
      <c r="C11" s="55">
        <v>0</v>
      </c>
      <c r="D11" s="56">
        <v>94101</v>
      </c>
      <c r="E11" s="57">
        <f t="shared" si="2"/>
        <v>50</v>
      </c>
      <c r="F11" s="58">
        <f t="shared" si="1"/>
        <v>4702.55</v>
      </c>
    </row>
    <row r="12" spans="1:6" ht="15.75">
      <c r="A12" s="53">
        <v>4296</v>
      </c>
      <c r="B12" s="55" t="s">
        <v>100</v>
      </c>
      <c r="C12" s="55">
        <v>3</v>
      </c>
      <c r="D12" s="56">
        <v>12471</v>
      </c>
      <c r="E12" s="57">
        <f t="shared" si="2"/>
        <v>325</v>
      </c>
      <c r="F12" s="58">
        <f t="shared" si="1"/>
        <v>607.30000000000007</v>
      </c>
    </row>
    <row r="13" spans="1:6" ht="15.75">
      <c r="A13" s="53">
        <v>8884</v>
      </c>
      <c r="B13" s="55" t="s">
        <v>99</v>
      </c>
      <c r="C13" s="55">
        <v>4</v>
      </c>
      <c r="D13" s="56">
        <v>67132</v>
      </c>
      <c r="E13" s="57">
        <f t="shared" si="2"/>
        <v>500</v>
      </c>
      <c r="F13" s="58">
        <f t="shared" si="1"/>
        <v>4664.2400000000007</v>
      </c>
    </row>
    <row r="14" spans="1:6" ht="15.75">
      <c r="A14" s="53">
        <v>9916</v>
      </c>
      <c r="B14" s="55" t="s">
        <v>99</v>
      </c>
      <c r="C14" s="55">
        <v>5</v>
      </c>
      <c r="D14" s="56">
        <v>88604</v>
      </c>
      <c r="E14" s="57">
        <f t="shared" si="2"/>
        <v>500</v>
      </c>
      <c r="F14" s="58">
        <f t="shared" si="1"/>
        <v>6167.2800000000007</v>
      </c>
    </row>
    <row r="15" spans="1:6" ht="15.75">
      <c r="A15" s="53">
        <v>5803</v>
      </c>
      <c r="B15" s="55" t="s">
        <v>99</v>
      </c>
      <c r="C15" s="55">
        <v>4</v>
      </c>
      <c r="D15" s="56">
        <v>55680</v>
      </c>
      <c r="E15" s="57">
        <f t="shared" si="2"/>
        <v>500</v>
      </c>
      <c r="F15" s="58">
        <f t="shared" si="1"/>
        <v>3862.6000000000004</v>
      </c>
    </row>
    <row r="16" spans="1:6" ht="15.75">
      <c r="A16" s="53">
        <v>8708</v>
      </c>
      <c r="B16" s="55" t="s">
        <v>99</v>
      </c>
      <c r="C16" s="55">
        <v>1</v>
      </c>
      <c r="D16" s="56">
        <v>98869</v>
      </c>
      <c r="E16" s="57">
        <f t="shared" si="2"/>
        <v>125</v>
      </c>
      <c r="F16" s="58">
        <f t="shared" si="1"/>
        <v>6912.0800000000008</v>
      </c>
    </row>
    <row r="17" spans="1:6" ht="15.75">
      <c r="A17" s="53">
        <v>5565</v>
      </c>
      <c r="B17" s="55" t="s">
        <v>100</v>
      </c>
      <c r="C17" s="55">
        <v>1</v>
      </c>
      <c r="D17" s="56">
        <v>11994</v>
      </c>
      <c r="E17" s="57">
        <f t="shared" si="2"/>
        <v>125</v>
      </c>
      <c r="F17" s="58">
        <f t="shared" si="1"/>
        <v>593.45000000000005</v>
      </c>
    </row>
    <row r="18" spans="1:6" ht="15.75">
      <c r="A18" s="53">
        <v>6142</v>
      </c>
      <c r="B18" s="55" t="s">
        <v>100</v>
      </c>
      <c r="C18" s="55">
        <v>0</v>
      </c>
      <c r="D18" s="56">
        <v>17957</v>
      </c>
      <c r="E18" s="57">
        <f t="shared" si="2"/>
        <v>50</v>
      </c>
      <c r="F18" s="58">
        <f t="shared" si="1"/>
        <v>895.35</v>
      </c>
    </row>
    <row r="19" spans="1:6" ht="15.75">
      <c r="A19" s="53">
        <v>8164</v>
      </c>
      <c r="B19" s="55" t="s">
        <v>99</v>
      </c>
      <c r="C19" s="55">
        <v>2</v>
      </c>
      <c r="D19" s="56">
        <v>66693</v>
      </c>
      <c r="E19" s="57">
        <f t="shared" si="2"/>
        <v>250</v>
      </c>
      <c r="F19" s="58">
        <f t="shared" si="1"/>
        <v>4651.01</v>
      </c>
    </row>
    <row r="20" spans="1:6" ht="15.75">
      <c r="A20" s="53">
        <v>4338</v>
      </c>
      <c r="B20" s="55" t="s">
        <v>99</v>
      </c>
      <c r="C20" s="55">
        <v>1</v>
      </c>
      <c r="D20" s="56">
        <v>84432</v>
      </c>
      <c r="E20" s="57">
        <f t="shared" si="2"/>
        <v>125</v>
      </c>
      <c r="F20" s="58">
        <f t="shared" si="1"/>
        <v>5901.4900000000007</v>
      </c>
    </row>
    <row r="21" spans="1:6" ht="15.75">
      <c r="A21" s="53">
        <v>5833</v>
      </c>
      <c r="B21" s="55" t="s">
        <v>100</v>
      </c>
      <c r="C21" s="55">
        <v>5</v>
      </c>
      <c r="D21" s="56">
        <v>18994</v>
      </c>
      <c r="E21" s="57">
        <f t="shared" si="2"/>
        <v>500</v>
      </c>
      <c r="F21" s="58">
        <f t="shared" si="1"/>
        <v>924.7</v>
      </c>
    </row>
    <row r="22" spans="1:6" ht="15.75">
      <c r="A22" s="53">
        <v>6060</v>
      </c>
      <c r="B22" s="55" t="s">
        <v>99</v>
      </c>
      <c r="C22" s="55">
        <v>4</v>
      </c>
      <c r="D22" s="56">
        <v>65648</v>
      </c>
      <c r="E22" s="57">
        <f t="shared" si="2"/>
        <v>500</v>
      </c>
      <c r="F22" s="58">
        <f t="shared" si="1"/>
        <v>4560.3600000000006</v>
      </c>
    </row>
    <row r="23" spans="1:6" ht="15.75">
      <c r="A23" s="53">
        <v>2559</v>
      </c>
      <c r="B23" s="55" t="s">
        <v>100</v>
      </c>
      <c r="C23" s="55">
        <v>4</v>
      </c>
      <c r="D23" s="56">
        <v>18835</v>
      </c>
      <c r="E23" s="57">
        <f t="shared" si="2"/>
        <v>500</v>
      </c>
      <c r="F23" s="58">
        <f t="shared" si="1"/>
        <v>916.75</v>
      </c>
    </row>
    <row r="24" spans="1:6" ht="15.75">
      <c r="A24" s="53">
        <v>5569</v>
      </c>
      <c r="B24" s="55" t="s">
        <v>100</v>
      </c>
      <c r="C24" s="55">
        <v>4</v>
      </c>
      <c r="D24" s="56">
        <v>15525</v>
      </c>
      <c r="E24" s="57">
        <f t="shared" si="2"/>
        <v>500</v>
      </c>
      <c r="F24" s="58">
        <f t="shared" si="1"/>
        <v>751.25</v>
      </c>
    </row>
    <row r="25" spans="1:6" ht="15.75">
      <c r="A25" s="53">
        <v>3488</v>
      </c>
      <c r="B25" s="55" t="s">
        <v>100</v>
      </c>
      <c r="C25" s="55">
        <v>1</v>
      </c>
      <c r="D25" s="56">
        <v>15861</v>
      </c>
      <c r="E25" s="57">
        <f t="shared" si="2"/>
        <v>125</v>
      </c>
      <c r="F25" s="58">
        <f t="shared" si="1"/>
        <v>786.80000000000007</v>
      </c>
    </row>
    <row r="26" spans="1:6" ht="15.75">
      <c r="A26" s="53">
        <v>7353</v>
      </c>
      <c r="B26" s="55" t="s">
        <v>100</v>
      </c>
      <c r="C26" s="55">
        <v>4</v>
      </c>
      <c r="D26" s="56">
        <v>16173</v>
      </c>
      <c r="E26" s="57">
        <f t="shared" si="2"/>
        <v>500</v>
      </c>
      <c r="F26" s="58">
        <f t="shared" si="1"/>
        <v>783.65000000000009</v>
      </c>
    </row>
    <row r="27" spans="1:6" ht="15.75">
      <c r="A27" s="53">
        <v>4990</v>
      </c>
      <c r="B27" s="55" t="s">
        <v>100</v>
      </c>
      <c r="C27" s="55">
        <v>1</v>
      </c>
      <c r="D27" s="56">
        <v>9893</v>
      </c>
      <c r="E27" s="57">
        <f t="shared" si="2"/>
        <v>125</v>
      </c>
      <c r="F27" s="58">
        <f t="shared" si="1"/>
        <v>488.40000000000003</v>
      </c>
    </row>
    <row r="28" spans="1:6" ht="15.75">
      <c r="A28" s="53">
        <v>4785</v>
      </c>
      <c r="B28" s="55" t="s">
        <v>100</v>
      </c>
      <c r="C28" s="55">
        <v>5</v>
      </c>
      <c r="D28" s="56">
        <v>17081</v>
      </c>
      <c r="E28" s="57">
        <f t="shared" si="2"/>
        <v>500</v>
      </c>
      <c r="F28" s="58">
        <f t="shared" si="1"/>
        <v>829.05000000000007</v>
      </c>
    </row>
    <row r="29" spans="1:6" ht="15.75">
      <c r="A29" s="53">
        <v>3040</v>
      </c>
      <c r="B29" s="55" t="s">
        <v>99</v>
      </c>
      <c r="C29" s="55">
        <v>1</v>
      </c>
      <c r="D29" s="56">
        <v>39364</v>
      </c>
      <c r="E29" s="57">
        <f t="shared" si="2"/>
        <v>125</v>
      </c>
      <c r="F29" s="58">
        <f t="shared" si="1"/>
        <v>2746.7300000000005</v>
      </c>
    </row>
    <row r="30" spans="1:6" ht="15.75">
      <c r="A30" s="53">
        <v>8087</v>
      </c>
      <c r="B30" s="55" t="s">
        <v>100</v>
      </c>
      <c r="C30" s="55">
        <v>4</v>
      </c>
      <c r="D30" s="56">
        <v>19306</v>
      </c>
      <c r="E30" s="57">
        <f t="shared" si="2"/>
        <v>500</v>
      </c>
      <c r="F30" s="58">
        <f t="shared" si="1"/>
        <v>940.30000000000007</v>
      </c>
    </row>
    <row r="31" spans="1:6" ht="15.75">
      <c r="A31" s="53">
        <v>4474</v>
      </c>
      <c r="B31" s="55" t="s">
        <v>100</v>
      </c>
      <c r="C31" s="55">
        <v>0</v>
      </c>
      <c r="D31" s="56">
        <v>9933</v>
      </c>
      <c r="E31" s="57">
        <f t="shared" si="2"/>
        <v>50</v>
      </c>
      <c r="F31" s="58">
        <f t="shared" si="1"/>
        <v>494.15000000000003</v>
      </c>
    </row>
    <row r="32" spans="1:6" ht="15.75">
      <c r="A32" s="53">
        <v>4251</v>
      </c>
      <c r="B32" s="55" t="s">
        <v>100</v>
      </c>
      <c r="C32" s="55">
        <v>4</v>
      </c>
      <c r="D32" s="56">
        <v>16707</v>
      </c>
      <c r="E32" s="57">
        <f t="shared" si="2"/>
        <v>500</v>
      </c>
      <c r="F32" s="58">
        <f t="shared" si="1"/>
        <v>810.35</v>
      </c>
    </row>
    <row r="33" spans="1:6" ht="15.75">
      <c r="A33" s="53">
        <v>5324</v>
      </c>
      <c r="B33" s="55" t="s">
        <v>100</v>
      </c>
      <c r="C33" s="55">
        <v>5</v>
      </c>
      <c r="D33" s="56">
        <v>13665</v>
      </c>
      <c r="E33" s="57">
        <f t="shared" si="2"/>
        <v>500</v>
      </c>
      <c r="F33" s="58">
        <f t="shared" si="1"/>
        <v>658.25</v>
      </c>
    </row>
    <row r="34" spans="1:6" ht="15.75">
      <c r="A34" s="53">
        <v>3123</v>
      </c>
      <c r="B34" s="55" t="s">
        <v>100</v>
      </c>
      <c r="C34" s="55">
        <v>0</v>
      </c>
      <c r="D34" s="56">
        <v>7688</v>
      </c>
      <c r="E34" s="57">
        <f t="shared" si="2"/>
        <v>50</v>
      </c>
      <c r="F34" s="58">
        <f t="shared" si="1"/>
        <v>381.90000000000003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4" sqref="J14"/>
    </sheetView>
  </sheetViews>
  <sheetFormatPr defaultRowHeight="15"/>
  <cols>
    <col min="2" max="2" width="19.140625" bestFit="1" customWidth="1"/>
    <col min="8" max="8" width="10.28515625" bestFit="1" customWidth="1"/>
    <col min="10" max="10" width="15.28515625" bestFit="1" customWidth="1"/>
    <col min="11" max="11" width="5.85546875" bestFit="1" customWidth="1"/>
  </cols>
  <sheetData>
    <row r="1" spans="1:11" ht="26.25">
      <c r="A1" s="106" t="s">
        <v>101</v>
      </c>
      <c r="B1" s="107"/>
      <c r="C1" s="107"/>
      <c r="D1" s="107"/>
      <c r="E1" s="107"/>
      <c r="F1" s="107"/>
      <c r="G1" s="107"/>
      <c r="H1" s="108"/>
    </row>
    <row r="2" spans="1:11">
      <c r="A2" s="59"/>
      <c r="B2" s="60"/>
      <c r="C2" s="60"/>
      <c r="D2" s="60"/>
      <c r="E2" s="60"/>
      <c r="F2" s="60"/>
      <c r="G2" s="60"/>
      <c r="H2" s="23"/>
    </row>
    <row r="3" spans="1:11" ht="45">
      <c r="A3" s="61" t="s">
        <v>102</v>
      </c>
      <c r="B3" s="61" t="s">
        <v>103</v>
      </c>
      <c r="C3" s="61" t="s">
        <v>104</v>
      </c>
      <c r="D3" s="62" t="s">
        <v>105</v>
      </c>
      <c r="E3" s="62" t="s">
        <v>106</v>
      </c>
      <c r="F3" s="61" t="s">
        <v>107</v>
      </c>
      <c r="G3" s="61" t="s">
        <v>108</v>
      </c>
      <c r="H3" s="61" t="s">
        <v>109</v>
      </c>
      <c r="J3" s="109" t="s">
        <v>110</v>
      </c>
      <c r="K3" s="110"/>
    </row>
    <row r="4" spans="1:11">
      <c r="A4" s="63">
        <v>50100</v>
      </c>
      <c r="B4" s="64" t="s">
        <v>43</v>
      </c>
      <c r="C4" s="64" t="s">
        <v>44</v>
      </c>
      <c r="D4" s="64">
        <v>7.5</v>
      </c>
      <c r="E4" s="64">
        <v>7</v>
      </c>
      <c r="F4" s="64">
        <f>ROUND(D4*40%+E4*60%,0)</f>
        <v>7</v>
      </c>
      <c r="G4" s="64" t="str">
        <f>IF(F4&gt;=5,"Đạt","Rớt")</f>
        <v>Đạt</v>
      </c>
      <c r="H4" s="64" t="str">
        <f>IF(F4&gt;=8,"Giỏi",IF(F4&gt;=7,"Khá",IF(F4&gt;=5,"Trung bình","Kém")))</f>
        <v>Khá</v>
      </c>
      <c r="J4" s="64" t="s">
        <v>111</v>
      </c>
      <c r="K4" s="64">
        <f>MAX(F4:F13)</f>
        <v>10</v>
      </c>
    </row>
    <row r="5" spans="1:11">
      <c r="A5" s="63">
        <v>40320</v>
      </c>
      <c r="B5" s="64" t="s">
        <v>47</v>
      </c>
      <c r="C5" s="64" t="s">
        <v>48</v>
      </c>
      <c r="D5" s="64">
        <v>6.5</v>
      </c>
      <c r="E5" s="64">
        <v>8</v>
      </c>
      <c r="F5" s="64">
        <f t="shared" ref="F5:F13" si="0">ROUND(D5*40%+E5*60%,0)</f>
        <v>7</v>
      </c>
      <c r="G5" s="64" t="str">
        <f t="shared" ref="G5:G13" si="1">IF(F5&gt;=5,"Đạt","Rớt")</f>
        <v>Đạt</v>
      </c>
      <c r="H5" s="64" t="str">
        <f t="shared" ref="H5:H13" si="2">IF(F5&gt;=8,"Giỏi",IF(F5&gt;=7,"Khá",IF(F5&gt;=5,"Trung bình","Kém")))</f>
        <v>Khá</v>
      </c>
      <c r="J5" s="64" t="s">
        <v>112</v>
      </c>
      <c r="K5" s="64">
        <f>MIN(F4:F13)</f>
        <v>4</v>
      </c>
    </row>
    <row r="6" spans="1:11">
      <c r="A6" s="63">
        <v>50100</v>
      </c>
      <c r="B6" s="64" t="s">
        <v>50</v>
      </c>
      <c r="C6" s="64" t="s">
        <v>51</v>
      </c>
      <c r="D6" s="64">
        <v>4</v>
      </c>
      <c r="E6" s="64">
        <v>3.5</v>
      </c>
      <c r="F6" s="64">
        <f t="shared" si="0"/>
        <v>4</v>
      </c>
      <c r="G6" s="64" t="str">
        <f t="shared" si="1"/>
        <v>Rớt</v>
      </c>
      <c r="H6" s="64" t="str">
        <f t="shared" si="2"/>
        <v>Kém</v>
      </c>
      <c r="J6" s="64" t="s">
        <v>113</v>
      </c>
      <c r="K6" s="64">
        <f>AVERAGE(F4:F13)</f>
        <v>6.9</v>
      </c>
    </row>
    <row r="7" spans="1:11">
      <c r="A7" s="63">
        <v>50100</v>
      </c>
      <c r="B7" s="64" t="s">
        <v>114</v>
      </c>
      <c r="C7" s="64" t="s">
        <v>54</v>
      </c>
      <c r="D7" s="64">
        <v>7.2</v>
      </c>
      <c r="E7" s="64">
        <v>8</v>
      </c>
      <c r="F7" s="64">
        <f t="shared" si="0"/>
        <v>8</v>
      </c>
      <c r="G7" s="64" t="str">
        <f t="shared" si="1"/>
        <v>Đạt</v>
      </c>
      <c r="H7" s="64" t="str">
        <f t="shared" si="2"/>
        <v>Giỏi</v>
      </c>
      <c r="J7" s="64" t="s">
        <v>115</v>
      </c>
      <c r="K7" s="64">
        <f>COUNTIF($H$4:$H$13,"Giỏi")</f>
        <v>3</v>
      </c>
    </row>
    <row r="8" spans="1:11">
      <c r="A8" s="63">
        <v>10200</v>
      </c>
      <c r="B8" s="64" t="s">
        <v>56</v>
      </c>
      <c r="C8" s="64" t="s">
        <v>57</v>
      </c>
      <c r="D8" s="64">
        <v>5</v>
      </c>
      <c r="E8" s="64">
        <v>7.2</v>
      </c>
      <c r="F8" s="64">
        <f t="shared" si="0"/>
        <v>6</v>
      </c>
      <c r="G8" s="64" t="str">
        <f t="shared" si="1"/>
        <v>Đạt</v>
      </c>
      <c r="H8" s="64" t="str">
        <f t="shared" si="2"/>
        <v>Trung bình</v>
      </c>
      <c r="J8" s="64" t="s">
        <v>116</v>
      </c>
      <c r="K8" s="64">
        <f>COUNTIF($H$4:$H$13,"Khá")</f>
        <v>4</v>
      </c>
    </row>
    <row r="9" spans="1:11">
      <c r="A9" s="63">
        <v>50100</v>
      </c>
      <c r="B9" s="64" t="s">
        <v>59</v>
      </c>
      <c r="C9" s="64" t="s">
        <v>54</v>
      </c>
      <c r="D9" s="64">
        <v>10</v>
      </c>
      <c r="E9" s="64">
        <v>9.5</v>
      </c>
      <c r="F9" s="64">
        <f t="shared" si="0"/>
        <v>10</v>
      </c>
      <c r="G9" s="64" t="str">
        <f t="shared" si="1"/>
        <v>Đạt</v>
      </c>
      <c r="H9" s="64" t="str">
        <f t="shared" si="2"/>
        <v>Giỏi</v>
      </c>
      <c r="J9" s="64" t="s">
        <v>117</v>
      </c>
      <c r="K9" s="64">
        <f>COUNTIF($H$4:$H$13,"Trung Bình")</f>
        <v>1</v>
      </c>
    </row>
    <row r="10" spans="1:11">
      <c r="A10" s="63">
        <v>60100</v>
      </c>
      <c r="B10" s="64" t="s">
        <v>62</v>
      </c>
      <c r="C10" s="64" t="s">
        <v>72</v>
      </c>
      <c r="D10" s="64">
        <v>6.7</v>
      </c>
      <c r="E10" s="64">
        <v>7</v>
      </c>
      <c r="F10" s="64">
        <f t="shared" si="0"/>
        <v>7</v>
      </c>
      <c r="G10" s="64" t="str">
        <f t="shared" si="1"/>
        <v>Đạt</v>
      </c>
      <c r="H10" s="64" t="str">
        <f t="shared" si="2"/>
        <v>Khá</v>
      </c>
      <c r="J10" s="64" t="s">
        <v>118</v>
      </c>
      <c r="K10" s="64">
        <f>COUNTIF($H$4:$H$13,"Kém")</f>
        <v>2</v>
      </c>
    </row>
    <row r="11" spans="1:11">
      <c r="A11" s="63">
        <v>50100</v>
      </c>
      <c r="B11" s="64" t="s">
        <v>119</v>
      </c>
      <c r="C11" s="64" t="s">
        <v>66</v>
      </c>
      <c r="D11" s="64">
        <v>3</v>
      </c>
      <c r="E11" s="64">
        <v>4.5</v>
      </c>
      <c r="F11" s="64">
        <f t="shared" si="0"/>
        <v>4</v>
      </c>
      <c r="G11" s="64" t="str">
        <f t="shared" si="1"/>
        <v>Rớt</v>
      </c>
      <c r="H11" s="64" t="str">
        <f t="shared" si="2"/>
        <v>Kém</v>
      </c>
    </row>
    <row r="12" spans="1:11">
      <c r="A12" s="63">
        <v>40601</v>
      </c>
      <c r="B12" s="64" t="s">
        <v>120</v>
      </c>
      <c r="C12" s="64" t="s">
        <v>69</v>
      </c>
      <c r="D12" s="64">
        <v>9</v>
      </c>
      <c r="E12" s="64">
        <v>8.1999999999999993</v>
      </c>
      <c r="F12" s="64">
        <f t="shared" si="0"/>
        <v>9</v>
      </c>
      <c r="G12" s="64" t="str">
        <f t="shared" si="1"/>
        <v>Đạt</v>
      </c>
      <c r="H12" s="64" t="str">
        <f t="shared" si="2"/>
        <v>Giỏi</v>
      </c>
    </row>
    <row r="13" spans="1:11">
      <c r="A13" s="63">
        <v>50100</v>
      </c>
      <c r="B13" s="64" t="s">
        <v>71</v>
      </c>
      <c r="C13" s="64" t="s">
        <v>72</v>
      </c>
      <c r="D13" s="64">
        <v>6.5</v>
      </c>
      <c r="E13" s="64">
        <v>7.5</v>
      </c>
      <c r="F13" s="64">
        <f t="shared" si="0"/>
        <v>7</v>
      </c>
      <c r="G13" s="64" t="str">
        <f t="shared" si="1"/>
        <v>Đạt</v>
      </c>
      <c r="H13" s="64" t="str">
        <f t="shared" si="2"/>
        <v>Khá</v>
      </c>
    </row>
    <row r="14" spans="1:11">
      <c r="A14" s="65"/>
      <c r="B14" s="66"/>
      <c r="C14" s="66"/>
      <c r="D14" s="111"/>
      <c r="E14" s="111"/>
      <c r="F14" s="111"/>
      <c r="G14" s="111"/>
      <c r="H14" s="112"/>
    </row>
  </sheetData>
  <mergeCells count="3">
    <mergeCell ref="A1:H1"/>
    <mergeCell ref="J3:K3"/>
    <mergeCell ref="D14:H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L15" sqref="L15"/>
    </sheetView>
  </sheetViews>
  <sheetFormatPr defaultRowHeight="15"/>
  <cols>
    <col min="1" max="1" width="10.7109375" bestFit="1" customWidth="1"/>
    <col min="2" max="3" width="16" bestFit="1" customWidth="1"/>
    <col min="5" max="5" width="10.5703125" bestFit="1" customWidth="1"/>
    <col min="7" max="7" width="11.7109375" bestFit="1" customWidth="1"/>
    <col min="10" max="10" width="9.42578125" customWidth="1"/>
  </cols>
  <sheetData>
    <row r="1" spans="1:16">
      <c r="A1" s="113" t="s">
        <v>121</v>
      </c>
      <c r="B1" s="113"/>
      <c r="C1" s="113"/>
      <c r="D1" s="113"/>
      <c r="E1" s="113"/>
      <c r="F1" s="113"/>
      <c r="G1" s="113"/>
    </row>
    <row r="2" spans="1:16">
      <c r="A2" s="113"/>
      <c r="B2" s="113"/>
      <c r="C2" s="113"/>
      <c r="D2" s="113"/>
      <c r="E2" s="113"/>
      <c r="F2" s="113"/>
      <c r="G2" s="113"/>
    </row>
    <row r="3" spans="1:16">
      <c r="A3" s="68" t="s">
        <v>122</v>
      </c>
      <c r="B3" s="68" t="s">
        <v>123</v>
      </c>
      <c r="C3" s="68" t="s">
        <v>124</v>
      </c>
      <c r="D3" s="68" t="s">
        <v>125</v>
      </c>
      <c r="E3" s="68" t="s">
        <v>126</v>
      </c>
      <c r="F3" s="68" t="s">
        <v>127</v>
      </c>
      <c r="G3" s="68" t="s">
        <v>128</v>
      </c>
      <c r="I3" s="114" t="s">
        <v>110</v>
      </c>
      <c r="J3" s="114"/>
      <c r="K3" s="114"/>
      <c r="L3" s="114"/>
      <c r="M3" s="114"/>
      <c r="O3" s="120" t="s">
        <v>180</v>
      </c>
      <c r="P3" s="120"/>
    </row>
    <row r="4" spans="1:16">
      <c r="A4" s="69">
        <v>43309</v>
      </c>
      <c r="B4" s="64" t="s">
        <v>129</v>
      </c>
      <c r="C4" s="64" t="str">
        <f>VLOOKUP(LEFT(B4,4),$A$13:$E$16,2,0)</f>
        <v>PÍA ĐẬU XANH</v>
      </c>
      <c r="D4" s="64" t="str">
        <f>VLOOKUP(LEFT(B4,4),$A$13:$E$16,3,0)</f>
        <v>CÁI</v>
      </c>
      <c r="E4" s="64">
        <v>100</v>
      </c>
      <c r="F4" s="64">
        <f>VLOOKUP(LEFT(B4,4),$A$13:$E$16, IF(RIGHT(B4,1)="S",4,5),0)</f>
        <v>5000</v>
      </c>
      <c r="G4" s="64">
        <f>E4*F4</f>
        <v>500000</v>
      </c>
      <c r="I4" s="70" t="s">
        <v>130</v>
      </c>
      <c r="J4" s="70" t="s">
        <v>131</v>
      </c>
      <c r="K4" s="115"/>
      <c r="L4" s="71"/>
      <c r="M4" s="71" t="s">
        <v>131</v>
      </c>
      <c r="O4" s="64" t="s">
        <v>181</v>
      </c>
      <c r="P4" s="64" t="s">
        <v>182</v>
      </c>
    </row>
    <row r="5" spans="1:16">
      <c r="A5" s="69">
        <v>43310</v>
      </c>
      <c r="B5" s="64" t="s">
        <v>132</v>
      </c>
      <c r="C5" s="64" t="str">
        <f t="shared" ref="C5:C10" si="0">VLOOKUP(LEFT(B5,4),$A$13:$E$16,2,0)</f>
        <v>PÍA ĐẬU XANH</v>
      </c>
      <c r="D5" s="64" t="str">
        <f t="shared" ref="D5:D10" si="1">VLOOKUP(LEFT(B5,4),$A$13:$E$16,3,0)</f>
        <v>CÁI</v>
      </c>
      <c r="E5" s="64">
        <v>120</v>
      </c>
      <c r="F5" s="64">
        <f t="shared" ref="F5:F10" si="2">VLOOKUP(LEFT(B5,4),$A$13:$E$16, IF(RIGHT(B5,1)="S",4,5),0)</f>
        <v>5200</v>
      </c>
      <c r="G5" s="64">
        <f t="shared" ref="G5:G10" si="3">E5*F5</f>
        <v>624000</v>
      </c>
      <c r="I5" s="64" t="s">
        <v>133</v>
      </c>
      <c r="J5" s="64">
        <f>SUMIF(C4:C10,C4,G4:G10) + SUMIF(C4:C10,C10,G4:G10)</f>
        <v>7396000</v>
      </c>
      <c r="K5" s="116"/>
      <c r="L5" s="64" t="s">
        <v>134</v>
      </c>
      <c r="M5" s="64">
        <f>DSUM($A$3:$G$10,$G$3,$O$4:$O$5)</f>
        <v>2526000</v>
      </c>
      <c r="O5" s="64" t="b">
        <f>MONTH(A4)=7</f>
        <v>1</v>
      </c>
      <c r="P5" s="64" t="b">
        <f>MONTH(A4)=8</f>
        <v>0</v>
      </c>
    </row>
    <row r="6" spans="1:16">
      <c r="A6" s="69">
        <v>43311</v>
      </c>
      <c r="B6" s="64" t="s">
        <v>135</v>
      </c>
      <c r="C6" s="64" t="str">
        <f t="shared" si="0"/>
        <v>KẸO ĐẬU PHỘNG</v>
      </c>
      <c r="D6" s="64" t="str">
        <f t="shared" si="1"/>
        <v>KG</v>
      </c>
      <c r="E6" s="64">
        <v>12</v>
      </c>
      <c r="F6" s="64">
        <f t="shared" si="2"/>
        <v>80000</v>
      </c>
      <c r="G6" s="64">
        <f t="shared" si="3"/>
        <v>960000</v>
      </c>
      <c r="I6" s="64" t="s">
        <v>136</v>
      </c>
      <c r="J6" s="64">
        <f>SUMIF(C4:C10,C6,G4:G10)+SUMIF(C4:C10,C9,G4:G10)</f>
        <v>2810000</v>
      </c>
      <c r="K6" s="117"/>
      <c r="L6" s="64" t="s">
        <v>137</v>
      </c>
      <c r="M6" s="64">
        <f>DSUM($A$3:$G$10,$G$3,$P$4:$P$5)</f>
        <v>7680000</v>
      </c>
    </row>
    <row r="7" spans="1:16">
      <c r="A7" s="69">
        <v>43312</v>
      </c>
      <c r="B7" s="64" t="s">
        <v>132</v>
      </c>
      <c r="C7" s="64" t="str">
        <f t="shared" si="0"/>
        <v>PÍA ĐẬU XANH</v>
      </c>
      <c r="D7" s="64" t="str">
        <f t="shared" si="1"/>
        <v>CÁI</v>
      </c>
      <c r="E7" s="64">
        <v>85</v>
      </c>
      <c r="F7" s="64">
        <f t="shared" si="2"/>
        <v>5200</v>
      </c>
      <c r="G7" s="64">
        <f t="shared" si="3"/>
        <v>442000</v>
      </c>
      <c r="K7" s="67"/>
    </row>
    <row r="8" spans="1:16">
      <c r="A8" s="69">
        <v>43313</v>
      </c>
      <c r="B8" s="64" t="s">
        <v>138</v>
      </c>
      <c r="C8" s="64" t="str">
        <f t="shared" si="0"/>
        <v>KẸO ĐẬU PHỘNG</v>
      </c>
      <c r="D8" s="64" t="str">
        <f t="shared" si="1"/>
        <v>KG</v>
      </c>
      <c r="E8" s="64">
        <v>20</v>
      </c>
      <c r="F8" s="64">
        <f t="shared" si="2"/>
        <v>75000</v>
      </c>
      <c r="G8" s="64">
        <f t="shared" si="3"/>
        <v>1500000</v>
      </c>
    </row>
    <row r="9" spans="1:16">
      <c r="A9" s="69">
        <v>43314</v>
      </c>
      <c r="B9" s="64" t="s">
        <v>139</v>
      </c>
      <c r="C9" s="64" t="str">
        <f t="shared" si="0"/>
        <v>KẸO DỪA</v>
      </c>
      <c r="D9" s="64" t="str">
        <f t="shared" si="1"/>
        <v>KG</v>
      </c>
      <c r="E9" s="64">
        <v>5</v>
      </c>
      <c r="F9" s="64">
        <f t="shared" si="2"/>
        <v>70000</v>
      </c>
      <c r="G9" s="64">
        <f t="shared" si="3"/>
        <v>350000</v>
      </c>
    </row>
    <row r="10" spans="1:16">
      <c r="A10" s="69">
        <v>43315</v>
      </c>
      <c r="B10" s="64" t="s">
        <v>140</v>
      </c>
      <c r="C10" s="64" t="str">
        <f t="shared" si="0"/>
        <v>PÍA SẦU RIÊNG</v>
      </c>
      <c r="D10" s="64" t="str">
        <f t="shared" si="1"/>
        <v>CÁI</v>
      </c>
      <c r="E10" s="64">
        <v>110</v>
      </c>
      <c r="F10" s="64">
        <f t="shared" si="2"/>
        <v>53000</v>
      </c>
      <c r="G10" s="64">
        <f t="shared" si="3"/>
        <v>5830000</v>
      </c>
    </row>
    <row r="11" spans="1:16">
      <c r="A11" s="118" t="s">
        <v>141</v>
      </c>
      <c r="B11" s="118"/>
      <c r="C11" s="118"/>
      <c r="D11" s="118"/>
      <c r="E11" s="118"/>
    </row>
    <row r="12" spans="1:16">
      <c r="A12" s="68" t="s">
        <v>123</v>
      </c>
      <c r="B12" s="68" t="s">
        <v>124</v>
      </c>
      <c r="C12" s="68" t="s">
        <v>125</v>
      </c>
      <c r="D12" s="68" t="s">
        <v>142</v>
      </c>
      <c r="E12" s="68" t="s">
        <v>143</v>
      </c>
    </row>
    <row r="13" spans="1:16">
      <c r="A13" s="64" t="s">
        <v>144</v>
      </c>
      <c r="B13" s="72" t="s">
        <v>145</v>
      </c>
      <c r="C13" s="64" t="s">
        <v>146</v>
      </c>
      <c r="D13" s="73">
        <v>5000</v>
      </c>
      <c r="E13" s="73">
        <v>5200</v>
      </c>
    </row>
    <row r="14" spans="1:16">
      <c r="A14" s="64" t="s">
        <v>147</v>
      </c>
      <c r="B14" s="72" t="s">
        <v>148</v>
      </c>
      <c r="C14" s="64" t="s">
        <v>146</v>
      </c>
      <c r="D14" s="73">
        <v>5100</v>
      </c>
      <c r="E14" s="73">
        <v>53000</v>
      </c>
    </row>
    <row r="15" spans="1:16">
      <c r="A15" s="64" t="s">
        <v>149</v>
      </c>
      <c r="B15" s="72" t="s">
        <v>150</v>
      </c>
      <c r="C15" s="64" t="s">
        <v>151</v>
      </c>
      <c r="D15" s="73">
        <v>70000</v>
      </c>
      <c r="E15" s="73">
        <v>72000</v>
      </c>
    </row>
    <row r="16" spans="1:16">
      <c r="A16" s="64" t="s">
        <v>152</v>
      </c>
      <c r="B16" s="72" t="s">
        <v>153</v>
      </c>
      <c r="C16" s="64" t="s">
        <v>151</v>
      </c>
      <c r="D16" s="73">
        <v>75000</v>
      </c>
      <c r="E16" s="73">
        <v>80000</v>
      </c>
    </row>
  </sheetData>
  <mergeCells count="5">
    <mergeCell ref="A1:G2"/>
    <mergeCell ref="I3:M3"/>
    <mergeCell ref="K4:K6"/>
    <mergeCell ref="A11:E11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L10" sqref="L10"/>
    </sheetView>
  </sheetViews>
  <sheetFormatPr defaultRowHeight="15"/>
  <cols>
    <col min="1" max="1" width="10.7109375" bestFit="1" customWidth="1"/>
    <col min="2" max="2" width="11.140625" bestFit="1" customWidth="1"/>
    <col min="4" max="4" width="10.28515625" bestFit="1" customWidth="1"/>
    <col min="7" max="7" width="10.42578125" bestFit="1" customWidth="1"/>
    <col min="11" max="11" width="10" bestFit="1" customWidth="1"/>
    <col min="12" max="12" width="10.42578125" bestFit="1" customWidth="1"/>
  </cols>
  <sheetData>
    <row r="1" spans="1:12">
      <c r="A1" s="74" t="s">
        <v>154</v>
      </c>
      <c r="B1" s="75" t="s">
        <v>155</v>
      </c>
      <c r="C1" s="75" t="s">
        <v>156</v>
      </c>
      <c r="D1" s="75" t="s">
        <v>1</v>
      </c>
      <c r="E1" s="75" t="s">
        <v>157</v>
      </c>
      <c r="F1" s="75" t="s">
        <v>158</v>
      </c>
      <c r="G1" s="76" t="s">
        <v>159</v>
      </c>
      <c r="H1" s="77"/>
      <c r="I1" s="77"/>
      <c r="J1" s="77"/>
      <c r="K1" s="77"/>
      <c r="L1" s="77"/>
    </row>
    <row r="2" spans="1:12">
      <c r="A2" s="78">
        <v>43106</v>
      </c>
      <c r="B2" s="79" t="s">
        <v>160</v>
      </c>
      <c r="C2" s="79" t="s">
        <v>161</v>
      </c>
      <c r="D2" s="79" t="s">
        <v>162</v>
      </c>
      <c r="E2" s="79">
        <v>95</v>
      </c>
      <c r="F2" s="79">
        <v>1.99</v>
      </c>
      <c r="G2" s="80">
        <v>189.05</v>
      </c>
      <c r="H2" s="77"/>
      <c r="I2" s="77"/>
      <c r="J2" s="77"/>
      <c r="K2" s="77"/>
      <c r="L2" s="77"/>
    </row>
    <row r="3" spans="1:12">
      <c r="A3" s="78">
        <v>43123</v>
      </c>
      <c r="B3" s="79" t="s">
        <v>163</v>
      </c>
      <c r="C3" s="79" t="s">
        <v>164</v>
      </c>
      <c r="D3" s="79" t="s">
        <v>165</v>
      </c>
      <c r="E3" s="79">
        <v>50</v>
      </c>
      <c r="F3" s="79">
        <v>19.989999999999998</v>
      </c>
      <c r="G3" s="80">
        <v>999.5</v>
      </c>
      <c r="H3" s="77"/>
      <c r="I3" s="77"/>
      <c r="J3" s="77"/>
      <c r="K3" s="77"/>
      <c r="L3" s="77"/>
    </row>
    <row r="4" spans="1:12">
      <c r="A4" s="78">
        <v>43140</v>
      </c>
      <c r="B4" s="79" t="s">
        <v>163</v>
      </c>
      <c r="C4" s="79" t="s">
        <v>166</v>
      </c>
      <c r="D4" s="79" t="s">
        <v>162</v>
      </c>
      <c r="E4" s="79">
        <v>36</v>
      </c>
      <c r="F4" s="79">
        <v>4.99</v>
      </c>
      <c r="G4" s="80">
        <v>179.64000000000001</v>
      </c>
      <c r="H4" s="77"/>
      <c r="I4" s="77"/>
      <c r="J4" s="77"/>
      <c r="K4" s="119" t="s">
        <v>167</v>
      </c>
      <c r="L4" s="119"/>
    </row>
    <row r="5" spans="1:12">
      <c r="A5" s="78">
        <v>43157</v>
      </c>
      <c r="B5" s="79" t="s">
        <v>163</v>
      </c>
      <c r="C5" s="79" t="s">
        <v>168</v>
      </c>
      <c r="D5" s="79" t="s">
        <v>169</v>
      </c>
      <c r="E5" s="79">
        <v>27</v>
      </c>
      <c r="F5" s="79">
        <v>19.989999999999998</v>
      </c>
      <c r="G5" s="80">
        <v>539.7299999999999</v>
      </c>
      <c r="H5" s="77"/>
      <c r="I5" s="77"/>
      <c r="J5" s="77"/>
      <c r="K5" s="81" t="s">
        <v>156</v>
      </c>
      <c r="L5" s="81" t="s">
        <v>159</v>
      </c>
    </row>
    <row r="6" spans="1:12">
      <c r="A6" s="78">
        <v>43174</v>
      </c>
      <c r="B6" s="79" t="s">
        <v>170</v>
      </c>
      <c r="C6" s="79" t="s">
        <v>171</v>
      </c>
      <c r="D6" s="79" t="s">
        <v>162</v>
      </c>
      <c r="E6" s="79">
        <v>56</v>
      </c>
      <c r="F6" s="79">
        <v>2.99</v>
      </c>
      <c r="G6" s="80">
        <v>167.44</v>
      </c>
      <c r="H6" s="77"/>
      <c r="I6" s="77"/>
      <c r="J6" s="77"/>
      <c r="K6" s="77" t="s">
        <v>172</v>
      </c>
      <c r="L6" s="77" t="s">
        <v>173</v>
      </c>
    </row>
    <row r="7" spans="1:12">
      <c r="A7" s="78">
        <v>43191</v>
      </c>
      <c r="B7" s="79" t="s">
        <v>160</v>
      </c>
      <c r="C7" s="79" t="s">
        <v>161</v>
      </c>
      <c r="D7" s="79" t="s">
        <v>165</v>
      </c>
      <c r="E7" s="79">
        <v>60</v>
      </c>
      <c r="F7" s="79">
        <v>4.99</v>
      </c>
      <c r="G7" s="80">
        <v>299.40000000000003</v>
      </c>
      <c r="H7" s="77"/>
      <c r="I7" s="77"/>
      <c r="J7" s="77"/>
      <c r="K7" s="77" t="s">
        <v>174</v>
      </c>
      <c r="L7" s="77" t="s">
        <v>173</v>
      </c>
    </row>
    <row r="8" spans="1:12">
      <c r="A8" s="78">
        <v>43208</v>
      </c>
      <c r="B8" s="79" t="s">
        <v>163</v>
      </c>
      <c r="C8" s="79" t="s">
        <v>44</v>
      </c>
      <c r="D8" s="79" t="s">
        <v>162</v>
      </c>
      <c r="E8" s="79">
        <v>75</v>
      </c>
      <c r="F8" s="79">
        <v>1.99</v>
      </c>
      <c r="G8" s="80">
        <v>149.25</v>
      </c>
      <c r="H8" s="77"/>
      <c r="I8" s="77"/>
      <c r="J8" s="77"/>
      <c r="K8" s="77"/>
      <c r="L8" s="77"/>
    </row>
    <row r="9" spans="1:12">
      <c r="A9" s="78">
        <v>43225</v>
      </c>
      <c r="B9" s="79" t="s">
        <v>163</v>
      </c>
      <c r="C9" s="79" t="s">
        <v>166</v>
      </c>
      <c r="D9" s="79" t="s">
        <v>162</v>
      </c>
      <c r="E9" s="79">
        <v>90</v>
      </c>
      <c r="F9" s="79">
        <v>4.99</v>
      </c>
      <c r="G9" s="80">
        <v>449.1</v>
      </c>
      <c r="H9" s="77"/>
      <c r="I9" s="77"/>
      <c r="J9" s="77"/>
      <c r="K9" s="77"/>
      <c r="L9" s="77"/>
    </row>
    <row r="10" spans="1:12">
      <c r="A10" s="78">
        <v>43242</v>
      </c>
      <c r="B10" s="79" t="s">
        <v>170</v>
      </c>
      <c r="C10" s="79" t="s">
        <v>175</v>
      </c>
      <c r="D10" s="79" t="s">
        <v>162</v>
      </c>
      <c r="E10" s="79">
        <v>32</v>
      </c>
      <c r="F10" s="79">
        <v>1.99</v>
      </c>
      <c r="G10" s="80">
        <v>63.68</v>
      </c>
      <c r="H10" s="77"/>
      <c r="I10" s="77"/>
      <c r="J10" s="77"/>
      <c r="K10" s="77"/>
      <c r="L10" s="77"/>
    </row>
    <row r="11" spans="1:12">
      <c r="A11" s="78">
        <v>43259</v>
      </c>
      <c r="B11" s="79" t="s">
        <v>160</v>
      </c>
      <c r="C11" s="79" t="s">
        <v>161</v>
      </c>
      <c r="D11" s="79" t="s">
        <v>165</v>
      </c>
      <c r="E11" s="79">
        <v>60</v>
      </c>
      <c r="F11" s="79">
        <v>8.99</v>
      </c>
      <c r="G11" s="80">
        <v>539.4</v>
      </c>
      <c r="H11" s="77"/>
      <c r="I11" s="77"/>
      <c r="J11" s="77"/>
      <c r="K11" s="77"/>
      <c r="L11" s="77"/>
    </row>
    <row r="12" spans="1:12">
      <c r="A12" s="78">
        <v>43276</v>
      </c>
      <c r="B12" s="79" t="s">
        <v>163</v>
      </c>
      <c r="C12" s="79" t="s">
        <v>174</v>
      </c>
      <c r="D12" s="79" t="s">
        <v>162</v>
      </c>
      <c r="E12" s="79">
        <v>90</v>
      </c>
      <c r="F12" s="79">
        <v>4.99</v>
      </c>
      <c r="G12" s="80">
        <v>449.1</v>
      </c>
      <c r="H12" s="77"/>
      <c r="I12" s="77"/>
      <c r="J12" s="77"/>
      <c r="K12" s="77"/>
      <c r="L12" s="77"/>
    </row>
    <row r="13" spans="1:12">
      <c r="A13" s="78">
        <v>43293</v>
      </c>
      <c r="B13" s="79" t="s">
        <v>160</v>
      </c>
      <c r="C13" s="79" t="s">
        <v>172</v>
      </c>
      <c r="D13" s="79" t="s">
        <v>165</v>
      </c>
      <c r="E13" s="79">
        <v>29</v>
      </c>
      <c r="F13" s="79">
        <v>1.99</v>
      </c>
      <c r="G13" s="80">
        <v>57.71</v>
      </c>
      <c r="H13" s="77"/>
      <c r="I13" s="77"/>
      <c r="J13" s="77"/>
      <c r="K13" s="77"/>
      <c r="L13" s="77"/>
    </row>
    <row r="14" spans="1:12">
      <c r="A14" s="78">
        <v>43310</v>
      </c>
      <c r="B14" s="79" t="s">
        <v>160</v>
      </c>
      <c r="C14" s="79" t="s">
        <v>176</v>
      </c>
      <c r="D14" s="79" t="s">
        <v>165</v>
      </c>
      <c r="E14" s="79">
        <v>81</v>
      </c>
      <c r="F14" s="79">
        <v>19.989999999999998</v>
      </c>
      <c r="G14" s="80">
        <v>1619.1899999999998</v>
      </c>
      <c r="H14" s="77"/>
      <c r="I14" s="77"/>
      <c r="J14" s="77"/>
      <c r="K14" s="77"/>
      <c r="L14" s="77"/>
    </row>
    <row r="15" spans="1:12">
      <c r="A15" s="78">
        <v>43327</v>
      </c>
      <c r="B15" s="79" t="s">
        <v>160</v>
      </c>
      <c r="C15" s="79" t="s">
        <v>161</v>
      </c>
      <c r="D15" s="79" t="s">
        <v>162</v>
      </c>
      <c r="E15" s="79">
        <v>35</v>
      </c>
      <c r="F15" s="79">
        <v>4.99</v>
      </c>
      <c r="G15" s="80">
        <v>174.65</v>
      </c>
      <c r="H15" s="77"/>
      <c r="I15" s="77"/>
      <c r="J15" s="77"/>
      <c r="K15" s="77"/>
      <c r="L15" s="77"/>
    </row>
    <row r="16" spans="1:12">
      <c r="A16" s="78">
        <v>43344</v>
      </c>
      <c r="B16" s="79" t="s">
        <v>163</v>
      </c>
      <c r="C16" s="79" t="s">
        <v>177</v>
      </c>
      <c r="D16" s="79" t="s">
        <v>178</v>
      </c>
      <c r="E16" s="79">
        <v>2</v>
      </c>
      <c r="F16" s="79">
        <v>125</v>
      </c>
      <c r="G16" s="80">
        <v>250</v>
      </c>
      <c r="H16" s="77"/>
      <c r="I16" s="77"/>
      <c r="J16" s="77"/>
      <c r="K16" s="77"/>
      <c r="L16" s="77"/>
    </row>
    <row r="17" spans="1:12">
      <c r="A17" s="78">
        <v>43361</v>
      </c>
      <c r="B17" s="79" t="s">
        <v>160</v>
      </c>
      <c r="C17" s="79" t="s">
        <v>161</v>
      </c>
      <c r="D17" s="79" t="s">
        <v>179</v>
      </c>
      <c r="E17" s="79">
        <v>16</v>
      </c>
      <c r="F17" s="79">
        <v>15.99</v>
      </c>
      <c r="G17" s="80">
        <v>255.84</v>
      </c>
      <c r="H17" s="77"/>
      <c r="I17" s="77"/>
      <c r="J17" s="77"/>
      <c r="K17" s="77"/>
      <c r="L17" s="77"/>
    </row>
    <row r="18" spans="1:12">
      <c r="A18" s="78">
        <v>43378</v>
      </c>
      <c r="B18" s="79" t="s">
        <v>163</v>
      </c>
      <c r="C18" s="79" t="s">
        <v>174</v>
      </c>
      <c r="D18" s="79" t="s">
        <v>165</v>
      </c>
      <c r="E18" s="79">
        <v>28</v>
      </c>
      <c r="F18" s="79">
        <v>8.99</v>
      </c>
      <c r="G18" s="80">
        <v>251.72</v>
      </c>
      <c r="H18" s="77"/>
      <c r="I18" s="77"/>
      <c r="J18" s="77"/>
      <c r="K18" s="77"/>
      <c r="L18" s="77"/>
    </row>
    <row r="19" spans="1:12">
      <c r="A19" s="78">
        <v>43395</v>
      </c>
      <c r="B19" s="79" t="s">
        <v>160</v>
      </c>
      <c r="C19" s="79" t="s">
        <v>161</v>
      </c>
      <c r="D19" s="79" t="s">
        <v>169</v>
      </c>
      <c r="E19" s="79">
        <v>64</v>
      </c>
      <c r="F19" s="79">
        <v>8.99</v>
      </c>
      <c r="G19" s="80">
        <v>575.36</v>
      </c>
      <c r="H19" s="77"/>
      <c r="I19" s="77"/>
      <c r="J19" s="77"/>
      <c r="K19" s="77"/>
      <c r="L19" s="77"/>
    </row>
    <row r="20" spans="1:12">
      <c r="A20" s="78">
        <v>43412</v>
      </c>
      <c r="B20" s="79" t="s">
        <v>160</v>
      </c>
      <c r="C20" s="79" t="s">
        <v>176</v>
      </c>
      <c r="D20" s="79" t="s">
        <v>169</v>
      </c>
      <c r="E20" s="79">
        <v>15</v>
      </c>
      <c r="F20" s="79">
        <v>19.989999999999998</v>
      </c>
      <c r="G20" s="80">
        <v>299.84999999999997</v>
      </c>
      <c r="H20" s="77"/>
      <c r="I20" s="77"/>
      <c r="J20" s="77"/>
      <c r="K20" s="77"/>
      <c r="L20" s="77"/>
    </row>
    <row r="21" spans="1:12">
      <c r="A21" s="78">
        <v>43429</v>
      </c>
      <c r="B21" s="79" t="s">
        <v>163</v>
      </c>
      <c r="C21" s="79" t="s">
        <v>164</v>
      </c>
      <c r="D21" s="79" t="s">
        <v>179</v>
      </c>
      <c r="E21" s="79">
        <v>96</v>
      </c>
      <c r="F21" s="79">
        <v>4.99</v>
      </c>
      <c r="G21" s="80">
        <v>479.04</v>
      </c>
      <c r="H21" s="77"/>
      <c r="I21" s="77"/>
      <c r="J21" s="77"/>
      <c r="K21" s="77"/>
      <c r="L21" s="77"/>
    </row>
    <row r="22" spans="1:12">
      <c r="A22" s="78">
        <v>43446</v>
      </c>
      <c r="B22" s="79" t="s">
        <v>163</v>
      </c>
      <c r="C22" s="79" t="s">
        <v>177</v>
      </c>
      <c r="D22" s="79" t="s">
        <v>162</v>
      </c>
      <c r="E22" s="79">
        <v>67</v>
      </c>
      <c r="F22" s="79">
        <v>1.29</v>
      </c>
      <c r="G22" s="80">
        <v>86.43</v>
      </c>
      <c r="H22" s="77"/>
      <c r="I22" s="77"/>
      <c r="J22" s="77"/>
      <c r="K22" s="77"/>
      <c r="L22" s="77"/>
    </row>
    <row r="23" spans="1:12">
      <c r="A23" s="78">
        <v>43463</v>
      </c>
      <c r="B23" s="79" t="s">
        <v>160</v>
      </c>
      <c r="C23" s="79" t="s">
        <v>176</v>
      </c>
      <c r="D23" s="79" t="s">
        <v>179</v>
      </c>
      <c r="E23" s="79">
        <v>74</v>
      </c>
      <c r="F23" s="79">
        <v>15.99</v>
      </c>
      <c r="G23" s="80">
        <v>1183.26</v>
      </c>
      <c r="H23" s="77"/>
      <c r="I23" s="77"/>
      <c r="J23" s="77"/>
      <c r="K23" s="77"/>
      <c r="L23" s="77"/>
    </row>
    <row r="24" spans="1:12">
      <c r="A24" s="78">
        <v>43480</v>
      </c>
      <c r="B24" s="79" t="s">
        <v>163</v>
      </c>
      <c r="C24" s="79" t="s">
        <v>168</v>
      </c>
      <c r="D24" s="79" t="s">
        <v>165</v>
      </c>
      <c r="E24" s="79">
        <v>46</v>
      </c>
      <c r="F24" s="79">
        <v>8.99</v>
      </c>
      <c r="G24" s="80">
        <v>413.54</v>
      </c>
      <c r="H24" s="77"/>
      <c r="I24" s="77"/>
      <c r="J24" s="77"/>
      <c r="K24" s="77"/>
      <c r="L24" s="77"/>
    </row>
    <row r="25" spans="1:12">
      <c r="A25" s="78">
        <v>43497</v>
      </c>
      <c r="B25" s="79" t="s">
        <v>163</v>
      </c>
      <c r="C25" s="79" t="s">
        <v>177</v>
      </c>
      <c r="D25" s="79" t="s">
        <v>165</v>
      </c>
      <c r="E25" s="79">
        <v>87</v>
      </c>
      <c r="F25" s="79">
        <v>15</v>
      </c>
      <c r="G25" s="80">
        <v>1305</v>
      </c>
      <c r="H25" s="77"/>
      <c r="I25" s="77"/>
      <c r="J25" s="77"/>
      <c r="K25" s="77"/>
      <c r="L25" s="77"/>
    </row>
    <row r="26" spans="1:12">
      <c r="A26" s="78">
        <v>43514</v>
      </c>
      <c r="B26" s="79" t="s">
        <v>160</v>
      </c>
      <c r="C26" s="79" t="s">
        <v>161</v>
      </c>
      <c r="D26" s="79" t="s">
        <v>165</v>
      </c>
      <c r="E26" s="79">
        <v>4</v>
      </c>
      <c r="F26" s="79">
        <v>4.99</v>
      </c>
      <c r="G26" s="80">
        <v>19.96</v>
      </c>
      <c r="H26" s="77"/>
      <c r="I26" s="77"/>
      <c r="J26" s="77"/>
      <c r="K26" s="77"/>
      <c r="L26" s="77"/>
    </row>
    <row r="27" spans="1:12">
      <c r="A27" s="78">
        <v>43531</v>
      </c>
      <c r="B27" s="79" t="s">
        <v>170</v>
      </c>
      <c r="C27" s="79" t="s">
        <v>171</v>
      </c>
      <c r="D27" s="79" t="s">
        <v>165</v>
      </c>
      <c r="E27" s="79">
        <v>7</v>
      </c>
      <c r="F27" s="79">
        <v>19.989999999999998</v>
      </c>
      <c r="G27" s="80">
        <v>139.92999999999998</v>
      </c>
      <c r="H27" s="77"/>
      <c r="I27" s="77"/>
      <c r="J27" s="77"/>
      <c r="K27" s="77"/>
      <c r="L27" s="77"/>
    </row>
    <row r="28" spans="1:12">
      <c r="A28" s="78">
        <v>43548</v>
      </c>
      <c r="B28" s="79" t="s">
        <v>163</v>
      </c>
      <c r="C28" s="79" t="s">
        <v>166</v>
      </c>
      <c r="D28" s="79" t="s">
        <v>179</v>
      </c>
      <c r="E28" s="79">
        <v>50</v>
      </c>
      <c r="F28" s="79">
        <v>4.99</v>
      </c>
      <c r="G28" s="80">
        <v>249.5</v>
      </c>
      <c r="H28" s="77"/>
      <c r="I28" s="77"/>
      <c r="J28" s="77"/>
      <c r="K28" s="77"/>
      <c r="L28" s="77"/>
    </row>
    <row r="29" spans="1:12">
      <c r="A29" s="78">
        <v>43565</v>
      </c>
      <c r="B29" s="79" t="s">
        <v>163</v>
      </c>
      <c r="C29" s="79" t="s">
        <v>44</v>
      </c>
      <c r="D29" s="79" t="s">
        <v>162</v>
      </c>
      <c r="E29" s="79">
        <v>66</v>
      </c>
      <c r="F29" s="79">
        <v>1.99</v>
      </c>
      <c r="G29" s="80">
        <v>131.34</v>
      </c>
      <c r="H29" s="77"/>
      <c r="I29" s="77"/>
      <c r="J29" s="77"/>
      <c r="K29" s="77"/>
      <c r="L29" s="77"/>
    </row>
    <row r="30" spans="1:12">
      <c r="A30" s="78">
        <v>43582</v>
      </c>
      <c r="B30" s="79" t="s">
        <v>160</v>
      </c>
      <c r="C30" s="79" t="s">
        <v>172</v>
      </c>
      <c r="D30" s="79" t="s">
        <v>169</v>
      </c>
      <c r="E30" s="79">
        <v>96</v>
      </c>
      <c r="F30" s="79">
        <v>4.99</v>
      </c>
      <c r="G30" s="80">
        <v>479.04</v>
      </c>
      <c r="H30" s="77"/>
      <c r="I30" s="77"/>
      <c r="J30" s="77"/>
      <c r="K30" s="77"/>
      <c r="L30" s="77"/>
    </row>
    <row r="31" spans="1:12">
      <c r="A31" s="78">
        <v>43599</v>
      </c>
      <c r="B31" s="79" t="s">
        <v>163</v>
      </c>
      <c r="C31" s="79" t="s">
        <v>168</v>
      </c>
      <c r="D31" s="79" t="s">
        <v>162</v>
      </c>
      <c r="E31" s="79">
        <v>53</v>
      </c>
      <c r="F31" s="79">
        <v>1.29</v>
      </c>
      <c r="G31" s="80">
        <v>68.37</v>
      </c>
      <c r="H31" s="77"/>
      <c r="I31" s="77"/>
      <c r="J31" s="77"/>
      <c r="K31" s="77"/>
      <c r="L31" s="77"/>
    </row>
    <row r="32" spans="1:12">
      <c r="A32" s="78">
        <v>43616</v>
      </c>
      <c r="B32" s="79" t="s">
        <v>163</v>
      </c>
      <c r="C32" s="79" t="s">
        <v>168</v>
      </c>
      <c r="D32" s="79" t="s">
        <v>165</v>
      </c>
      <c r="E32" s="79">
        <v>80</v>
      </c>
      <c r="F32" s="79">
        <v>8.99</v>
      </c>
      <c r="G32" s="80">
        <v>719.2</v>
      </c>
      <c r="H32" s="77"/>
      <c r="I32" s="77"/>
      <c r="J32" s="77"/>
      <c r="K32" s="77"/>
      <c r="L32" s="77"/>
    </row>
    <row r="33" spans="1:12">
      <c r="A33" s="78">
        <v>43633</v>
      </c>
      <c r="B33" s="79" t="s">
        <v>163</v>
      </c>
      <c r="C33" s="79" t="s">
        <v>164</v>
      </c>
      <c r="D33" s="79" t="s">
        <v>178</v>
      </c>
      <c r="E33" s="79">
        <v>5</v>
      </c>
      <c r="F33" s="79">
        <v>125</v>
      </c>
      <c r="G33" s="80">
        <v>625</v>
      </c>
      <c r="H33" s="77"/>
      <c r="I33" s="77"/>
      <c r="J33" s="77"/>
      <c r="K33" s="77"/>
      <c r="L33" s="77"/>
    </row>
    <row r="34" spans="1:12">
      <c r="A34" s="78">
        <v>43650</v>
      </c>
      <c r="B34" s="79" t="s">
        <v>160</v>
      </c>
      <c r="C34" s="79" t="s">
        <v>161</v>
      </c>
      <c r="D34" s="79" t="s">
        <v>179</v>
      </c>
      <c r="E34" s="79">
        <v>62</v>
      </c>
      <c r="F34" s="79">
        <v>4.99</v>
      </c>
      <c r="G34" s="80">
        <v>309.38</v>
      </c>
      <c r="H34" s="77"/>
      <c r="I34" s="77"/>
      <c r="J34" s="77"/>
      <c r="K34" s="77"/>
      <c r="L34" s="77"/>
    </row>
    <row r="35" spans="1:12">
      <c r="A35" s="78">
        <v>43667</v>
      </c>
      <c r="B35" s="79" t="s">
        <v>163</v>
      </c>
      <c r="C35" s="79" t="s">
        <v>174</v>
      </c>
      <c r="D35" s="79" t="s">
        <v>179</v>
      </c>
      <c r="E35" s="79">
        <v>55</v>
      </c>
      <c r="F35" s="79">
        <v>12.49</v>
      </c>
      <c r="G35" s="80">
        <v>686.95</v>
      </c>
      <c r="H35" s="77"/>
      <c r="I35" s="77"/>
      <c r="J35" s="77"/>
      <c r="K35" s="77"/>
      <c r="L35" s="77"/>
    </row>
    <row r="36" spans="1:12">
      <c r="A36" s="78">
        <v>43684</v>
      </c>
      <c r="B36" s="79" t="s">
        <v>163</v>
      </c>
      <c r="C36" s="79" t="s">
        <v>164</v>
      </c>
      <c r="D36" s="79" t="s">
        <v>179</v>
      </c>
      <c r="E36" s="79">
        <v>42</v>
      </c>
      <c r="F36" s="79">
        <v>23.95</v>
      </c>
      <c r="G36" s="80">
        <v>1005.9</v>
      </c>
      <c r="H36" s="77"/>
      <c r="I36" s="77"/>
      <c r="J36" s="77"/>
      <c r="K36" s="77"/>
      <c r="L36" s="77"/>
    </row>
    <row r="37" spans="1:12">
      <c r="A37" s="78">
        <v>43701</v>
      </c>
      <c r="B37" s="79" t="s">
        <v>170</v>
      </c>
      <c r="C37" s="79" t="s">
        <v>171</v>
      </c>
      <c r="D37" s="79" t="s">
        <v>178</v>
      </c>
      <c r="E37" s="79">
        <v>3</v>
      </c>
      <c r="F37" s="79">
        <v>275</v>
      </c>
      <c r="G37" s="80">
        <v>825</v>
      </c>
      <c r="H37" s="77"/>
      <c r="I37" s="77"/>
      <c r="J37" s="77"/>
      <c r="K37" s="77"/>
      <c r="L37" s="77"/>
    </row>
    <row r="38" spans="1:12">
      <c r="A38" s="78">
        <v>43718</v>
      </c>
      <c r="B38" s="79" t="s">
        <v>163</v>
      </c>
      <c r="C38" s="79" t="s">
        <v>168</v>
      </c>
      <c r="D38" s="79" t="s">
        <v>162</v>
      </c>
      <c r="E38" s="79">
        <v>7</v>
      </c>
      <c r="F38" s="79">
        <v>1.29</v>
      </c>
      <c r="G38" s="80">
        <v>9.0300000000000011</v>
      </c>
      <c r="H38" s="77"/>
      <c r="I38" s="77"/>
      <c r="J38" s="77"/>
      <c r="K38" s="77"/>
      <c r="L38" s="77"/>
    </row>
    <row r="39" spans="1:12">
      <c r="A39" s="78">
        <v>43735</v>
      </c>
      <c r="B39" s="79" t="s">
        <v>170</v>
      </c>
      <c r="C39" s="79" t="s">
        <v>171</v>
      </c>
      <c r="D39" s="79" t="s">
        <v>169</v>
      </c>
      <c r="E39" s="79">
        <v>76</v>
      </c>
      <c r="F39" s="79">
        <v>1.99</v>
      </c>
      <c r="G39" s="80">
        <v>151.24</v>
      </c>
      <c r="H39" s="77"/>
      <c r="I39" s="77"/>
      <c r="J39" s="77"/>
      <c r="K39" s="77"/>
      <c r="L39" s="77"/>
    </row>
    <row r="40" spans="1:12">
      <c r="A40" s="78">
        <v>43752</v>
      </c>
      <c r="B40" s="79" t="s">
        <v>170</v>
      </c>
      <c r="C40" s="79" t="s">
        <v>175</v>
      </c>
      <c r="D40" s="79" t="s">
        <v>165</v>
      </c>
      <c r="E40" s="79">
        <v>57</v>
      </c>
      <c r="F40" s="79">
        <v>19.989999999999998</v>
      </c>
      <c r="G40" s="80">
        <v>1139.4299999999998</v>
      </c>
      <c r="H40" s="77"/>
      <c r="I40" s="77"/>
      <c r="J40" s="77"/>
      <c r="K40" s="77"/>
      <c r="L40" s="77"/>
    </row>
    <row r="41" spans="1:12">
      <c r="A41" s="78">
        <v>43769</v>
      </c>
      <c r="B41" s="79" t="s">
        <v>163</v>
      </c>
      <c r="C41" s="79" t="s">
        <v>44</v>
      </c>
      <c r="D41" s="79" t="s">
        <v>162</v>
      </c>
      <c r="E41" s="79">
        <v>14</v>
      </c>
      <c r="F41" s="79">
        <v>1.29</v>
      </c>
      <c r="G41" s="80">
        <v>18.060000000000002</v>
      </c>
      <c r="H41" s="77"/>
      <c r="I41" s="77"/>
      <c r="J41" s="77"/>
      <c r="K41" s="77"/>
      <c r="L41" s="77"/>
    </row>
    <row r="42" spans="1:12">
      <c r="A42" s="78">
        <v>43786</v>
      </c>
      <c r="B42" s="79" t="s">
        <v>163</v>
      </c>
      <c r="C42" s="79" t="s">
        <v>166</v>
      </c>
      <c r="D42" s="79" t="s">
        <v>165</v>
      </c>
      <c r="E42" s="79">
        <v>11</v>
      </c>
      <c r="F42" s="79">
        <v>4.99</v>
      </c>
      <c r="G42" s="80">
        <v>54.89</v>
      </c>
      <c r="H42" s="77"/>
      <c r="I42" s="77"/>
      <c r="J42" s="77"/>
      <c r="K42" s="77"/>
      <c r="L42" s="77"/>
    </row>
    <row r="43" spans="1:12">
      <c r="A43" s="78">
        <v>43803</v>
      </c>
      <c r="B43" s="79" t="s">
        <v>163</v>
      </c>
      <c r="C43" s="79" t="s">
        <v>166</v>
      </c>
      <c r="D43" s="79" t="s">
        <v>165</v>
      </c>
      <c r="E43" s="79">
        <v>94</v>
      </c>
      <c r="F43" s="79">
        <v>19.989999999999998</v>
      </c>
      <c r="G43" s="80">
        <v>1879.06</v>
      </c>
      <c r="H43" s="77"/>
      <c r="I43" s="77"/>
      <c r="J43" s="77"/>
      <c r="K43" s="77"/>
      <c r="L43" s="77"/>
    </row>
    <row r="44" spans="1:12">
      <c r="A44" s="82">
        <v>43820</v>
      </c>
      <c r="B44" s="83" t="s">
        <v>163</v>
      </c>
      <c r="C44" s="83" t="s">
        <v>44</v>
      </c>
      <c r="D44" s="83" t="s">
        <v>165</v>
      </c>
      <c r="E44" s="83">
        <v>28</v>
      </c>
      <c r="F44" s="83">
        <v>4.99</v>
      </c>
      <c r="G44" s="84">
        <v>139.72</v>
      </c>
      <c r="H44" s="77"/>
      <c r="I44" s="77"/>
      <c r="J44" s="77"/>
      <c r="K44" s="77"/>
      <c r="L44" s="77"/>
    </row>
    <row r="45" spans="1:12">
      <c r="A45" s="85"/>
      <c r="B45" s="85"/>
      <c r="C45" s="85"/>
      <c r="D45" s="85"/>
      <c r="E45" s="86"/>
      <c r="F45" s="87"/>
      <c r="G45" s="85"/>
      <c r="H45" s="77"/>
      <c r="I45" s="77"/>
      <c r="J45" s="77"/>
      <c r="K45" s="77"/>
      <c r="L45" s="77"/>
    </row>
    <row r="46" spans="1:12">
      <c r="A46" s="74" t="s">
        <v>154</v>
      </c>
      <c r="B46" s="75" t="s">
        <v>155</v>
      </c>
      <c r="C46" s="75" t="s">
        <v>156</v>
      </c>
      <c r="D46" s="75" t="s">
        <v>1</v>
      </c>
      <c r="E46" s="75" t="s">
        <v>157</v>
      </c>
      <c r="F46" s="75" t="s">
        <v>158</v>
      </c>
      <c r="G46" s="76" t="s">
        <v>159</v>
      </c>
      <c r="H46" s="77"/>
      <c r="I46" s="77"/>
      <c r="J46" s="77"/>
      <c r="K46" s="77"/>
      <c r="L46" s="77"/>
    </row>
    <row r="47" spans="1:12">
      <c r="A47" s="88">
        <v>43276</v>
      </c>
      <c r="B47" s="89" t="s">
        <v>163</v>
      </c>
      <c r="C47" s="89" t="s">
        <v>174</v>
      </c>
      <c r="D47" s="89" t="s">
        <v>162</v>
      </c>
      <c r="E47" s="90">
        <v>90</v>
      </c>
      <c r="F47" s="89">
        <v>4.99</v>
      </c>
      <c r="G47" s="91">
        <v>449.1</v>
      </c>
      <c r="H47" s="77"/>
      <c r="I47" s="77"/>
      <c r="J47" s="77"/>
      <c r="K47" s="77"/>
      <c r="L47" s="77"/>
    </row>
    <row r="48" spans="1:12">
      <c r="A48" s="88">
        <v>43582</v>
      </c>
      <c r="B48" s="89" t="s">
        <v>160</v>
      </c>
      <c r="C48" s="89" t="s">
        <v>172</v>
      </c>
      <c r="D48" s="89" t="s">
        <v>169</v>
      </c>
      <c r="E48" s="90">
        <v>96</v>
      </c>
      <c r="F48" s="89">
        <v>4.99</v>
      </c>
      <c r="G48" s="91">
        <v>479.04</v>
      </c>
      <c r="H48" s="77"/>
      <c r="I48" s="77"/>
      <c r="J48" s="77"/>
      <c r="K48" s="77"/>
      <c r="L48" s="77"/>
    </row>
    <row r="49" spans="1:12">
      <c r="A49" s="88">
        <v>43667</v>
      </c>
      <c r="B49" s="89" t="s">
        <v>163</v>
      </c>
      <c r="C49" s="89" t="s">
        <v>174</v>
      </c>
      <c r="D49" s="89" t="s">
        <v>179</v>
      </c>
      <c r="E49" s="90">
        <v>55</v>
      </c>
      <c r="F49" s="89">
        <v>12.49</v>
      </c>
      <c r="G49" s="91">
        <v>686.95</v>
      </c>
      <c r="H49" s="77"/>
      <c r="I49" s="77"/>
      <c r="J49" s="77"/>
      <c r="K49" s="77"/>
      <c r="L49" s="77"/>
    </row>
  </sheetData>
  <mergeCells count="1"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Câu 5</vt:lpstr>
      <vt:lpstr>Câu 9</vt:lpstr>
      <vt:lpstr>Câu 10</vt:lpstr>
      <vt:lpstr>Câu 13</vt:lpstr>
      <vt:lpstr>Câu 12</vt:lpstr>
      <vt:lpstr>Câu 14</vt:lpstr>
      <vt:lpstr>Câu 15</vt:lpstr>
      <vt:lpstr>Câu 16</vt:lpstr>
      <vt:lpstr>Câu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nguyen</dc:creator>
  <cp:lastModifiedBy>ho nguyen</cp:lastModifiedBy>
  <dcterms:created xsi:type="dcterms:W3CDTF">2022-12-09T07:28:50Z</dcterms:created>
  <dcterms:modified xsi:type="dcterms:W3CDTF">2022-12-20T04:27:10Z</dcterms:modified>
</cp:coreProperties>
</file>